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Financials QTR" sheetId="5" state="visible" r:id="rId7"/>
    <sheet name="Cash-Int-Trans" sheetId="6" state="visible" r:id="rId8"/>
    <sheet name="Jedi Shares" sheetId="7" state="visible" r:id="rId9"/>
    <sheet name="Amort" sheetId="8" state="visible" r:id="rId10"/>
    <sheet name="Shares" sheetId="9" state="visible" r:id="rId11"/>
    <sheet name="MPR Raptor" sheetId="10" state="visible" r:id="rId12"/>
  </sheets>
  <externalReferences>
    <externalReference r:id="rId13"/>
    <externalReference r:id="rId14"/>
  </externalReferences>
  <definedNames>
    <definedName function="false" hidden="false" localSheetId="8" name="_xlnm.Print_Area" vbProcedure="false">Shares!$A$1:$E$30</definedName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Prices'!$A$6:$B$344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Raptor'!$E$3:$CN$103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ces" vbProcedure="false">'Stock Prices'!$A$6:$C$344</definedName>
    <definedName function="false" hidden="false" name="Privates" vbProcedure="false">#REF!</definedName>
    <definedName function="false" hidden="false" name="StkPrices" vbProcedure="false">'[2]Stock Prices'!$A$5:$L$377</definedName>
    <definedName function="false" hidden="false" name="wtten" vbProcedure="false">'Stock Prices'!$H$5:$H$378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-112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105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27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79</xdr:col>
                <xdr:colOff>-13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91</xdr:col>
                <xdr:colOff>56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-30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10</xdr:colOff>
                <xdr:row>11</xdr:row>
                <xdr:rowOff>12</xdr:rowOff>
              </xdr:from>
              <xdr:to>
                <xdr:col>11</xdr:col>
                <xdr:colOff>112</xdr:colOff>
                <xdr:row>15</xdr:row>
                <xdr:rowOff>1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</xdr:colOff>
                <xdr:row>15</xdr:row>
                <xdr:rowOff>13</xdr:rowOff>
              </xdr:from>
              <xdr:to>
                <xdr:col>11</xdr:col>
                <xdr:colOff>119</xdr:colOff>
                <xdr:row>19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2</xdr:row>
                <xdr:rowOff>11</xdr:rowOff>
              </xdr:from>
              <xdr:to>
                <xdr:col>5</xdr:col>
                <xdr:colOff>20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<sst xmlns="http://schemas.openxmlformats.org/spreadsheetml/2006/main" count="1374" uniqueCount="549">
  <si>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</si>
  <si>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</si>
  <si>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</si>
  <si>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</si>
  <si>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</si>
  <si>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</si>
  <si>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</si>
  <si>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</si>
  <si>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</si>
  <si>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</si>
  <si>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</si>
  <si>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</si>
  <si>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</si>
  <si>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</si>
  <si>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</si>
  <si>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</si>
  <si>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</si>
  <si>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</si>
  <si>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</si>
  <si>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</si>
  <si>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</si>
  <si>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</si>
  <si>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</si>
  <si>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</si>
  <si>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</si>
  <si>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</si>
  <si>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</si>
  <si>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</si>
  <si>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</si>
  <si>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</si>
  <si>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</si>
  <si>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</si>
  <si>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</si>
  <si>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</si>
  <si>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</si>
  <si>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</si>
  <si>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</si>
  <si>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</si>
  <si>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</si>
  <si>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</si>
  <si>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</si>
  <si>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</si>
  <si>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</si>
  <si>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</si>
  <si>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</si>
  <si>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</si>
  <si>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</si>
  <si>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</si>
  <si>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</si>
  <si>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Hanover Compressor</t>
  </si>
  <si>
    <t xml:space="preserve">Collar</t>
  </si>
  <si>
    <t xml:space="preserve">Cap</t>
  </si>
  <si>
    <t xml:space="preserve">Floor</t>
  </si>
  <si>
    <t xml:space="preserve">Enron 60%</t>
  </si>
  <si>
    <t xml:space="preserve">EGF 36.12%</t>
  </si>
  <si>
    <t xml:space="preserve">end</t>
  </si>
  <si>
    <t xml:space="preserve">Totals</t>
  </si>
  <si>
    <t xml:space="preserve">Realized Losses</t>
  </si>
  <si>
    <t xml:space="preserve">Realized Gains</t>
  </si>
  <si>
    <t xml:space="preserve">MAX</t>
  </si>
  <si>
    <t xml:space="preserve">Remaining</t>
  </si>
  <si>
    <t xml:space="preserve">check</t>
  </si>
  <si>
    <t xml:space="preserve">Asset value</t>
  </si>
  <si>
    <t xml:space="preserve">Daily Price Summary</t>
  </si>
  <si>
    <t xml:space="preserve">Hanover</t>
  </si>
  <si>
    <t xml:space="preserve">Enron</t>
  </si>
  <si>
    <t xml:space="preserve">Compressor</t>
  </si>
  <si>
    <t xml:space="preserve">ENE</t>
  </si>
  <si>
    <t xml:space="preserve">HC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</si>
  <si>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</si>
  <si>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</si>
  <si>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</si>
  <si>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</si>
  <si>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Timberwolf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</si>
  <si>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</si>
  <si>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</si>
  <si>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</si>
  <si>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</si>
  <si>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Timberwolf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</si>
  <si>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</si>
  <si>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</si>
  <si>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</si>
  <si>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</si>
  <si>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</si>
  <si>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</si>
  <si>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</si>
  <si>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</si>
  <si>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</si>
  <si>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</si>
  <si>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</si>
  <si>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</si>
  <si>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</si>
  <si>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</si>
  <si>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</si>
  <si>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</si>
  <si>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Interest Receivable</t>
  </si>
  <si>
    <t xml:space="preserve">Swap Obligation</t>
  </si>
  <si>
    <t xml:space="preserve">b</t>
  </si>
  <si>
    <t xml:space="preserve">For the period ending</t>
  </si>
  <si>
    <t xml:space="preserve">Collar Obligation</t>
  </si>
  <si>
    <t xml:space="preserve">Option Premiums Earned</t>
  </si>
  <si>
    <t xml:space="preserve">h</t>
  </si>
  <si>
    <t xml:space="preserve">Enron Jedi Shares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</si>
  <si>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</si>
  <si>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</si>
  <si>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</si>
  <si>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</si>
  <si>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ENE Share Derivative</t>
  </si>
  <si>
    <t xml:space="preserve">UBS</t>
  </si>
  <si>
    <t xml:space="preserve">Interest Income--$50 MM Note</t>
  </si>
  <si>
    <t xml:space="preserve">Collar Receivable</t>
  </si>
  <si>
    <t xml:space="preserve">Peregrine</t>
  </si>
  <si>
    <t xml:space="preserve">Discount Amortization</t>
  </si>
  <si>
    <t xml:space="preserve">g</t>
  </si>
  <si>
    <t xml:space="preserve">Swap Receivable</t>
  </si>
  <si>
    <t xml:space="preserve">i</t>
  </si>
  <si>
    <t xml:space="preserve">Total Undiscounted</t>
  </si>
  <si>
    <t xml:space="preserve">Discount Amortization - Jedi</t>
  </si>
  <si>
    <t xml:space="preserve">Less: Discount</t>
  </si>
  <si>
    <t xml:space="preserve">e</t>
  </si>
  <si>
    <t xml:space="preserve">Interest Expense</t>
  </si>
  <si>
    <t xml:space="preserve">Net</t>
  </si>
  <si>
    <t xml:space="preserve">3 Percent Test &amp; Capacity Calculation</t>
  </si>
  <si>
    <t xml:space="preserve">Total Exposure</t>
  </si>
  <si>
    <t xml:space="preserve">Third Party</t>
  </si>
  <si>
    <t xml:space="preserve">3 Percent Test</t>
  </si>
  <si>
    <t xml:space="preserve">Collar Gains / (Losses)</t>
  </si>
  <si>
    <t xml:space="preserve">Original Balance Sheet</t>
  </si>
  <si>
    <t xml:space="preserve">Total Balance Sheet Footing</t>
  </si>
  <si>
    <t xml:space="preserve">Collar Gains / (Losses) Jedi Shares</t>
  </si>
  <si>
    <t xml:space="preserve">Original Notional</t>
  </si>
  <si>
    <t xml:space="preserve">Plus:  Put Exposure  </t>
  </si>
  <si>
    <t xml:space="preserve">Reserve for Shares</t>
  </si>
  <si>
    <t xml:space="preserve">Jedi Shares</t>
  </si>
  <si>
    <t xml:space="preserve">                               </t>
  </si>
  <si>
    <t xml:space="preserve">X Strike</t>
  </si>
  <si>
    <t xml:space="preserve">Unrealized Gains / (Losses) Share Derivative</t>
  </si>
  <si>
    <t xml:space="preserve">Derivative Cost</t>
  </si>
  <si>
    <t xml:space="preserve">     Subtotal</t>
  </si>
  <si>
    <t xml:space="preserve">Unrealized Gains / (Losses)</t>
  </si>
  <si>
    <t xml:space="preserve">Existing Notional</t>
  </si>
  <si>
    <t xml:space="preserve">Less:  Put premium received</t>
  </si>
  <si>
    <t xml:space="preserve">Realized Gains / (Losses)</t>
  </si>
  <si>
    <t xml:space="preserve">X  Required capitalization percentage</t>
  </si>
  <si>
    <t xml:space="preserve">Net Gain/(Loss)</t>
  </si>
  <si>
    <t xml:space="preserve">f</t>
  </si>
  <si>
    <t xml:space="preserve">Remaining Notional</t>
  </si>
  <si>
    <t xml:space="preserve">Required Third Party Capitalization</t>
  </si>
  <si>
    <t xml:space="preserve">Actual Third Party Capitalization</t>
  </si>
  <si>
    <t xml:space="preserve">Credit Analysis</t>
  </si>
  <si>
    <t xml:space="preserve">Equity Rollforward (Check)</t>
  </si>
  <si>
    <t xml:space="preserve">     Result</t>
  </si>
  <si>
    <t xml:space="preserve">Initial Credit Capacity</t>
  </si>
  <si>
    <t xml:space="preserve">Capital</t>
  </si>
  <si>
    <t xml:space="preserve">     LJMII Capital</t>
  </si>
  <si>
    <t xml:space="preserve">     LJM</t>
  </si>
  <si>
    <t xml:space="preserve">Days in Period</t>
  </si>
  <si>
    <t xml:space="preserve">     Initial Discount on Enron Shares</t>
  </si>
  <si>
    <t xml:space="preserve">     ENE</t>
  </si>
  <si>
    <t xml:space="preserve">Initial</t>
  </si>
  <si>
    <t xml:space="preserve">Total Initial Credit Capacity</t>
  </si>
  <si>
    <t xml:space="preserve">I/S</t>
  </si>
  <si>
    <t xml:space="preserve">Plus Income(Loss)</t>
  </si>
  <si>
    <t xml:space="preserve">Days O/S</t>
  </si>
  <si>
    <t xml:space="preserve">Plus:  Talon Earnings (1)</t>
  </si>
  <si>
    <t xml:space="preserve">Less Distributions</t>
  </si>
  <si>
    <t xml:space="preserve">          ENE share gain (loss) from $68.75</t>
  </si>
  <si>
    <t xml:space="preserve">Current Equity</t>
  </si>
  <si>
    <t xml:space="preserve">          ENE shares not included above</t>
  </si>
  <si>
    <t xml:space="preserve">     Ending LJM Capital</t>
  </si>
  <si>
    <t xml:space="preserve">          Additional LJMII Capital</t>
  </si>
  <si>
    <t xml:space="preserve">     Ending ENE Capital</t>
  </si>
  <si>
    <t xml:space="preserve">Less:  Discount Amortization</t>
  </si>
  <si>
    <t xml:space="preserve">          March ENE Shares</t>
  </si>
  <si>
    <t xml:space="preserve">Difference</t>
  </si>
  <si>
    <t xml:space="preserve">          Distribution to LJMII</t>
  </si>
  <si>
    <t xml:space="preserve">Total Credit Capacity</t>
  </si>
  <si>
    <t xml:space="preserve">(1) Put at $78.875 per share and Call at $111.8633 included</t>
  </si>
  <si>
    <t xml:space="preserve">Put Option Exposure</t>
  </si>
  <si>
    <t xml:space="preserve">Swap Exposure</t>
  </si>
  <si>
    <t xml:space="preserve">     Sub-Total</t>
  </si>
  <si>
    <t xml:space="preserve">March ENE Shares</t>
  </si>
  <si>
    <t xml:space="preserve">Surplus Third Party Capital</t>
  </si>
  <si>
    <t xml:space="preserve">Available 3% capacity</t>
  </si>
  <si>
    <t xml:space="preserve">For the period ending 6/29/00 to</t>
  </si>
  <si>
    <t xml:space="preserve">to</t>
  </si>
  <si>
    <t xml:space="preserve">Interest Income--Harrier Note</t>
  </si>
  <si>
    <t xml:space="preserve">Discount Amortization - Jedi Shares</t>
  </si>
  <si>
    <t xml:space="preserve">Unrealized Gains / (Losses) Derivative</t>
  </si>
  <si>
    <t xml:space="preserve">Changes to: 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</si>
  <si>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</si>
  <si>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</si>
  <si>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</si>
  <si>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</si>
  <si>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</si>
  <si>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</si>
  <si>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</si>
  <si>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</si>
  <si>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</si>
  <si>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</si>
  <si>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</si>
  <si>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</si>
  <si>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</si>
  <si>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</si>
  <si>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</si>
  <si>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</si>
  <si>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</si>
  <si>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</si>
  <si>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</si>
  <si>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</si>
  <si>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</si>
  <si>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</si>
  <si>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End Date</t>
  </si>
  <si>
    <t xml:space="preserve">Days</t>
  </si>
  <si>
    <t xml:space="preserve">LIBOR</t>
  </si>
  <si>
    <t xml:space="preserve">Interest</t>
  </si>
  <si>
    <t xml:space="preserve">Interest Expense Summary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</si>
  <si>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</si>
  <si>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</si>
  <si>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</si>
  <si>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</si>
  <si>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</si>
  <si>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Partial Termination of Hanover</t>
  </si>
  <si>
    <t xml:space="preserve">ENE Shares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</si>
  <si>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</si>
  <si>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</si>
  <si>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</si>
  <si>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</si>
  <si>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</si>
  <si>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Number of Shares</t>
  </si>
  <si>
    <t xml:space="preserve">Share Price</t>
  </si>
  <si>
    <t xml:space="preserve">Sub Total</t>
  </si>
  <si>
    <t xml:space="preserve">Discount</t>
  </si>
  <si>
    <t xml:space="preserve">Maximum Amount</t>
  </si>
  <si>
    <t xml:space="preserve">Balance Sheet</t>
  </si>
  <si>
    <t xml:space="preserve">Note Amount</t>
  </si>
  <si>
    <t xml:space="preserve">Net (Income)/Loss</t>
  </si>
  <si>
    <t xml:space="preserve">zero check</t>
  </si>
  <si>
    <t xml:space="preserve">Net Income/(Loss)</t>
  </si>
  <si>
    <t xml:space="preserve">Amortization</t>
  </si>
  <si>
    <t xml:space="preserve">Gain or (Loss)</t>
  </si>
  <si>
    <t xml:space="preserve">Debt</t>
  </si>
  <si>
    <t xml:space="preserve">Increase/(decrease)</t>
  </si>
  <si>
    <t xml:space="preserve">Amotization</t>
  </si>
  <si>
    <t xml:space="preserve">ending date</t>
  </si>
  <si>
    <t xml:space="preserve">total days</t>
  </si>
  <si>
    <t xml:space="preserve">current date</t>
  </si>
  <si>
    <t xml:space="preserve">number of days</t>
  </si>
  <si>
    <t xml:space="preserve">amortization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</si>
  <si>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</si>
  <si>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</si>
  <si>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</si>
  <si>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</si>
  <si>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</si>
  <si>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</si>
  <si>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</si>
  <si>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</si>
  <si>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</si>
  <si>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</si>
  <si>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</si>
  <si>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</si>
  <si>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</si>
  <si>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</si>
  <si>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</si>
  <si>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</si>
  <si>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</si>
  <si>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</si>
  <si>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</si>
  <si>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</si>
  <si>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</si>
  <si>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</si>
  <si>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</si>
  <si>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</si>
  <si>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</si>
  <si>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</si>
  <si>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</si>
  <si>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</si>
  <si>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</si>
  <si>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</si>
  <si>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</si>
  <si>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</si>
  <si>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</si>
  <si>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</si>
  <si>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Raptor II Shares</t>
  </si>
  <si>
    <t xml:space="preserve">Origanal Shares</t>
  </si>
  <si>
    <t xml:space="preserve">Origanal Discount</t>
  </si>
  <si>
    <t xml:space="preserve">Balance</t>
  </si>
  <si>
    <t xml:space="preserve">Shares Available</t>
  </si>
  <si>
    <t xml:space="preserve">New ENE Shares</t>
  </si>
  <si>
    <t xml:space="preserve">Total Shares</t>
  </si>
  <si>
    <t xml:space="preserve">R 2 Shares</t>
  </si>
  <si>
    <t xml:space="preserve">R2 Cost</t>
  </si>
  <si>
    <t xml:space="preserve">Raptor 1</t>
  </si>
  <si>
    <t xml:space="preserve">Raptor 2</t>
  </si>
  <si>
    <t xml:space="preserve">Raptor 4</t>
  </si>
  <si>
    <t xml:space="preserve"> need to update quarterly</t>
  </si>
  <si>
    <t xml:space="preserve">Value for F/S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</si>
  <si>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</si>
  <si>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</si>
  <si>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</si>
  <si>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</si>
  <si>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</si>
  <si>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</si>
  <si>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</si>
  <si>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</si>
  <si>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</si>
  <si>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</si>
  <si>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</si>
  <si>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</si>
  <si>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</si>
  <si>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</si>
  <si>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</si>
  <si>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</si>
  <si>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</si>
  <si>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</si>
  <si>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</si>
  <si>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</si>
  <si>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</si>
  <si>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</si>
  <si>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</si>
  <si>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</si>
  <si>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</si>
  <si>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Funding</t>
  </si>
  <si>
    <t xml:space="preserve">Structured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</si>
  <si>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</si>
  <si>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</si>
  <si>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</si>
  <si>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</si>
  <si>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</si>
  <si>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</si>
  <si>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</si>
  <si>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</si>
  <si>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</si>
  <si>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</si>
  <si>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</si>
  <si>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</si>
  <si>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</si>
  <si>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</si>
  <si>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</si>
  <si>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</si>
  <si>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</si>
  <si>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</si>
  <si>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</si>
  <si>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</si>
  <si>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</si>
  <si>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</si>
  <si>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</si>
  <si>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</si>
  <si>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</si>
  <si>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</si>
  <si>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</si>
  <si>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</si>
  <si>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</si>
  <si>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Partner</t>
  </si>
  <si>
    <t xml:space="preserve">Do Not Delete</t>
  </si>
  <si>
    <t xml:space="preserve">Vehicle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</si>
  <si>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</si>
  <si>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</si>
  <si>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</si>
  <si>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</si>
  <si>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</si>
  <si>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</si>
  <si>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</si>
  <si>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</si>
  <si>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</si>
  <si>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</si>
  <si>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</si>
  <si>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</si>
  <si>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</si>
  <si>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</si>
  <si>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</si>
  <si>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</si>
  <si>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</si>
  <si>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</si>
  <si>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</si>
  <si>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</si>
  <si>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</si>
  <si>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</si>
  <si>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</si>
  <si>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</si>
  <si>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</si>
  <si>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</si>
  <si>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</si>
  <si>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</si>
  <si>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</si>
  <si>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</si>
  <si>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</si>
  <si>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</si>
  <si>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</si>
  <si>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</si>
  <si>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- Raptor - EPI</t>
  </si>
  <si>
    <t xml:space="preserve">Hickey</t>
  </si>
  <si>
    <t xml:space="preserve">713-853-3195</t>
  </si>
  <si>
    <t xml:space="preserve">Avici EBS Raptor I</t>
  </si>
  <si>
    <t xml:space="preserve">US;AVCI</t>
  </si>
  <si>
    <t xml:space="preserve">Network Equipment</t>
  </si>
  <si>
    <t xml:space="preserve">Public</t>
  </si>
  <si>
    <t xml:space="preserve">Raptor</t>
  </si>
  <si>
    <t xml:space="preserve">N</t>
  </si>
  <si>
    <t xml:space="preserve">Enron Raptor I - EBS Public Total</t>
  </si>
  <si>
    <t xml:space="preserve">EBS - Raptor - EPI Total</t>
  </si>
  <si>
    <t xml:space="preserve">Enron Raptor I - Priv. Equity Partnerships</t>
  </si>
  <si>
    <t xml:space="preserve">Energy Capital Resources Raptor</t>
  </si>
  <si>
    <t xml:space="preserve">S. Josey</t>
  </si>
  <si>
    <t xml:space="preserve">713-853-0321</t>
  </si>
  <si>
    <t xml:space="preserve">Ameritex Raptor I</t>
  </si>
  <si>
    <t xml:space="preserve">Energy Capital Resources</t>
  </si>
  <si>
    <t xml:space="preserve">Partnership</t>
  </si>
  <si>
    <t xml:space="preserve">JEDI I</t>
  </si>
  <si>
    <t xml:space="preserve">J. Thompson</t>
  </si>
  <si>
    <t xml:space="preserve">713-853-3019</t>
  </si>
  <si>
    <t xml:space="preserve">Juniper Raptor I</t>
  </si>
  <si>
    <t xml:space="preserve">Condor I - Energy Capital Resources</t>
  </si>
  <si>
    <t xml:space="preserve">JEDI II</t>
  </si>
  <si>
    <t xml:space="preserve">Juniper Exposure Raptor I</t>
  </si>
  <si>
    <t xml:space="preserve">Texland Raptor I</t>
  </si>
  <si>
    <t xml:space="preserve">Texland Exposure Raptor I</t>
  </si>
  <si>
    <t xml:space="preserve">Vastar Raptor I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</si>
  <si>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</si>
  <si>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</si>
  <si>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</si>
  <si>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</si>
  <si>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</si>
  <si>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</si>
  <si>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</si>
  <si>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</si>
  <si>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</si>
  <si>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</si>
  <si>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</si>
  <si>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</si>
  <si>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</si>
  <si>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 - EPI</t>
  </si>
  <si>
    <t xml:space="preserve">Enerson</t>
  </si>
  <si>
    <t xml:space="preserve">713-853-1788</t>
  </si>
  <si>
    <t xml:space="preserve">Oconto Falls Common Raptor I</t>
  </si>
  <si>
    <t xml:space="preserve">Paper</t>
  </si>
  <si>
    <t xml:space="preserve">Oconto Falls IPC Raptor I</t>
  </si>
  <si>
    <t xml:space="preserve">Paper Raptor - EPI Total</t>
  </si>
  <si>
    <t xml:space="preserve">Enron Raptor I - US Public</t>
  </si>
  <si>
    <t xml:space="preserve">Principal Investing - Raptor - EPI</t>
  </si>
  <si>
    <t xml:space="preserve">Kuykendall</t>
  </si>
  <si>
    <t xml:space="preserve">713-853-3995</t>
  </si>
  <si>
    <t xml:space="preserve">Active Power Raptor I</t>
  </si>
  <si>
    <t xml:space="preserve">US;ACPW</t>
  </si>
  <si>
    <t xml:space="preserve">Condor I - Principal Investing</t>
  </si>
  <si>
    <t xml:space="preserve">Enron Raptor I - US Public Total</t>
  </si>
  <si>
    <t xml:space="preserve">Principal Investing - Raptor - EPI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</si>
  <si>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</si>
  <si>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</si>
  <si>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</si>
  <si>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</si>
  <si>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</si>
  <si>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</si>
  <si>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</si>
  <si>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</si>
  <si>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</si>
  <si>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</si>
  <si>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</si>
  <si>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</si>
  <si>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</si>
  <si>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</si>
  <si>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</si>
  <si>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</si>
  <si>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Financing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</si>
  <si>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</si>
  <si>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</si>
  <si>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</si>
  <si>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</si>
  <si>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</si>
  <si>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</si>
  <si>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Condor II - Energy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</si>
  <si>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</si>
  <si>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</si>
  <si>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</si>
  <si>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Convertible - Private</t>
  </si>
  <si>
    <t xml:space="preserve">Special Assets - Raptor - EPI</t>
  </si>
  <si>
    <t xml:space="preserve">Venoco Convertible Raptor I</t>
  </si>
  <si>
    <t xml:space="preserve">Condor I - Special Assets</t>
  </si>
  <si>
    <t xml:space="preserve">Convertible</t>
  </si>
  <si>
    <t xml:space="preserve">Convertible Preferred</t>
  </si>
  <si>
    <t xml:space="preserve">Condor</t>
  </si>
  <si>
    <t xml:space="preserve"> -   </t>
  </si>
  <si>
    <t xml:space="preserve">Enron Raptor I - Convertible - Private Total</t>
  </si>
  <si>
    <t xml:space="preserve">Amerada Hess Exposure Raptor I</t>
  </si>
  <si>
    <t xml:space="preserve">Special Assets</t>
  </si>
  <si>
    <t xml:space="preserve">City Forest IPC Raptor I</t>
  </si>
  <si>
    <t xml:space="preserve">Private </t>
  </si>
  <si>
    <t xml:space="preserve">LTD. Partnership</t>
  </si>
  <si>
    <t xml:space="preserve">Enron Raptor I - US Private</t>
  </si>
  <si>
    <t xml:space="preserve">Morris</t>
  </si>
  <si>
    <t xml:space="preserve">713-345-7134</t>
  </si>
  <si>
    <t xml:space="preserve">Basic Energy CFPC Raptor I</t>
  </si>
  <si>
    <t xml:space="preserve">Basic Energy Preferred Raptor I</t>
  </si>
  <si>
    <t xml:space="preserve">WB Oil &amp; Gas Raptor I</t>
  </si>
  <si>
    <t xml:space="preserve">Heartland Steel Common Raptor I</t>
  </si>
  <si>
    <t xml:space="preserve">Heartland Steel Common Condor Raptor I</t>
  </si>
  <si>
    <t xml:space="preserve">Steel</t>
  </si>
  <si>
    <t xml:space="preserve">Condor/Raptor</t>
  </si>
  <si>
    <t xml:space="preserve">Enron Raptor I - US Private Total</t>
  </si>
  <si>
    <t xml:space="preserve">Paradigm Common Raptor I</t>
  </si>
  <si>
    <t xml:space="preserve">US;PGEO</t>
  </si>
  <si>
    <t xml:space="preserve">Enserco</t>
  </si>
  <si>
    <t xml:space="preserve">DevX Energy Common Raptor I</t>
  </si>
  <si>
    <t xml:space="preserve">Johnson</t>
  </si>
  <si>
    <t xml:space="preserve">713-853-9453</t>
  </si>
  <si>
    <t xml:space="preserve">Catalytica Common Raptor I</t>
  </si>
  <si>
    <t xml:space="preserve">US;CESI</t>
  </si>
  <si>
    <t xml:space="preserve">Condor II - Special Assets</t>
  </si>
  <si>
    <t xml:space="preserve">Enron Raptor I - US Structured Credit-Book</t>
  </si>
  <si>
    <t xml:space="preserve">Meier</t>
  </si>
  <si>
    <t xml:space="preserve">713-345-8961</t>
  </si>
  <si>
    <t xml:space="preserve">Ecogas Loan Raptor I</t>
  </si>
  <si>
    <t xml:space="preserve">LSI Preferred (AIM) Raptor I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</si>
  <si>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</si>
  <si>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</si>
  <si>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</si>
  <si>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</si>
  <si>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Enron Raptor I - US Structured Credit-Book Total</t>
  </si>
  <si>
    <t xml:space="preserve">Enron Raptor I - US Structured Credit-Book RA</t>
  </si>
  <si>
    <t xml:space="preserve">Heartland Contingent Construction Loan Raptor I</t>
  </si>
  <si>
    <t xml:space="preserve">Hughes Rawls Loan Raptor I</t>
  </si>
  <si>
    <t xml:space="preserve">Hughes Rawls Note Raptor I</t>
  </si>
  <si>
    <t xml:space="preserve">Industrial Holdings Raptor I</t>
  </si>
  <si>
    <t xml:space="preserve">Enron Raptor I - US Structured Credit-Book RA Total</t>
  </si>
  <si>
    <t xml:space="preserve">Enron Raptor I - Warrants - Private</t>
  </si>
  <si>
    <t xml:space="preserve">Hornbeck-Leevac Warrants Raptor I</t>
  </si>
  <si>
    <t xml:space="preserve">Heartland Steel Warrants Raptor I</t>
  </si>
  <si>
    <t xml:space="preserve">LSI Warrants (AIM) Raptor I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</si>
  <si>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</si>
  <si>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</si>
  <si>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</si>
  <si>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</si>
  <si>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3TEC Warrants Raptor I</t>
  </si>
  <si>
    <t xml:space="preserve">Enron Raptor I - Warrants - Public Total</t>
  </si>
  <si>
    <t xml:space="preserve">Enron Raptor II - Total Return Swap</t>
  </si>
  <si>
    <t xml:space="preserve">Hanover Compressor Raptor II TRS</t>
  </si>
  <si>
    <t xml:space="preserve">Enron Raptor II - Total Return Swap Total</t>
  </si>
  <si>
    <t xml:space="preserve">Enron Raptor II - US Public</t>
  </si>
  <si>
    <t xml:space="preserve">Hanover Compressor Common Raptor II</t>
  </si>
  <si>
    <t xml:space="preserve">N/A</t>
  </si>
  <si>
    <t xml:space="preserve">Hanover Compressor Common Raptor II Offset</t>
  </si>
  <si>
    <t xml:space="preserve">Enron Raptor II - US Public Total</t>
  </si>
  <si>
    <t xml:space="preserve">Special Assets - Raptor - EPI Total</t>
  </si>
  <si>
    <t xml:space="preserve">Enron Raptor II - EGF SLP - Total Return Swap</t>
  </si>
  <si>
    <t xml:space="preserve">Special Assets EGF Raptor - EPI</t>
  </si>
  <si>
    <t xml:space="preserve">Hanover Compressor EGF Raptor II TRS</t>
  </si>
  <si>
    <t xml:space="preserve">Enron Raptor II - EGF SLP - Total Return Swap Total</t>
  </si>
  <si>
    <t xml:space="preserve">Special Assets EGF Raptor - EPI Total</t>
  </si>
  <si>
    <t xml:space="preserve">Grand Total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</si>
</sst>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0.00000%"/>
    <numFmt numFmtId="179" formatCode="_(* #,##0_);_(* \(#,##0\);_(* \-_);_(@_)"/>
    <numFmt numFmtId="180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4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4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4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4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3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0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>
        <row r="70">
          <cell r="I70">
            <v>6326045</v>
          </cell>
        </row>
      </sheetData>
      <sheetData sheetId="1">
        <row r="2">
          <cell r="I2">
            <v>36976</v>
          </cell>
        </row>
        <row r="3">
          <cell r="B3">
            <v>37161</v>
          </cell>
        </row>
        <row r="4">
          <cell r="C4">
            <v>0</v>
          </cell>
        </row>
        <row r="4">
          <cell r="H4">
            <v>102808992.48035</v>
          </cell>
        </row>
        <row r="5">
          <cell r="B5">
            <v>25.25</v>
          </cell>
        </row>
        <row r="16">
          <cell r="C16">
            <v>1</v>
          </cell>
        </row>
        <row r="16">
          <cell r="H16">
            <v>61.48</v>
          </cell>
          <cell r="I16">
            <v>91.02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+'Stock Prices'!A346</f>
        <v>37161</v>
      </c>
      <c r="D5" s="10" t="s">
        <v>3</v>
      </c>
      <c r="E5" s="11" t="n">
        <f aca="false">+C5-1</f>
        <v>37160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Position'!T13</f>
        <v>-53095720</v>
      </c>
      <c r="D12" s="15" t="n">
        <f aca="false">+'Daily Position'!S13</f>
        <v>-11278182.528</v>
      </c>
      <c r="E12" s="15" t="n">
        <f aca="false">+C12-D12</f>
        <v>-41817537.472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Position'!R13</f>
        <v>-53095720</v>
      </c>
      <c r="D15" s="17" t="n">
        <f aca="false">+'Daily Position'!Q13</f>
        <v>-11278182.528</v>
      </c>
      <c r="E15" s="17" t="n">
        <f aca="false">+C15-D15</f>
        <v>-41817537.472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IF(+Financials!P27&lt;0,"No Capacity Available",+Financials!P27)</f>
        <v>11275008.8833113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+Financials!I42</f>
        <v>145945609.663873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Position'!I13</f>
        <v>986904280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7.24"/>
    <col collapsed="false" customWidth="true" hidden="false" outlineLevel="0" max="2" min="2" style="0" width="31.87"/>
    <col collapsed="false" customWidth="true" hidden="false" outlineLevel="0" max="3" min="3" style="0" width="11.24"/>
    <col collapsed="false" customWidth="true" hidden="true" outlineLevel="0" max="4" min="4" style="0" width="12.12"/>
    <col collapsed="false" customWidth="true" hidden="false" outlineLevel="0" max="5" min="5" style="0" width="36.62"/>
    <col collapsed="false" customWidth="true" hidden="false" outlineLevel="0" max="6" min="6" style="0" width="8.62"/>
    <col collapsed="false" customWidth="true" hidden="false" outlineLevel="0" max="7" min="7" style="0" width="27.86"/>
    <col collapsed="false" customWidth="true" hidden="true" outlineLevel="0" max="8" min="8" style="0" width="8.74"/>
    <col collapsed="false" customWidth="true" hidden="true" outlineLevel="0" max="9" min="9" style="0" width="15.99"/>
    <col collapsed="false" customWidth="true" hidden="false" outlineLevel="0" max="10" min="10" style="0" width="11.87"/>
    <col collapsed="false" customWidth="true" hidden="true" outlineLevel="0" max="11" min="11" style="0" width="13.11"/>
    <col collapsed="false" customWidth="true" hidden="true" outlineLevel="0" max="13" min="12" style="0" width="7.11"/>
    <col collapsed="false" customWidth="true" hidden="true" outlineLevel="0" max="14" min="14" style="0" width="6.12"/>
    <col collapsed="false" customWidth="true" hidden="true" outlineLevel="0" max="15" min="15" style="0" width="13.11"/>
    <col collapsed="false" customWidth="true" hidden="true" outlineLevel="0" max="16" min="16" style="0" width="12.24"/>
    <col collapsed="false" customWidth="true" hidden="true" outlineLevel="0" max="17" min="17" style="0" width="10.99"/>
    <col collapsed="false" customWidth="true" hidden="true" outlineLevel="0" max="18" min="18" style="0" width="7.11"/>
    <col collapsed="false" customWidth="true" hidden="true" outlineLevel="0" max="19" min="19" style="0" width="11.49"/>
    <col collapsed="false" customWidth="true" hidden="true" outlineLevel="0" max="20" min="20" style="0" width="11.24"/>
    <col collapsed="false" customWidth="true" hidden="false" outlineLevel="0" max="21" min="21" style="0" width="14.49"/>
    <col collapsed="false" customWidth="true" hidden="true" outlineLevel="0" max="22" min="22" style="0" width="15.99"/>
    <col collapsed="false" customWidth="true" hidden="true" outlineLevel="0" max="23" min="23" style="0" width="13.62"/>
    <col collapsed="false" customWidth="true" hidden="true" outlineLevel="0" max="24" min="24" style="0" width="5.99"/>
    <col collapsed="false" customWidth="true" hidden="true" outlineLevel="0" max="25" min="25" style="0" width="13.62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49"/>
    <col collapsed="false" customWidth="true" hidden="false" outlineLevel="0" max="30" min="30" style="0" width="13.24"/>
    <col collapsed="false" customWidth="true" hidden="false" outlineLevel="0" max="31" min="31" style="0" width="10.62"/>
    <col collapsed="false" customWidth="true" hidden="false" outlineLevel="0" max="32" min="32" style="0" width="12.86"/>
    <col collapsed="false" customWidth="true" hidden="false" outlineLevel="0" max="33" min="33" style="0" width="9.62"/>
    <col collapsed="false" customWidth="true" hidden="false" outlineLevel="0" max="34" min="34" style="0" width="14.12"/>
    <col collapsed="false" customWidth="true" hidden="false" outlineLevel="0" max="35" min="35" style="0" width="10.62"/>
    <col collapsed="false" customWidth="true" hidden="false" outlineLevel="0" max="36" min="36" style="0" width="13.62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49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49"/>
    <col collapsed="false" customWidth="true" hidden="true" outlineLevel="0" max="43" min="43" style="0" width="12.86"/>
    <col collapsed="false" customWidth="true" hidden="true" outlineLevel="0" max="44" min="44" style="0" width="13.99"/>
    <col collapsed="false" customWidth="true" hidden="true" outlineLevel="0" max="45" min="45" style="0" width="16.87"/>
    <col collapsed="false" customWidth="true" hidden="true" outlineLevel="0" max="46" min="46" style="0" width="11.87"/>
    <col collapsed="false" customWidth="true" hidden="true" outlineLevel="0" max="47" min="47" style="0" width="10.62"/>
    <col collapsed="false" customWidth="true" hidden="true" outlineLevel="0" max="48" min="48" style="0" width="12.86"/>
    <col collapsed="false" customWidth="true" hidden="true" outlineLevel="0" max="49" min="49" style="0" width="9.62"/>
    <col collapsed="false" customWidth="true" hidden="true" outlineLevel="0" max="50" min="50" style="0" width="14.99"/>
    <col collapsed="false" customWidth="true" hidden="true" outlineLevel="0" max="51" min="51" style="0" width="10.62"/>
    <col collapsed="false" customWidth="true" hidden="true" outlineLevel="0" max="52" min="52" style="0" width="14.49"/>
    <col collapsed="false" customWidth="true" hidden="true" outlineLevel="0" max="53" min="53" style="0" width="9.62"/>
    <col collapsed="false" customWidth="true" hidden="false" outlineLevel="0" max="55" min="55" style="0" width="12.12"/>
    <col collapsed="false" customWidth="true" hidden="true" outlineLevel="0" max="56" min="56" style="0" width="11.24"/>
    <col collapsed="false" customWidth="true" hidden="true" outlineLevel="0" max="57" min="57" style="0" width="10.62"/>
    <col collapsed="false" customWidth="true" hidden="true" outlineLevel="0" max="58" min="58" style="0" width="12.86"/>
    <col collapsed="false" customWidth="true" hidden="true" outlineLevel="0" max="59" min="59" style="0" width="9.62"/>
    <col collapsed="false" customWidth="true" hidden="true" outlineLevel="0" max="60" min="60" style="0" width="13.62"/>
    <col collapsed="false" customWidth="true" hidden="true" outlineLevel="0" max="61" min="61" style="0" width="10.62"/>
    <col collapsed="false" customWidth="true" hidden="true" outlineLevel="0" max="62" min="62" style="0" width="13.11"/>
    <col collapsed="false" customWidth="true" hidden="true" outlineLevel="0" max="63" min="63" style="0" width="9.62"/>
    <col collapsed="false" customWidth="true" hidden="true" outlineLevel="0" max="64" min="64" style="0" width="13.99"/>
    <col collapsed="false" customWidth="true" hidden="true" outlineLevel="0" max="65" min="65" style="0" width="9.86"/>
    <col collapsed="false" customWidth="true" hidden="true" outlineLevel="0" max="66" min="66" style="0" width="15.86"/>
    <col collapsed="false" customWidth="true" hidden="true" outlineLevel="0" max="67" min="67" style="0" width="11.99"/>
    <col collapsed="false" customWidth="true" hidden="true" outlineLevel="0" max="68" min="68" style="0" width="13.11"/>
    <col collapsed="false" customWidth="true" hidden="true" outlineLevel="0" max="69" min="69" style="0" width="10.74"/>
    <col collapsed="false" customWidth="true" hidden="true" outlineLevel="0" max="70" min="70" style="0" width="12.24"/>
    <col collapsed="false" customWidth="true" hidden="true" outlineLevel="0" max="71" min="71" style="0" width="9.12"/>
    <col collapsed="false" customWidth="true" hidden="true" outlineLevel="0" max="72" min="72" style="0" width="10.37"/>
    <col collapsed="false" customWidth="true" hidden="true" outlineLevel="0" max="73" min="73" style="0" width="15.74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12.74"/>
    <col collapsed="false" customWidth="true" hidden="true" outlineLevel="0" max="78" min="78" style="0" width="12.24"/>
    <col collapsed="false" customWidth="true" hidden="false" outlineLevel="0" max="79" min="79" style="0" width="13.62"/>
    <col collapsed="false" customWidth="true" hidden="true" outlineLevel="0" max="80" min="80" style="0" width="13.62"/>
    <col collapsed="false" customWidth="true" hidden="true" outlineLevel="0" max="84" min="81" style="0" width="11.49"/>
    <col collapsed="false" customWidth="true" hidden="true" outlineLevel="0" max="85" min="85" style="0" width="13.62"/>
    <col collapsed="false" customWidth="true" hidden="true" outlineLevel="0" max="86" min="86" style="0" width="10.62"/>
    <col collapsed="false" customWidth="true" hidden="true" outlineLevel="0" max="87" min="87" style="0" width="13.11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1"/>
      <c r="B1" s="191"/>
      <c r="C1" s="191"/>
      <c r="D1" s="191"/>
      <c r="E1" s="191"/>
      <c r="F1" s="191"/>
      <c r="G1" s="191"/>
      <c r="H1" s="191"/>
      <c r="I1" s="192"/>
      <c r="J1" s="193" t="s">
        <v>297</v>
      </c>
      <c r="K1" s="193" t="s">
        <v>298</v>
      </c>
      <c r="L1" s="194"/>
      <c r="M1" s="193"/>
      <c r="N1" s="195"/>
      <c r="O1" s="194" t="s">
        <v>299</v>
      </c>
      <c r="P1" s="194" t="s">
        <v>300</v>
      </c>
      <c r="Q1" s="194" t="s">
        <v>301</v>
      </c>
      <c r="R1" s="194" t="s">
        <v>302</v>
      </c>
      <c r="S1" s="194"/>
      <c r="T1" s="194"/>
      <c r="U1" s="196" t="s">
        <v>299</v>
      </c>
      <c r="V1" s="194" t="s">
        <v>65</v>
      </c>
      <c r="W1" s="194"/>
      <c r="X1" s="197"/>
      <c r="Y1" s="194"/>
      <c r="Z1" s="197"/>
      <c r="AA1" s="197"/>
      <c r="AB1" s="197"/>
      <c r="AC1" s="196" t="s">
        <v>303</v>
      </c>
      <c r="AD1" s="195" t="s">
        <v>304</v>
      </c>
      <c r="AE1" s="195"/>
      <c r="AF1" s="195"/>
      <c r="AG1" s="195"/>
      <c r="AH1" s="195"/>
      <c r="AI1" s="195"/>
      <c r="AJ1" s="195"/>
      <c r="AK1" s="195"/>
      <c r="AL1" s="198"/>
      <c r="AM1" s="197"/>
      <c r="AN1" s="198"/>
      <c r="AO1" s="197"/>
      <c r="AP1" s="197"/>
      <c r="AQ1" s="197" t="s">
        <v>305</v>
      </c>
      <c r="AR1" s="195"/>
      <c r="AS1" s="194" t="s">
        <v>299</v>
      </c>
      <c r="AT1" s="195" t="s">
        <v>306</v>
      </c>
      <c r="AU1" s="195"/>
      <c r="AV1" s="195"/>
      <c r="AW1" s="195"/>
      <c r="AX1" s="195"/>
      <c r="AY1" s="195"/>
      <c r="AZ1" s="195"/>
      <c r="BA1" s="195"/>
      <c r="BB1" s="197" t="s">
        <v>297</v>
      </c>
      <c r="BC1" s="197" t="s">
        <v>298</v>
      </c>
      <c r="BD1" s="195" t="s">
        <v>307</v>
      </c>
      <c r="BE1" s="195"/>
      <c r="BF1" s="195"/>
      <c r="BG1" s="195"/>
      <c r="BH1" s="195"/>
      <c r="BI1" s="195"/>
      <c r="BJ1" s="195"/>
      <c r="BK1" s="195"/>
      <c r="BL1" s="197" t="s">
        <v>298</v>
      </c>
      <c r="BM1" s="197" t="s">
        <v>308</v>
      </c>
      <c r="BN1" s="197" t="s">
        <v>309</v>
      </c>
      <c r="BO1" s="197" t="s">
        <v>310</v>
      </c>
      <c r="BP1" s="197"/>
      <c r="BQ1" s="194"/>
      <c r="BR1" s="193"/>
      <c r="BS1" s="197"/>
      <c r="BT1" s="197" t="s">
        <v>311</v>
      </c>
      <c r="BU1" s="199" t="s">
        <v>312</v>
      </c>
      <c r="BV1" s="197"/>
      <c r="BW1" s="197" t="s">
        <v>311</v>
      </c>
      <c r="BX1" s="197" t="s">
        <v>313</v>
      </c>
      <c r="BY1" s="194"/>
      <c r="BZ1" s="194"/>
      <c r="CA1" s="194"/>
      <c r="CB1" s="194"/>
      <c r="CC1" s="194"/>
      <c r="CD1" s="194"/>
      <c r="CE1" s="194"/>
      <c r="CF1" s="194"/>
      <c r="CG1" s="197" t="s">
        <v>314</v>
      </c>
      <c r="CH1" s="197"/>
      <c r="CI1" s="197"/>
      <c r="CJ1" s="197"/>
      <c r="CK1" s="193" t="s">
        <v>315</v>
      </c>
      <c r="CL1" s="193" t="s">
        <v>316</v>
      </c>
    </row>
    <row r="2" customFormat="false" ht="15.75" hidden="false" customHeight="false" outlineLevel="0" collapsed="false">
      <c r="A2" s="200"/>
      <c r="B2" s="200"/>
      <c r="C2" s="200" t="s">
        <v>317</v>
      </c>
      <c r="D2" s="200"/>
      <c r="E2" s="200"/>
      <c r="F2" s="200"/>
      <c r="G2" s="200"/>
      <c r="H2" s="200" t="s">
        <v>318</v>
      </c>
      <c r="I2" s="201"/>
      <c r="J2" s="202" t="s">
        <v>319</v>
      </c>
      <c r="K2" s="202" t="s">
        <v>319</v>
      </c>
      <c r="L2" s="203"/>
      <c r="M2" s="202" t="s">
        <v>320</v>
      </c>
      <c r="N2" s="204"/>
      <c r="O2" s="203" t="s">
        <v>37</v>
      </c>
      <c r="P2" s="203" t="s">
        <v>321</v>
      </c>
      <c r="Q2" s="203" t="s">
        <v>321</v>
      </c>
      <c r="R2" s="203" t="s">
        <v>322</v>
      </c>
      <c r="S2" s="203"/>
      <c r="T2" s="203" t="s">
        <v>323</v>
      </c>
      <c r="U2" s="205" t="s">
        <v>37</v>
      </c>
      <c r="V2" s="203" t="s">
        <v>324</v>
      </c>
      <c r="W2" s="203" t="s">
        <v>325</v>
      </c>
      <c r="X2" s="203" t="s">
        <v>326</v>
      </c>
      <c r="Y2" s="203" t="s">
        <v>121</v>
      </c>
      <c r="Z2" s="203" t="s">
        <v>325</v>
      </c>
      <c r="AA2" s="203" t="s">
        <v>326</v>
      </c>
      <c r="AB2" s="203" t="s">
        <v>121</v>
      </c>
      <c r="AC2" s="205" t="s">
        <v>299</v>
      </c>
      <c r="AD2" s="204" t="s">
        <v>327</v>
      </c>
      <c r="AE2" s="204"/>
      <c r="AF2" s="204"/>
      <c r="AG2" s="204"/>
      <c r="AH2" s="206" t="s">
        <v>328</v>
      </c>
      <c r="AI2" s="206"/>
      <c r="AJ2" s="206"/>
      <c r="AK2" s="206"/>
      <c r="AL2" s="207" t="n">
        <v>36525</v>
      </c>
      <c r="AM2" s="203" t="s">
        <v>329</v>
      </c>
      <c r="AN2" s="203" t="s">
        <v>330</v>
      </c>
      <c r="AO2" s="203" t="s">
        <v>331</v>
      </c>
      <c r="AP2" s="203" t="s">
        <v>332</v>
      </c>
      <c r="AQ2" s="203" t="s">
        <v>333</v>
      </c>
      <c r="AR2" s="204" t="s">
        <v>334</v>
      </c>
      <c r="AS2" s="203" t="s">
        <v>37</v>
      </c>
      <c r="AT2" s="204" t="s">
        <v>335</v>
      </c>
      <c r="AU2" s="204"/>
      <c r="AV2" s="204"/>
      <c r="AW2" s="204"/>
      <c r="AX2" s="204" t="s">
        <v>330</v>
      </c>
      <c r="AY2" s="204"/>
      <c r="AZ2" s="204"/>
      <c r="BA2" s="204"/>
      <c r="BB2" s="203" t="s">
        <v>333</v>
      </c>
      <c r="BC2" s="203" t="s">
        <v>333</v>
      </c>
      <c r="BD2" s="204" t="s">
        <v>335</v>
      </c>
      <c r="BE2" s="204"/>
      <c r="BF2" s="204"/>
      <c r="BG2" s="204"/>
      <c r="BH2" s="204" t="s">
        <v>330</v>
      </c>
      <c r="BI2" s="204"/>
      <c r="BJ2" s="204"/>
      <c r="BK2" s="204"/>
      <c r="BL2" s="203" t="s">
        <v>332</v>
      </c>
      <c r="BM2" s="203" t="s">
        <v>336</v>
      </c>
      <c r="BN2" s="203" t="s">
        <v>337</v>
      </c>
      <c r="BO2" s="203" t="s">
        <v>338</v>
      </c>
      <c r="BP2" s="208" t="s">
        <v>298</v>
      </c>
      <c r="BQ2" s="203" t="s">
        <v>339</v>
      </c>
      <c r="BR2" s="202" t="s">
        <v>33</v>
      </c>
      <c r="BS2" s="203" t="s">
        <v>340</v>
      </c>
      <c r="BT2" s="203" t="s">
        <v>316</v>
      </c>
      <c r="BU2" s="209" t="s">
        <v>341</v>
      </c>
      <c r="BV2" s="208" t="s">
        <v>342</v>
      </c>
      <c r="BW2" s="203" t="s">
        <v>333</v>
      </c>
      <c r="BX2" s="203" t="s">
        <v>333</v>
      </c>
      <c r="BY2" s="203" t="s">
        <v>327</v>
      </c>
      <c r="BZ2" s="203" t="s">
        <v>335</v>
      </c>
      <c r="CA2" s="203" t="s">
        <v>328</v>
      </c>
      <c r="CB2" s="203" t="s">
        <v>330</v>
      </c>
      <c r="CC2" s="203" t="s">
        <v>327</v>
      </c>
      <c r="CD2" s="203" t="s">
        <v>335</v>
      </c>
      <c r="CE2" s="203" t="s">
        <v>328</v>
      </c>
      <c r="CF2" s="203" t="s">
        <v>330</v>
      </c>
      <c r="CG2" s="204" t="s">
        <v>343</v>
      </c>
      <c r="CH2" s="204"/>
      <c r="CI2" s="204"/>
      <c r="CJ2" s="204"/>
      <c r="CK2" s="202" t="s">
        <v>344</v>
      </c>
      <c r="CL2" s="202" t="s">
        <v>315</v>
      </c>
    </row>
    <row r="3" customFormat="false" ht="15.75" hidden="false" customHeight="false" outlineLevel="0" collapsed="false">
      <c r="A3" s="210" t="s">
        <v>345</v>
      </c>
      <c r="B3" s="210" t="s">
        <v>346</v>
      </c>
      <c r="C3" s="210" t="s">
        <v>347</v>
      </c>
      <c r="D3" s="210" t="s">
        <v>348</v>
      </c>
      <c r="E3" s="210" t="s">
        <v>325</v>
      </c>
      <c r="F3" s="210" t="s">
        <v>30</v>
      </c>
      <c r="G3" s="210" t="s">
        <v>320</v>
      </c>
      <c r="H3" s="210" t="s">
        <v>349</v>
      </c>
      <c r="I3" s="211" t="s">
        <v>340</v>
      </c>
      <c r="J3" s="212" t="s">
        <v>350</v>
      </c>
      <c r="K3" s="212" t="s">
        <v>350</v>
      </c>
      <c r="L3" s="213" t="s">
        <v>331</v>
      </c>
      <c r="M3" s="212" t="s">
        <v>351</v>
      </c>
      <c r="N3" s="212" t="s">
        <v>334</v>
      </c>
      <c r="O3" s="213" t="s">
        <v>352</v>
      </c>
      <c r="P3" s="213" t="s">
        <v>352</v>
      </c>
      <c r="Q3" s="213" t="s">
        <v>352</v>
      </c>
      <c r="R3" s="214" t="s">
        <v>353</v>
      </c>
      <c r="S3" s="214" t="s">
        <v>354</v>
      </c>
      <c r="T3" s="214" t="s">
        <v>355</v>
      </c>
      <c r="U3" s="215" t="n">
        <v>37161</v>
      </c>
      <c r="V3" s="214" t="s">
        <v>356</v>
      </c>
      <c r="W3" s="214" t="s">
        <v>6</v>
      </c>
      <c r="X3" s="214" t="s">
        <v>6</v>
      </c>
      <c r="Y3" s="214" t="s">
        <v>6</v>
      </c>
      <c r="Z3" s="214" t="s">
        <v>357</v>
      </c>
      <c r="AA3" s="214" t="s">
        <v>357</v>
      </c>
      <c r="AB3" s="214" t="s">
        <v>357</v>
      </c>
      <c r="AC3" s="215" t="s">
        <v>37</v>
      </c>
      <c r="AD3" s="216" t="s">
        <v>358</v>
      </c>
      <c r="AE3" s="216" t="s">
        <v>359</v>
      </c>
      <c r="AF3" s="216" t="s">
        <v>360</v>
      </c>
      <c r="AG3" s="216" t="s">
        <v>361</v>
      </c>
      <c r="AH3" s="217" t="s">
        <v>358</v>
      </c>
      <c r="AI3" s="216" t="s">
        <v>359</v>
      </c>
      <c r="AJ3" s="216" t="s">
        <v>360</v>
      </c>
      <c r="AK3" s="218" t="s">
        <v>361</v>
      </c>
      <c r="AL3" s="216" t="s">
        <v>362</v>
      </c>
      <c r="AM3" s="214" t="s">
        <v>363</v>
      </c>
      <c r="AN3" s="214" t="s">
        <v>364</v>
      </c>
      <c r="AO3" s="214" t="s">
        <v>365</v>
      </c>
      <c r="AP3" s="214" t="s">
        <v>363</v>
      </c>
      <c r="AQ3" s="214" t="s">
        <v>366</v>
      </c>
      <c r="AR3" s="219" t="s">
        <v>365</v>
      </c>
      <c r="AS3" s="213" t="s">
        <v>367</v>
      </c>
      <c r="AT3" s="216" t="s">
        <v>358</v>
      </c>
      <c r="AU3" s="216" t="s">
        <v>359</v>
      </c>
      <c r="AV3" s="216" t="s">
        <v>360</v>
      </c>
      <c r="AW3" s="216" t="s">
        <v>361</v>
      </c>
      <c r="AX3" s="216" t="s">
        <v>358</v>
      </c>
      <c r="AY3" s="216" t="s">
        <v>359</v>
      </c>
      <c r="AZ3" s="216" t="s">
        <v>360</v>
      </c>
      <c r="BA3" s="216" t="s">
        <v>361</v>
      </c>
      <c r="BB3" s="213" t="s">
        <v>352</v>
      </c>
      <c r="BC3" s="213" t="s">
        <v>352</v>
      </c>
      <c r="BD3" s="216" t="s">
        <v>358</v>
      </c>
      <c r="BE3" s="216" t="s">
        <v>359</v>
      </c>
      <c r="BF3" s="216" t="s">
        <v>360</v>
      </c>
      <c r="BG3" s="216" t="s">
        <v>361</v>
      </c>
      <c r="BH3" s="216" t="s">
        <v>358</v>
      </c>
      <c r="BI3" s="216" t="s">
        <v>359</v>
      </c>
      <c r="BJ3" s="216" t="s">
        <v>360</v>
      </c>
      <c r="BK3" s="216" t="s">
        <v>361</v>
      </c>
      <c r="BL3" s="214" t="s">
        <v>363</v>
      </c>
      <c r="BM3" s="214" t="s">
        <v>368</v>
      </c>
      <c r="BN3" s="214" t="s">
        <v>369</v>
      </c>
      <c r="BO3" s="214" t="s">
        <v>370</v>
      </c>
      <c r="BP3" s="216" t="s">
        <v>360</v>
      </c>
      <c r="BQ3" s="213" t="s">
        <v>352</v>
      </c>
      <c r="BR3" s="212" t="s">
        <v>371</v>
      </c>
      <c r="BS3" s="213" t="s">
        <v>349</v>
      </c>
      <c r="BT3" s="213" t="s">
        <v>364</v>
      </c>
      <c r="BU3" s="220" t="s">
        <v>372</v>
      </c>
      <c r="BV3" s="216" t="s">
        <v>373</v>
      </c>
      <c r="BW3" s="213" t="s">
        <v>374</v>
      </c>
      <c r="BX3" s="213" t="s">
        <v>374</v>
      </c>
      <c r="BY3" s="213" t="s">
        <v>322</v>
      </c>
      <c r="BZ3" s="213" t="s">
        <v>322</v>
      </c>
      <c r="CA3" s="213" t="s">
        <v>322</v>
      </c>
      <c r="CB3" s="213" t="s">
        <v>322</v>
      </c>
      <c r="CC3" s="213" t="s">
        <v>375</v>
      </c>
      <c r="CD3" s="213" t="s">
        <v>375</v>
      </c>
      <c r="CE3" s="213" t="s">
        <v>375</v>
      </c>
      <c r="CF3" s="213" t="s">
        <v>375</v>
      </c>
      <c r="CG3" s="216" t="s">
        <v>358</v>
      </c>
      <c r="CH3" s="216" t="s">
        <v>359</v>
      </c>
      <c r="CI3" s="216" t="s">
        <v>360</v>
      </c>
      <c r="CJ3" s="216" t="s">
        <v>361</v>
      </c>
      <c r="CK3" s="212" t="s">
        <v>351</v>
      </c>
      <c r="CL3" s="212" t="s">
        <v>351</v>
      </c>
    </row>
    <row r="4" customFormat="false" ht="15.75" hidden="false" customHeight="false" outlineLevel="3" collapsed="false">
      <c r="A4" s="52" t="s">
        <v>376</v>
      </c>
      <c r="B4" s="52" t="s">
        <v>377</v>
      </c>
      <c r="C4" s="52" t="s">
        <v>378</v>
      </c>
      <c r="D4" s="52" t="s">
        <v>379</v>
      </c>
      <c r="E4" s="52" t="s">
        <v>380</v>
      </c>
      <c r="F4" s="52" t="s">
        <v>381</v>
      </c>
      <c r="G4" s="52" t="s">
        <v>382</v>
      </c>
      <c r="H4" s="52" t="s">
        <v>383</v>
      </c>
      <c r="I4" s="221" t="s">
        <v>384</v>
      </c>
      <c r="J4" s="222" t="n">
        <v>1</v>
      </c>
      <c r="K4" s="223" t="n">
        <v>1</v>
      </c>
      <c r="L4" s="224" t="n">
        <v>0</v>
      </c>
      <c r="M4" s="225" t="n">
        <v>0</v>
      </c>
      <c r="N4" s="225" t="n">
        <v>1</v>
      </c>
      <c r="O4" s="224" t="n">
        <v>0</v>
      </c>
      <c r="P4" s="226" t="n">
        <v>0</v>
      </c>
      <c r="Q4" s="227" t="n">
        <v>0</v>
      </c>
      <c r="R4" s="227" t="n">
        <v>0</v>
      </c>
      <c r="S4" s="228" t="n">
        <v>1</v>
      </c>
      <c r="T4" s="227" t="n">
        <v>0</v>
      </c>
      <c r="U4" s="229" t="n">
        <v>0</v>
      </c>
      <c r="V4" s="224" t="s">
        <v>385</v>
      </c>
      <c r="W4" s="224" t="n">
        <v>0</v>
      </c>
      <c r="X4" s="224" t="n">
        <v>0</v>
      </c>
      <c r="Y4" s="224" t="n">
        <v>0</v>
      </c>
      <c r="Z4" s="224" t="n">
        <v>0</v>
      </c>
      <c r="AA4" s="224" t="n">
        <v>0</v>
      </c>
      <c r="AB4" s="224" t="n">
        <v>0</v>
      </c>
      <c r="AC4" s="229" t="n">
        <v>0</v>
      </c>
      <c r="AD4" s="224" t="n">
        <v>0</v>
      </c>
      <c r="AE4" s="224" t="n">
        <v>0</v>
      </c>
      <c r="AF4" s="224" t="n">
        <v>0</v>
      </c>
      <c r="AG4" s="224" t="n">
        <v>0</v>
      </c>
      <c r="AH4" s="230" t="n">
        <v>0</v>
      </c>
      <c r="AI4" s="224" t="n">
        <v>0</v>
      </c>
      <c r="AJ4" s="224" t="n">
        <v>0</v>
      </c>
      <c r="AK4" s="231" t="n">
        <v>0</v>
      </c>
      <c r="AL4" s="232" t="n">
        <v>0</v>
      </c>
      <c r="AM4" s="224" t="n">
        <v>5407002.88</v>
      </c>
      <c r="AN4" s="225" t="n">
        <v>0</v>
      </c>
      <c r="AO4" s="232" t="n">
        <v>0</v>
      </c>
      <c r="AP4" s="224" t="n">
        <v>0</v>
      </c>
      <c r="AQ4" s="233" t="n">
        <v>1</v>
      </c>
      <c r="AR4" s="224" t="n">
        <v>0</v>
      </c>
      <c r="AS4" s="224" t="n">
        <v>0</v>
      </c>
      <c r="AT4" s="224" t="n">
        <v>0</v>
      </c>
      <c r="AU4" s="224" t="n">
        <v>0</v>
      </c>
      <c r="AV4" s="224" t="n">
        <v>0</v>
      </c>
      <c r="AW4" s="224" t="n">
        <v>0</v>
      </c>
      <c r="AX4" s="224" t="n">
        <v>0</v>
      </c>
      <c r="AY4" s="224" t="n">
        <v>0</v>
      </c>
      <c r="AZ4" s="224" t="n">
        <v>0</v>
      </c>
      <c r="BA4" s="224" t="n">
        <v>0</v>
      </c>
      <c r="BB4" s="224" t="s">
        <v>381</v>
      </c>
      <c r="BC4" s="224" t="s">
        <v>381</v>
      </c>
      <c r="BD4" s="224" t="n">
        <v>0</v>
      </c>
      <c r="BE4" s="224" t="n">
        <v>0</v>
      </c>
      <c r="BF4" s="224" t="n">
        <v>0</v>
      </c>
      <c r="BG4" s="224" t="n">
        <v>0</v>
      </c>
      <c r="BH4" s="224" t="n">
        <v>0</v>
      </c>
      <c r="BI4" s="224" t="n">
        <v>0</v>
      </c>
      <c r="BJ4" s="224" t="n">
        <v>0</v>
      </c>
      <c r="BK4" s="224" t="n">
        <v>0</v>
      </c>
      <c r="BL4" s="224" t="n">
        <v>0</v>
      </c>
      <c r="BM4" s="224" t="s">
        <v>386</v>
      </c>
      <c r="BN4" s="224" t="n">
        <v>0</v>
      </c>
      <c r="BO4" s="234" t="b">
        <f aca="false">FALSE()</f>
        <v>0</v>
      </c>
      <c r="BP4" s="234" t="n">
        <v>0</v>
      </c>
      <c r="BQ4" s="235" t="n">
        <v>0</v>
      </c>
      <c r="BR4" s="225" t="n">
        <v>0</v>
      </c>
      <c r="BS4" s="236" t="n">
        <v>81</v>
      </c>
      <c r="BT4" s="225" t="n">
        <v>0</v>
      </c>
      <c r="BU4" s="237" t="n">
        <v>0</v>
      </c>
      <c r="BV4" s="225" t="n">
        <v>181</v>
      </c>
      <c r="BW4" s="238" t="n">
        <v>0</v>
      </c>
      <c r="BX4" s="238" t="n">
        <v>0</v>
      </c>
      <c r="BY4" s="234" t="n">
        <v>0</v>
      </c>
      <c r="BZ4" s="234" t="n">
        <v>0</v>
      </c>
      <c r="CA4" s="234" t="n">
        <v>0</v>
      </c>
      <c r="CB4" s="234" t="n">
        <v>-5407002.88</v>
      </c>
      <c r="CC4" s="234" t="n">
        <v>0</v>
      </c>
      <c r="CD4" s="234" t="n">
        <v>0</v>
      </c>
      <c r="CE4" s="234" t="n">
        <v>0</v>
      </c>
      <c r="CF4" s="234" t="n">
        <v>0</v>
      </c>
      <c r="CG4" s="234" t="n">
        <v>0</v>
      </c>
      <c r="CH4" s="234" t="n">
        <v>0</v>
      </c>
      <c r="CI4" s="234" t="n">
        <v>0</v>
      </c>
      <c r="CJ4" s="234" t="n">
        <v>0</v>
      </c>
      <c r="CK4" s="225" t="n">
        <v>0</v>
      </c>
      <c r="CL4" s="225" t="n">
        <v>0</v>
      </c>
    </row>
    <row r="5" customFormat="false" ht="20.1" hidden="false" customHeight="true" outlineLevel="2" collapsed="false">
      <c r="A5" s="239" t="s">
        <v>387</v>
      </c>
      <c r="B5" s="240"/>
      <c r="C5" s="240"/>
      <c r="D5" s="240"/>
      <c r="E5" s="240"/>
      <c r="F5" s="240"/>
      <c r="G5" s="240"/>
      <c r="H5" s="240"/>
      <c r="I5" s="241"/>
      <c r="J5" s="242"/>
      <c r="K5" s="243"/>
      <c r="L5" s="244"/>
      <c r="M5" s="245"/>
      <c r="N5" s="245"/>
      <c r="O5" s="244"/>
      <c r="P5" s="246"/>
      <c r="Q5" s="247"/>
      <c r="R5" s="247" t="n">
        <v>0</v>
      </c>
      <c r="S5" s="248" t="n">
        <v>1</v>
      </c>
      <c r="T5" s="247" t="n">
        <v>0</v>
      </c>
      <c r="U5" s="249" t="n">
        <v>0</v>
      </c>
      <c r="V5" s="244"/>
      <c r="W5" s="244" t="n">
        <v>0</v>
      </c>
      <c r="X5" s="244" t="n">
        <v>0</v>
      </c>
      <c r="Y5" s="244" t="n">
        <v>0</v>
      </c>
      <c r="Z5" s="244" t="n">
        <v>0</v>
      </c>
      <c r="AA5" s="244" t="n">
        <v>0</v>
      </c>
      <c r="AB5" s="244" t="n">
        <v>0</v>
      </c>
      <c r="AC5" s="249" t="n">
        <v>0</v>
      </c>
      <c r="AD5" s="244" t="n">
        <v>0</v>
      </c>
      <c r="AE5" s="244" t="n">
        <v>0</v>
      </c>
      <c r="AF5" s="244" t="n">
        <v>0</v>
      </c>
      <c r="AG5" s="244" t="n">
        <v>0</v>
      </c>
      <c r="AH5" s="250" t="n">
        <v>0</v>
      </c>
      <c r="AI5" s="244" t="n">
        <v>0</v>
      </c>
      <c r="AJ5" s="244" t="n">
        <v>0</v>
      </c>
      <c r="AK5" s="251" t="n">
        <v>0</v>
      </c>
      <c r="AL5" s="252"/>
      <c r="AM5" s="244" t="n">
        <v>5407002.88</v>
      </c>
      <c r="AN5" s="245"/>
      <c r="AO5" s="252"/>
      <c r="AP5" s="244" t="n">
        <v>0</v>
      </c>
      <c r="AQ5" s="253"/>
      <c r="AR5" s="244"/>
      <c r="AS5" s="244"/>
      <c r="AT5" s="244" t="n">
        <v>0</v>
      </c>
      <c r="AU5" s="244" t="n">
        <v>0</v>
      </c>
      <c r="AV5" s="244" t="n">
        <v>0</v>
      </c>
      <c r="AW5" s="244" t="n">
        <v>0</v>
      </c>
      <c r="AX5" s="244" t="n">
        <v>0</v>
      </c>
      <c r="AY5" s="244" t="n">
        <v>0</v>
      </c>
      <c r="AZ5" s="244" t="n">
        <v>0</v>
      </c>
      <c r="BA5" s="244" t="n">
        <v>0</v>
      </c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54"/>
      <c r="BR5" s="245"/>
      <c r="BS5" s="255"/>
      <c r="BT5" s="245"/>
      <c r="BU5" s="256"/>
      <c r="BV5" s="245"/>
      <c r="BW5" s="257"/>
      <c r="BX5" s="257"/>
      <c r="BY5" s="244"/>
      <c r="BZ5" s="244"/>
      <c r="CA5" s="244" t="n">
        <v>0</v>
      </c>
      <c r="CB5" s="244"/>
      <c r="CC5" s="244"/>
      <c r="CD5" s="244"/>
      <c r="CE5" s="244"/>
      <c r="CF5" s="244"/>
      <c r="CG5" s="244"/>
      <c r="CH5" s="244"/>
      <c r="CI5" s="244"/>
      <c r="CJ5" s="244"/>
      <c r="CK5" s="245"/>
      <c r="CL5" s="245"/>
    </row>
    <row r="6" customFormat="false" ht="30" hidden="false" customHeight="true" outlineLevel="1" collapsed="false">
      <c r="A6" s="240"/>
      <c r="B6" s="239" t="s">
        <v>388</v>
      </c>
      <c r="C6" s="240"/>
      <c r="D6" s="240"/>
      <c r="E6" s="240"/>
      <c r="F6" s="240"/>
      <c r="G6" s="240"/>
      <c r="H6" s="240"/>
      <c r="I6" s="241"/>
      <c r="J6" s="258"/>
      <c r="K6" s="258"/>
      <c r="L6" s="259"/>
      <c r="M6" s="260"/>
      <c r="N6" s="260"/>
      <c r="O6" s="259"/>
      <c r="P6" s="261"/>
      <c r="Q6" s="262"/>
      <c r="R6" s="262" t="n">
        <v>0</v>
      </c>
      <c r="S6" s="263" t="n">
        <v>1</v>
      </c>
      <c r="T6" s="262" t="n">
        <v>0</v>
      </c>
      <c r="U6" s="264" t="n">
        <v>0</v>
      </c>
      <c r="V6" s="259"/>
      <c r="W6" s="259" t="n">
        <v>0</v>
      </c>
      <c r="X6" s="259" t="n">
        <v>0</v>
      </c>
      <c r="Y6" s="259" t="n">
        <v>0</v>
      </c>
      <c r="Z6" s="259" t="n">
        <v>0</v>
      </c>
      <c r="AA6" s="259" t="n">
        <v>0</v>
      </c>
      <c r="AB6" s="259" t="n">
        <v>0</v>
      </c>
      <c r="AC6" s="264" t="n">
        <v>0</v>
      </c>
      <c r="AD6" s="259" t="n">
        <v>0</v>
      </c>
      <c r="AE6" s="259" t="n">
        <v>0</v>
      </c>
      <c r="AF6" s="259" t="n">
        <v>0</v>
      </c>
      <c r="AG6" s="259" t="n">
        <v>0</v>
      </c>
      <c r="AH6" s="265" t="n">
        <v>0</v>
      </c>
      <c r="AI6" s="259" t="n">
        <v>0</v>
      </c>
      <c r="AJ6" s="259" t="n">
        <v>0</v>
      </c>
      <c r="AK6" s="266" t="n">
        <v>0</v>
      </c>
      <c r="AL6" s="267"/>
      <c r="AM6" s="259" t="n">
        <v>5407002.88</v>
      </c>
      <c r="AN6" s="260"/>
      <c r="AO6" s="267"/>
      <c r="AP6" s="259" t="n">
        <v>0</v>
      </c>
      <c r="AQ6" s="268"/>
      <c r="AR6" s="259"/>
      <c r="AS6" s="259"/>
      <c r="AT6" s="259" t="n">
        <v>0</v>
      </c>
      <c r="AU6" s="259" t="n">
        <v>0</v>
      </c>
      <c r="AV6" s="259" t="n">
        <v>0</v>
      </c>
      <c r="AW6" s="259" t="n">
        <v>0</v>
      </c>
      <c r="AX6" s="259" t="n">
        <v>0</v>
      </c>
      <c r="AY6" s="259" t="n">
        <v>0</v>
      </c>
      <c r="AZ6" s="259" t="n">
        <v>0</v>
      </c>
      <c r="BA6" s="259" t="n">
        <v>0</v>
      </c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69"/>
      <c r="BR6" s="260"/>
      <c r="BS6" s="270"/>
      <c r="BT6" s="260"/>
      <c r="BU6" s="271"/>
      <c r="BV6" s="260"/>
      <c r="BW6" s="272"/>
      <c r="BX6" s="272"/>
      <c r="BY6" s="259"/>
      <c r="BZ6" s="259"/>
      <c r="CA6" s="259" t="n">
        <v>0</v>
      </c>
      <c r="CB6" s="259"/>
      <c r="CC6" s="259"/>
      <c r="CD6" s="259"/>
      <c r="CE6" s="259"/>
      <c r="CF6" s="259"/>
      <c r="CG6" s="259"/>
      <c r="CH6" s="259"/>
      <c r="CI6" s="259"/>
      <c r="CJ6" s="259"/>
      <c r="CK6" s="260"/>
      <c r="CL6" s="260"/>
    </row>
    <row r="7" customFormat="false" ht="15.75" hidden="false" customHeight="false" outlineLevel="3" collapsed="false">
      <c r="A7" s="52" t="s">
        <v>389</v>
      </c>
      <c r="B7" s="52" t="s">
        <v>390</v>
      </c>
      <c r="C7" s="52" t="s">
        <v>391</v>
      </c>
      <c r="D7" s="52" t="s">
        <v>392</v>
      </c>
      <c r="E7" s="52" t="s">
        <v>393</v>
      </c>
      <c r="F7" s="52" t="s">
        <v>394</v>
      </c>
      <c r="G7" s="52" t="s">
        <v>395</v>
      </c>
      <c r="H7" s="52" t="s">
        <v>396</v>
      </c>
      <c r="I7" s="221" t="s">
        <v>384</v>
      </c>
      <c r="J7" s="223" t="n">
        <v>1092426</v>
      </c>
      <c r="K7" s="223" t="n">
        <v>1092426</v>
      </c>
      <c r="L7" s="225" t="n">
        <v>0</v>
      </c>
      <c r="M7" s="225" t="n">
        <v>0</v>
      </c>
      <c r="N7" s="225" t="n">
        <v>1</v>
      </c>
      <c r="O7" s="224" t="n">
        <v>1.17</v>
      </c>
      <c r="P7" s="226" t="n">
        <v>1.22</v>
      </c>
      <c r="Q7" s="226" t="n">
        <v>-0.05</v>
      </c>
      <c r="R7" s="227" t="n">
        <v>0</v>
      </c>
      <c r="S7" s="228" t="n">
        <v>1</v>
      </c>
      <c r="T7" s="227" t="s">
        <v>397</v>
      </c>
      <c r="U7" s="229" t="n">
        <v>1278138.42</v>
      </c>
      <c r="V7" s="224" t="s">
        <v>385</v>
      </c>
      <c r="W7" s="224" t="n">
        <v>0</v>
      </c>
      <c r="X7" s="224" t="n">
        <v>0</v>
      </c>
      <c r="Y7" s="224" t="n">
        <v>0</v>
      </c>
      <c r="Z7" s="224" t="n">
        <v>0</v>
      </c>
      <c r="AA7" s="224" t="n">
        <v>0</v>
      </c>
      <c r="AB7" s="224" t="n">
        <v>0</v>
      </c>
      <c r="AC7" s="229" t="n">
        <v>1332759.72</v>
      </c>
      <c r="AD7" s="224" t="n">
        <v>-54621.3</v>
      </c>
      <c r="AE7" s="224" t="n">
        <v>0</v>
      </c>
      <c r="AF7" s="224" t="n">
        <v>54621.3</v>
      </c>
      <c r="AG7" s="224" t="n">
        <v>0</v>
      </c>
      <c r="AH7" s="230" t="n">
        <v>-8083952.4</v>
      </c>
      <c r="AI7" s="224" t="n">
        <v>0</v>
      </c>
      <c r="AJ7" s="224" t="n">
        <v>8083952.4</v>
      </c>
      <c r="AK7" s="231" t="n">
        <v>0</v>
      </c>
      <c r="AL7" s="232" t="n">
        <v>0</v>
      </c>
      <c r="AM7" s="224" t="n">
        <v>26925615.25</v>
      </c>
      <c r="AN7" s="225" t="n">
        <v>0</v>
      </c>
      <c r="AO7" s="232" t="n">
        <v>0</v>
      </c>
      <c r="AP7" s="224" t="n">
        <v>104012148.25</v>
      </c>
      <c r="AQ7" s="233" t="n">
        <v>1</v>
      </c>
      <c r="AR7" s="224" t="n">
        <v>1278138.42</v>
      </c>
      <c r="AS7" s="224" t="n">
        <v>1.17</v>
      </c>
      <c r="AT7" s="224" t="n">
        <v>-2326867.38</v>
      </c>
      <c r="AU7" s="224" t="n">
        <v>0</v>
      </c>
      <c r="AV7" s="224" t="n">
        <v>2326867.38</v>
      </c>
      <c r="AW7" s="224" t="n">
        <v>0</v>
      </c>
      <c r="AX7" s="224" t="n">
        <v>-25617037.8466667</v>
      </c>
      <c r="AY7" s="224" t="n">
        <v>0</v>
      </c>
      <c r="AZ7" s="224" t="n">
        <v>25617037.8466667</v>
      </c>
      <c r="BA7" s="224" t="n">
        <v>0</v>
      </c>
      <c r="BB7" s="224" t="n">
        <v>1.17</v>
      </c>
      <c r="BC7" s="224" t="n">
        <v>1.22</v>
      </c>
      <c r="BD7" s="224" t="n">
        <v>-2272246.08</v>
      </c>
      <c r="BE7" s="224" t="n">
        <v>0</v>
      </c>
      <c r="BF7" s="224" t="n">
        <v>2272246.08</v>
      </c>
      <c r="BG7" s="224" t="n">
        <v>0</v>
      </c>
      <c r="BH7" s="224" t="n">
        <v>-25562416.5466667</v>
      </c>
      <c r="BI7" s="224" t="n">
        <v>0</v>
      </c>
      <c r="BJ7" s="224" t="n">
        <v>25562416.5466667</v>
      </c>
      <c r="BK7" s="224" t="n">
        <v>0</v>
      </c>
      <c r="BL7" s="224" t="n">
        <v>104012148.25</v>
      </c>
      <c r="BM7" s="224" t="s">
        <v>398</v>
      </c>
      <c r="BN7" s="224" t="n">
        <v>0</v>
      </c>
      <c r="BO7" s="234" t="b">
        <f aca="false">FALSE()</f>
        <v>0</v>
      </c>
      <c r="BP7" s="234" t="n">
        <v>8029331.1</v>
      </c>
      <c r="BQ7" s="226" t="n">
        <v>0</v>
      </c>
      <c r="BR7" s="225" t="n">
        <v>15000000</v>
      </c>
      <c r="BS7" s="236" t="n">
        <v>60</v>
      </c>
      <c r="BT7" s="225" t="n">
        <v>-54621.3</v>
      </c>
      <c r="BU7" s="237" t="n">
        <v>0</v>
      </c>
      <c r="BV7" s="225" t="n">
        <v>76</v>
      </c>
      <c r="BW7" s="238" t="n">
        <v>1.17</v>
      </c>
      <c r="BX7" s="238" t="n">
        <v>0</v>
      </c>
      <c r="BY7" s="234" t="n">
        <v>0</v>
      </c>
      <c r="BZ7" s="234" t="n">
        <v>0</v>
      </c>
      <c r="CA7" s="234" t="n">
        <v>0</v>
      </c>
      <c r="CB7" s="234" t="n">
        <v>-30438.9833333333</v>
      </c>
      <c r="CC7" s="234" t="n">
        <v>0</v>
      </c>
      <c r="CD7" s="234" t="n">
        <v>0</v>
      </c>
      <c r="CE7" s="234" t="n">
        <v>0</v>
      </c>
      <c r="CF7" s="234" t="n">
        <v>0</v>
      </c>
      <c r="CG7" s="234" t="n">
        <v>-8029331.1</v>
      </c>
      <c r="CH7" s="234" t="n">
        <v>0</v>
      </c>
      <c r="CI7" s="234" t="n">
        <v>8029331.1</v>
      </c>
      <c r="CJ7" s="234" t="n">
        <v>0</v>
      </c>
      <c r="CK7" s="225" t="n">
        <v>0</v>
      </c>
      <c r="CL7" s="225" t="n">
        <v>0</v>
      </c>
    </row>
    <row r="8" customFormat="false" ht="20.1" hidden="false" customHeight="true" outlineLevel="2" collapsed="false">
      <c r="A8" s="240" t="s">
        <v>399</v>
      </c>
      <c r="B8" s="240"/>
      <c r="C8" s="240"/>
      <c r="D8" s="240"/>
      <c r="E8" s="240"/>
      <c r="F8" s="240"/>
      <c r="G8" s="240"/>
      <c r="H8" s="240"/>
      <c r="I8" s="241"/>
      <c r="J8" s="243"/>
      <c r="K8" s="243"/>
      <c r="L8" s="245"/>
      <c r="M8" s="245"/>
      <c r="N8" s="245"/>
      <c r="O8" s="244"/>
      <c r="P8" s="246"/>
      <c r="Q8" s="246"/>
      <c r="R8" s="247" t="n">
        <v>0</v>
      </c>
      <c r="S8" s="248" t="n">
        <v>1</v>
      </c>
      <c r="T8" s="247" t="n">
        <v>0</v>
      </c>
      <c r="U8" s="249" t="n">
        <v>1278138.42</v>
      </c>
      <c r="V8" s="244"/>
      <c r="W8" s="244" t="n">
        <v>0</v>
      </c>
      <c r="X8" s="244" t="n">
        <v>0</v>
      </c>
      <c r="Y8" s="244" t="n">
        <v>0</v>
      </c>
      <c r="Z8" s="244" t="n">
        <v>0</v>
      </c>
      <c r="AA8" s="244" t="n">
        <v>0</v>
      </c>
      <c r="AB8" s="244" t="n">
        <v>0</v>
      </c>
      <c r="AC8" s="249" t="n">
        <v>1332759.72</v>
      </c>
      <c r="AD8" s="244" t="n">
        <v>-54621.3</v>
      </c>
      <c r="AE8" s="244" t="n">
        <v>0</v>
      </c>
      <c r="AF8" s="244" t="n">
        <v>54621.3</v>
      </c>
      <c r="AG8" s="244" t="n">
        <v>0</v>
      </c>
      <c r="AH8" s="250" t="n">
        <v>-8083952.4</v>
      </c>
      <c r="AI8" s="244" t="n">
        <v>0</v>
      </c>
      <c r="AJ8" s="244" t="n">
        <v>8083952.4</v>
      </c>
      <c r="AK8" s="251" t="n">
        <v>0</v>
      </c>
      <c r="AL8" s="252"/>
      <c r="AM8" s="244" t="n">
        <v>26925615.25</v>
      </c>
      <c r="AN8" s="245"/>
      <c r="AO8" s="252"/>
      <c r="AP8" s="244" t="n">
        <v>104012148.25</v>
      </c>
      <c r="AQ8" s="253"/>
      <c r="AR8" s="244"/>
      <c r="AS8" s="244"/>
      <c r="AT8" s="244" t="n">
        <v>-2326867.38</v>
      </c>
      <c r="AU8" s="244" t="n">
        <v>0</v>
      </c>
      <c r="AV8" s="244" t="n">
        <v>2326867.38</v>
      </c>
      <c r="AW8" s="244" t="n">
        <v>0</v>
      </c>
      <c r="AX8" s="244" t="n">
        <v>-25617037.8466667</v>
      </c>
      <c r="AY8" s="244" t="n">
        <v>0</v>
      </c>
      <c r="AZ8" s="244" t="n">
        <v>25617037.8466667</v>
      </c>
      <c r="BA8" s="244" t="n">
        <v>0</v>
      </c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6"/>
      <c r="BR8" s="245"/>
      <c r="BS8" s="255"/>
      <c r="BT8" s="245"/>
      <c r="BU8" s="256"/>
      <c r="BV8" s="245"/>
      <c r="BW8" s="257"/>
      <c r="BX8" s="257"/>
      <c r="BY8" s="244"/>
      <c r="BZ8" s="244"/>
      <c r="CA8" s="244" t="n">
        <v>0</v>
      </c>
      <c r="CB8" s="244"/>
      <c r="CC8" s="244"/>
      <c r="CD8" s="244"/>
      <c r="CE8" s="244"/>
      <c r="CF8" s="244"/>
      <c r="CG8" s="244"/>
      <c r="CH8" s="244"/>
      <c r="CI8" s="244"/>
      <c r="CJ8" s="244"/>
      <c r="CK8" s="245"/>
      <c r="CL8" s="245"/>
    </row>
    <row r="9" customFormat="false" ht="30" hidden="false" customHeight="true" outlineLevel="1" collapsed="false">
      <c r="A9" s="240"/>
      <c r="B9" s="240" t="s">
        <v>400</v>
      </c>
      <c r="C9" s="240"/>
      <c r="D9" s="240"/>
      <c r="E9" s="240"/>
      <c r="F9" s="240"/>
      <c r="G9" s="240"/>
      <c r="H9" s="240"/>
      <c r="I9" s="241"/>
      <c r="J9" s="258"/>
      <c r="K9" s="258"/>
      <c r="L9" s="260"/>
      <c r="M9" s="260"/>
      <c r="N9" s="260"/>
      <c r="O9" s="259"/>
      <c r="P9" s="261"/>
      <c r="Q9" s="261"/>
      <c r="R9" s="262" t="n">
        <v>0</v>
      </c>
      <c r="S9" s="263" t="n">
        <v>1</v>
      </c>
      <c r="T9" s="262" t="n">
        <v>0</v>
      </c>
      <c r="U9" s="264" t="n">
        <v>1278138.42</v>
      </c>
      <c r="V9" s="259"/>
      <c r="W9" s="259" t="n">
        <v>0</v>
      </c>
      <c r="X9" s="259" t="n">
        <v>0</v>
      </c>
      <c r="Y9" s="259" t="n">
        <v>0</v>
      </c>
      <c r="Z9" s="259" t="n">
        <v>0</v>
      </c>
      <c r="AA9" s="259" t="n">
        <v>0</v>
      </c>
      <c r="AB9" s="259" t="n">
        <v>0</v>
      </c>
      <c r="AC9" s="264" t="n">
        <v>1332759.72</v>
      </c>
      <c r="AD9" s="259" t="n">
        <v>-54621.3</v>
      </c>
      <c r="AE9" s="259" t="n">
        <v>0</v>
      </c>
      <c r="AF9" s="259" t="n">
        <v>54621.3</v>
      </c>
      <c r="AG9" s="259" t="n">
        <v>0</v>
      </c>
      <c r="AH9" s="265" t="n">
        <v>-8083952.4</v>
      </c>
      <c r="AI9" s="259" t="n">
        <v>0</v>
      </c>
      <c r="AJ9" s="259" t="n">
        <v>8083952.4</v>
      </c>
      <c r="AK9" s="266" t="n">
        <v>0</v>
      </c>
      <c r="AL9" s="267"/>
      <c r="AM9" s="259" t="n">
        <v>26925615.25</v>
      </c>
      <c r="AN9" s="260"/>
      <c r="AO9" s="267"/>
      <c r="AP9" s="259" t="n">
        <v>104012148.25</v>
      </c>
      <c r="AQ9" s="268"/>
      <c r="AR9" s="259"/>
      <c r="AS9" s="259"/>
      <c r="AT9" s="259" t="n">
        <v>-2326867.38</v>
      </c>
      <c r="AU9" s="259" t="n">
        <v>0</v>
      </c>
      <c r="AV9" s="259" t="n">
        <v>2326867.38</v>
      </c>
      <c r="AW9" s="259" t="n">
        <v>0</v>
      </c>
      <c r="AX9" s="259" t="n">
        <v>-25617037.8466667</v>
      </c>
      <c r="AY9" s="259" t="n">
        <v>0</v>
      </c>
      <c r="AZ9" s="259" t="n">
        <v>25617037.8466667</v>
      </c>
      <c r="BA9" s="259" t="n">
        <v>0</v>
      </c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61"/>
      <c r="BR9" s="260"/>
      <c r="BS9" s="270"/>
      <c r="BT9" s="260"/>
      <c r="BU9" s="271"/>
      <c r="BV9" s="260"/>
      <c r="BW9" s="272"/>
      <c r="BX9" s="272"/>
      <c r="BY9" s="259"/>
      <c r="BZ9" s="259"/>
      <c r="CA9" s="259" t="n">
        <v>0</v>
      </c>
      <c r="CB9" s="259"/>
      <c r="CC9" s="259"/>
      <c r="CD9" s="259"/>
      <c r="CE9" s="259"/>
      <c r="CF9" s="259"/>
      <c r="CG9" s="259"/>
      <c r="CH9" s="259"/>
      <c r="CI9" s="259"/>
      <c r="CJ9" s="259"/>
      <c r="CK9" s="260"/>
      <c r="CL9" s="260"/>
    </row>
    <row r="10" customFormat="false" ht="15.75" hidden="false" customHeight="false" outlineLevel="3" collapsed="false">
      <c r="A10" s="52" t="s">
        <v>401</v>
      </c>
      <c r="B10" s="52" t="s">
        <v>402</v>
      </c>
      <c r="C10" s="52" t="s">
        <v>403</v>
      </c>
      <c r="D10" s="52" t="s">
        <v>404</v>
      </c>
      <c r="E10" s="52" t="s">
        <v>405</v>
      </c>
      <c r="F10" s="52" t="s">
        <v>381</v>
      </c>
      <c r="G10" s="52" t="s">
        <v>406</v>
      </c>
      <c r="H10" s="52" t="s">
        <v>383</v>
      </c>
      <c r="I10" s="221" t="s">
        <v>407</v>
      </c>
      <c r="J10" s="223" t="n">
        <v>1</v>
      </c>
      <c r="K10" s="223" t="n">
        <v>1</v>
      </c>
      <c r="L10" s="225" t="n">
        <v>0</v>
      </c>
      <c r="M10" s="225" t="n">
        <v>0</v>
      </c>
      <c r="N10" s="225" t="n">
        <v>0</v>
      </c>
      <c r="O10" s="224" t="n">
        <v>1573175.52</v>
      </c>
      <c r="P10" s="225" t="n">
        <v>1381612.61</v>
      </c>
      <c r="Q10" s="225" t="n">
        <v>191562.91</v>
      </c>
      <c r="R10" s="227" t="s">
        <v>408</v>
      </c>
      <c r="S10" s="228" t="n">
        <v>1</v>
      </c>
      <c r="T10" s="227" t="s">
        <v>397</v>
      </c>
      <c r="U10" s="229" t="n">
        <v>1573175.52</v>
      </c>
      <c r="V10" s="224" t="s">
        <v>385</v>
      </c>
      <c r="W10" s="224" t="n">
        <v>0</v>
      </c>
      <c r="X10" s="224" t="n">
        <v>0</v>
      </c>
      <c r="Y10" s="224" t="n">
        <v>0</v>
      </c>
      <c r="Z10" s="224" t="n">
        <v>0</v>
      </c>
      <c r="AA10" s="224" t="n">
        <v>0</v>
      </c>
      <c r="AB10" s="224" t="n">
        <v>0</v>
      </c>
      <c r="AC10" s="229" t="n">
        <v>1381612.61</v>
      </c>
      <c r="AD10" s="224" t="n">
        <v>0</v>
      </c>
      <c r="AE10" s="224" t="n">
        <v>0</v>
      </c>
      <c r="AF10" s="224" t="n">
        <v>0</v>
      </c>
      <c r="AG10" s="224" t="n">
        <v>0</v>
      </c>
      <c r="AH10" s="230" t="n">
        <v>0</v>
      </c>
      <c r="AI10" s="224" t="n">
        <v>0</v>
      </c>
      <c r="AJ10" s="224" t="n">
        <v>0</v>
      </c>
      <c r="AK10" s="231" t="n">
        <v>0</v>
      </c>
      <c r="AL10" s="232" t="n">
        <v>0</v>
      </c>
      <c r="AM10" s="224" t="n">
        <v>4663184</v>
      </c>
      <c r="AN10" s="225" t="n">
        <v>0</v>
      </c>
      <c r="AO10" s="232" t="n">
        <v>0</v>
      </c>
      <c r="AP10" s="224" t="n">
        <v>1887724.3</v>
      </c>
      <c r="AQ10" s="233" t="n">
        <v>1</v>
      </c>
      <c r="AR10" s="224" t="n">
        <v>0</v>
      </c>
      <c r="AS10" s="224" t="n">
        <v>1573175.52</v>
      </c>
      <c r="AT10" s="224" t="n">
        <v>0</v>
      </c>
      <c r="AU10" s="224" t="n">
        <v>0</v>
      </c>
      <c r="AV10" s="224" t="n">
        <v>0</v>
      </c>
      <c r="AW10" s="224" t="n">
        <v>0</v>
      </c>
      <c r="AX10" s="224" t="n">
        <v>-3166148.43</v>
      </c>
      <c r="AY10" s="224" t="n">
        <v>0</v>
      </c>
      <c r="AZ10" s="224" t="n">
        <v>3166148.43</v>
      </c>
      <c r="BA10" s="224" t="n">
        <v>0</v>
      </c>
      <c r="BB10" s="224" t="s">
        <v>381</v>
      </c>
      <c r="BC10" s="224" t="s">
        <v>381</v>
      </c>
      <c r="BD10" s="224" t="n">
        <v>0</v>
      </c>
      <c r="BE10" s="224" t="n">
        <v>0</v>
      </c>
      <c r="BF10" s="224" t="n">
        <v>0</v>
      </c>
      <c r="BG10" s="224" t="n">
        <v>0</v>
      </c>
      <c r="BH10" s="224" t="n">
        <v>-3166148.43</v>
      </c>
      <c r="BI10" s="224" t="n">
        <v>0</v>
      </c>
      <c r="BJ10" s="224" t="n">
        <v>3166148.43</v>
      </c>
      <c r="BK10" s="224" t="n">
        <v>0</v>
      </c>
      <c r="BL10" s="224" t="n">
        <v>1887724.3</v>
      </c>
      <c r="BM10" s="224" t="s">
        <v>386</v>
      </c>
      <c r="BN10" s="224" t="n">
        <v>0</v>
      </c>
      <c r="BO10" s="234" t="b">
        <f aca="false">FALSE()</f>
        <v>0</v>
      </c>
      <c r="BP10" s="234" t="n">
        <v>0</v>
      </c>
      <c r="BQ10" s="226" t="n">
        <v>4443788</v>
      </c>
      <c r="BR10" s="225" t="n">
        <v>0</v>
      </c>
      <c r="BS10" s="236" t="n">
        <v>83</v>
      </c>
      <c r="BT10" s="225" t="n">
        <v>0</v>
      </c>
      <c r="BU10" s="237" t="n">
        <v>0</v>
      </c>
      <c r="BV10" s="225" t="n">
        <v>207</v>
      </c>
      <c r="BW10" s="238" t="n">
        <v>0</v>
      </c>
      <c r="BX10" s="238" t="n">
        <v>0</v>
      </c>
      <c r="BY10" s="234" t="n">
        <v>191562.91</v>
      </c>
      <c r="BZ10" s="234" t="n">
        <v>191562.91</v>
      </c>
      <c r="CA10" s="234" t="n">
        <v>-314548.78</v>
      </c>
      <c r="CB10" s="234" t="n">
        <v>76139.95</v>
      </c>
      <c r="CC10" s="234" t="n">
        <v>0</v>
      </c>
      <c r="CD10" s="234" t="n">
        <v>0</v>
      </c>
      <c r="CE10" s="234" t="n">
        <v>0</v>
      </c>
      <c r="CF10" s="234" t="n">
        <v>0</v>
      </c>
      <c r="CG10" s="234" t="n">
        <v>0</v>
      </c>
      <c r="CH10" s="234" t="n">
        <v>0</v>
      </c>
      <c r="CI10" s="234" t="n">
        <v>0</v>
      </c>
      <c r="CJ10" s="234" t="n">
        <v>0</v>
      </c>
      <c r="CK10" s="225" t="n">
        <v>0</v>
      </c>
      <c r="CL10" s="225" t="n">
        <v>0</v>
      </c>
    </row>
    <row r="11" customFormat="false" ht="15.75" hidden="false" customHeight="false" outlineLevel="3" collapsed="false">
      <c r="A11" s="52" t="s">
        <v>401</v>
      </c>
      <c r="B11" s="52" t="s">
        <v>402</v>
      </c>
      <c r="C11" s="52" t="s">
        <v>409</v>
      </c>
      <c r="D11" s="52" t="s">
        <v>410</v>
      </c>
      <c r="E11" s="52" t="s">
        <v>411</v>
      </c>
      <c r="F11" s="52" t="s">
        <v>381</v>
      </c>
      <c r="G11" s="52" t="s">
        <v>412</v>
      </c>
      <c r="H11" s="52" t="s">
        <v>383</v>
      </c>
      <c r="I11" s="221" t="s">
        <v>407</v>
      </c>
      <c r="J11" s="223" t="n">
        <v>1</v>
      </c>
      <c r="K11" s="223" t="n">
        <v>1</v>
      </c>
      <c r="L11" s="225" t="n">
        <v>0</v>
      </c>
      <c r="M11" s="225" t="n">
        <v>0</v>
      </c>
      <c r="N11" s="225" t="n">
        <v>0</v>
      </c>
      <c r="O11" s="224" t="n">
        <v>28238258.75</v>
      </c>
      <c r="P11" s="225" t="n">
        <v>27821406.44</v>
      </c>
      <c r="Q11" s="225" t="n">
        <v>416852.309999999</v>
      </c>
      <c r="R11" s="227" t="s">
        <v>413</v>
      </c>
      <c r="S11" s="273" t="n">
        <v>0.625</v>
      </c>
      <c r="T11" s="227" t="s">
        <v>397</v>
      </c>
      <c r="U11" s="229" t="n">
        <v>28238258.75</v>
      </c>
      <c r="V11" s="224" t="s">
        <v>385</v>
      </c>
      <c r="W11" s="224" t="n">
        <v>0</v>
      </c>
      <c r="X11" s="224" t="n">
        <v>0</v>
      </c>
      <c r="Y11" s="224" t="n">
        <v>0</v>
      </c>
      <c r="Z11" s="224" t="n">
        <v>0</v>
      </c>
      <c r="AA11" s="224" t="n">
        <v>0</v>
      </c>
      <c r="AB11" s="224" t="n">
        <v>0</v>
      </c>
      <c r="AC11" s="229" t="n">
        <v>27821406.44</v>
      </c>
      <c r="AD11" s="224" t="n">
        <v>0</v>
      </c>
      <c r="AE11" s="224" t="n">
        <v>0</v>
      </c>
      <c r="AF11" s="224" t="n">
        <v>0</v>
      </c>
      <c r="AG11" s="224" t="n">
        <v>0</v>
      </c>
      <c r="AH11" s="230" t="n">
        <v>0</v>
      </c>
      <c r="AI11" s="224" t="n">
        <v>0</v>
      </c>
      <c r="AJ11" s="224" t="n">
        <v>0</v>
      </c>
      <c r="AK11" s="231" t="n">
        <v>0</v>
      </c>
      <c r="AL11" s="232" t="n">
        <v>0</v>
      </c>
      <c r="AM11" s="224" t="n">
        <v>21605090</v>
      </c>
      <c r="AN11" s="225" t="n">
        <v>0</v>
      </c>
      <c r="AO11" s="232" t="n">
        <v>0</v>
      </c>
      <c r="AP11" s="224" t="n">
        <v>23523500.01</v>
      </c>
      <c r="AQ11" s="233" t="n">
        <v>1</v>
      </c>
      <c r="AR11" s="224" t="n">
        <v>0</v>
      </c>
      <c r="AS11" s="224" t="n">
        <v>28238258.75</v>
      </c>
      <c r="AT11" s="224" t="n">
        <v>0</v>
      </c>
      <c r="AU11" s="224" t="n">
        <v>0</v>
      </c>
      <c r="AV11" s="224" t="n">
        <v>0</v>
      </c>
      <c r="AW11" s="224" t="n">
        <v>0</v>
      </c>
      <c r="AX11" s="224" t="n">
        <v>-111965</v>
      </c>
      <c r="AY11" s="224" t="n">
        <v>0</v>
      </c>
      <c r="AZ11" s="224" t="n">
        <v>111965</v>
      </c>
      <c r="BA11" s="224" t="n">
        <v>0</v>
      </c>
      <c r="BB11" s="224" t="s">
        <v>381</v>
      </c>
      <c r="BC11" s="224" t="s">
        <v>381</v>
      </c>
      <c r="BD11" s="224" t="n">
        <v>0</v>
      </c>
      <c r="BE11" s="224" t="n">
        <v>0</v>
      </c>
      <c r="BF11" s="224" t="n">
        <v>0</v>
      </c>
      <c r="BG11" s="224" t="n">
        <v>0</v>
      </c>
      <c r="BH11" s="224" t="n">
        <v>-111965</v>
      </c>
      <c r="BI11" s="224" t="n">
        <v>0</v>
      </c>
      <c r="BJ11" s="224" t="n">
        <v>111965</v>
      </c>
      <c r="BK11" s="224" t="n">
        <v>0</v>
      </c>
      <c r="BL11" s="224" t="n">
        <v>23523500.01</v>
      </c>
      <c r="BM11" s="224" t="s">
        <v>386</v>
      </c>
      <c r="BN11" s="224" t="n">
        <v>0</v>
      </c>
      <c r="BO11" s="234" t="b">
        <f aca="false">FALSE()</f>
        <v>0</v>
      </c>
      <c r="BP11" s="234" t="n">
        <v>0</v>
      </c>
      <c r="BQ11" s="226" t="n">
        <v>0</v>
      </c>
      <c r="BR11" s="225" t="n">
        <v>0</v>
      </c>
      <c r="BS11" s="236" t="n">
        <v>83</v>
      </c>
      <c r="BT11" s="225" t="n">
        <v>0</v>
      </c>
      <c r="BU11" s="237" t="n">
        <v>0</v>
      </c>
      <c r="BV11" s="225" t="n">
        <v>240</v>
      </c>
      <c r="BW11" s="238" t="n">
        <v>0</v>
      </c>
      <c r="BX11" s="238" t="n">
        <v>0</v>
      </c>
      <c r="BY11" s="234" t="n">
        <v>416852.31</v>
      </c>
      <c r="BZ11" s="234" t="n">
        <v>2749133.74</v>
      </c>
      <c r="CA11" s="234" t="n">
        <v>4714758.74</v>
      </c>
      <c r="CB11" s="234" t="n">
        <v>6745133.75</v>
      </c>
      <c r="CC11" s="234" t="n">
        <v>0</v>
      </c>
      <c r="CD11" s="234" t="n">
        <v>0</v>
      </c>
      <c r="CE11" s="234" t="n">
        <v>0</v>
      </c>
      <c r="CF11" s="234" t="n">
        <v>0</v>
      </c>
      <c r="CG11" s="234" t="n">
        <v>0</v>
      </c>
      <c r="CH11" s="234" t="n">
        <v>0</v>
      </c>
      <c r="CI11" s="234" t="n">
        <v>0</v>
      </c>
      <c r="CJ11" s="234" t="n">
        <v>0</v>
      </c>
      <c r="CK11" s="225" t="n">
        <v>0</v>
      </c>
      <c r="CL11" s="225" t="n">
        <v>0</v>
      </c>
    </row>
    <row r="12" customFormat="false" ht="15.75" hidden="false" customHeight="false" outlineLevel="3" collapsed="false">
      <c r="A12" s="52" t="s">
        <v>401</v>
      </c>
      <c r="B12" s="52" t="s">
        <v>402</v>
      </c>
      <c r="C12" s="52" t="s">
        <v>409</v>
      </c>
      <c r="D12" s="52" t="s">
        <v>410</v>
      </c>
      <c r="E12" s="52" t="s">
        <v>414</v>
      </c>
      <c r="F12" s="52" t="s">
        <v>381</v>
      </c>
      <c r="G12" s="52" t="s">
        <v>412</v>
      </c>
      <c r="H12" s="52" t="s">
        <v>383</v>
      </c>
      <c r="I12" s="221" t="s">
        <v>407</v>
      </c>
      <c r="J12" s="223" t="n">
        <v>1</v>
      </c>
      <c r="K12" s="223" t="n">
        <v>1</v>
      </c>
      <c r="L12" s="225" t="n">
        <v>0</v>
      </c>
      <c r="M12" s="225" t="n">
        <v>0</v>
      </c>
      <c r="N12" s="225" t="n">
        <v>0</v>
      </c>
      <c r="O12" s="224" t="n">
        <v>0</v>
      </c>
      <c r="P12" s="225" t="n">
        <v>0</v>
      </c>
      <c r="Q12" s="225" t="n">
        <v>0</v>
      </c>
      <c r="R12" s="227" t="n">
        <v>0</v>
      </c>
      <c r="S12" s="273" t="n">
        <v>1</v>
      </c>
      <c r="T12" s="227" t="s">
        <v>397</v>
      </c>
      <c r="U12" s="229" t="n">
        <v>0</v>
      </c>
      <c r="V12" s="224" t="s">
        <v>385</v>
      </c>
      <c r="W12" s="224" t="n">
        <v>0</v>
      </c>
      <c r="X12" s="224" t="n">
        <v>0</v>
      </c>
      <c r="Y12" s="224" t="n">
        <v>0</v>
      </c>
      <c r="Z12" s="224" t="n">
        <v>0</v>
      </c>
      <c r="AA12" s="224" t="n">
        <v>0</v>
      </c>
      <c r="AB12" s="224" t="n">
        <v>0</v>
      </c>
      <c r="AC12" s="229" t="n">
        <v>0</v>
      </c>
      <c r="AD12" s="224" t="n">
        <v>0</v>
      </c>
      <c r="AE12" s="224" t="n">
        <v>0</v>
      </c>
      <c r="AF12" s="224" t="n">
        <v>0</v>
      </c>
      <c r="AG12" s="224" t="n">
        <v>0</v>
      </c>
      <c r="AH12" s="230" t="n">
        <v>0</v>
      </c>
      <c r="AI12" s="224" t="n">
        <v>0</v>
      </c>
      <c r="AJ12" s="224" t="n">
        <v>0</v>
      </c>
      <c r="AK12" s="231" t="n">
        <v>0</v>
      </c>
      <c r="AL12" s="232" t="n">
        <v>0</v>
      </c>
      <c r="AM12" s="224" t="n">
        <v>1954995.27</v>
      </c>
      <c r="AN12" s="225" t="n">
        <v>0</v>
      </c>
      <c r="AO12" s="232" t="n">
        <v>0</v>
      </c>
      <c r="AP12" s="224" t="n">
        <v>0</v>
      </c>
      <c r="AQ12" s="233" t="n">
        <v>1</v>
      </c>
      <c r="AR12" s="224" t="n">
        <v>0</v>
      </c>
      <c r="AS12" s="224" t="n">
        <v>0</v>
      </c>
      <c r="AT12" s="224" t="n">
        <v>0</v>
      </c>
      <c r="AU12" s="224" t="n">
        <v>0</v>
      </c>
      <c r="AV12" s="224" t="n">
        <v>0</v>
      </c>
      <c r="AW12" s="224" t="n">
        <v>0</v>
      </c>
      <c r="AX12" s="224" t="n">
        <v>0</v>
      </c>
      <c r="AY12" s="224" t="n">
        <v>0</v>
      </c>
      <c r="AZ12" s="224" t="n">
        <v>0</v>
      </c>
      <c r="BA12" s="224" t="n">
        <v>0</v>
      </c>
      <c r="BB12" s="224" t="s">
        <v>381</v>
      </c>
      <c r="BC12" s="224" t="s">
        <v>381</v>
      </c>
      <c r="BD12" s="224" t="n">
        <v>0</v>
      </c>
      <c r="BE12" s="224" t="n">
        <v>0</v>
      </c>
      <c r="BF12" s="224" t="n">
        <v>0</v>
      </c>
      <c r="BG12" s="224" t="n">
        <v>0</v>
      </c>
      <c r="BH12" s="224" t="n">
        <v>0</v>
      </c>
      <c r="BI12" s="224" t="n">
        <v>0</v>
      </c>
      <c r="BJ12" s="224" t="n">
        <v>0</v>
      </c>
      <c r="BK12" s="224" t="n">
        <v>0</v>
      </c>
      <c r="BL12" s="224" t="n">
        <v>0</v>
      </c>
      <c r="BM12" s="224" t="s">
        <v>386</v>
      </c>
      <c r="BN12" s="224" t="n">
        <v>0</v>
      </c>
      <c r="BO12" s="234" t="b">
        <f aca="false">FALSE()</f>
        <v>0</v>
      </c>
      <c r="BP12" s="234" t="n">
        <v>0</v>
      </c>
      <c r="BQ12" s="226" t="n">
        <v>0</v>
      </c>
      <c r="BR12" s="225" t="n">
        <v>0</v>
      </c>
      <c r="BS12" s="236" t="n">
        <v>83</v>
      </c>
      <c r="BT12" s="225" t="n">
        <v>0</v>
      </c>
      <c r="BU12" s="237" t="n">
        <v>0</v>
      </c>
      <c r="BV12" s="225" t="n">
        <v>241</v>
      </c>
      <c r="BW12" s="238" t="n">
        <v>0</v>
      </c>
      <c r="BX12" s="238" t="n">
        <v>0</v>
      </c>
      <c r="BY12" s="234" t="n">
        <v>0</v>
      </c>
      <c r="BZ12" s="234" t="n">
        <v>0</v>
      </c>
      <c r="CA12" s="234" t="n">
        <v>0</v>
      </c>
      <c r="CB12" s="234" t="n">
        <v>-1954995.27</v>
      </c>
      <c r="CC12" s="234" t="n">
        <v>0</v>
      </c>
      <c r="CD12" s="234" t="n">
        <v>0</v>
      </c>
      <c r="CE12" s="234" t="n">
        <v>0</v>
      </c>
      <c r="CF12" s="234" t="n">
        <v>0</v>
      </c>
      <c r="CG12" s="234" t="n">
        <v>0</v>
      </c>
      <c r="CH12" s="234" t="n">
        <v>0</v>
      </c>
      <c r="CI12" s="234" t="n">
        <v>0</v>
      </c>
      <c r="CJ12" s="234" t="n">
        <v>0</v>
      </c>
      <c r="CK12" s="225" t="n">
        <v>0</v>
      </c>
      <c r="CL12" s="225" t="n">
        <v>0</v>
      </c>
    </row>
    <row r="13" customFormat="false" ht="15.75" hidden="false" customHeight="false" outlineLevel="3" collapsed="false">
      <c r="A13" s="52" t="s">
        <v>401</v>
      </c>
      <c r="B13" s="52" t="s">
        <v>402</v>
      </c>
      <c r="C13" s="52" t="s">
        <v>409</v>
      </c>
      <c r="D13" s="52" t="s">
        <v>410</v>
      </c>
      <c r="E13" s="52" t="s">
        <v>415</v>
      </c>
      <c r="F13" s="52" t="s">
        <v>381</v>
      </c>
      <c r="G13" s="52" t="s">
        <v>412</v>
      </c>
      <c r="H13" s="52" t="s">
        <v>383</v>
      </c>
      <c r="I13" s="221" t="s">
        <v>407</v>
      </c>
      <c r="J13" s="223" t="n">
        <v>1</v>
      </c>
      <c r="K13" s="223" t="n">
        <v>1</v>
      </c>
      <c r="L13" s="225" t="n">
        <v>0</v>
      </c>
      <c r="M13" s="225" t="n">
        <v>0</v>
      </c>
      <c r="N13" s="225" t="n">
        <v>0</v>
      </c>
      <c r="O13" s="224" t="n">
        <v>9651875</v>
      </c>
      <c r="P13" s="225" t="n">
        <v>9651875</v>
      </c>
      <c r="Q13" s="225" t="n">
        <v>0</v>
      </c>
      <c r="R13" s="227" t="n">
        <v>0</v>
      </c>
      <c r="S13" s="273" t="n">
        <v>0.625</v>
      </c>
      <c r="T13" s="227" t="s">
        <v>397</v>
      </c>
      <c r="U13" s="229" t="n">
        <v>9651875</v>
      </c>
      <c r="V13" s="224" t="s">
        <v>385</v>
      </c>
      <c r="W13" s="224" t="n">
        <v>0</v>
      </c>
      <c r="X13" s="224" t="n">
        <v>0</v>
      </c>
      <c r="Y13" s="224" t="n">
        <v>0</v>
      </c>
      <c r="Z13" s="224" t="n">
        <v>0</v>
      </c>
      <c r="AA13" s="224" t="n">
        <v>0</v>
      </c>
      <c r="AB13" s="224" t="n">
        <v>0</v>
      </c>
      <c r="AC13" s="229" t="n">
        <v>9651875</v>
      </c>
      <c r="AD13" s="224" t="n">
        <v>0</v>
      </c>
      <c r="AE13" s="224" t="n">
        <v>0</v>
      </c>
      <c r="AF13" s="224" t="n">
        <v>0</v>
      </c>
      <c r="AG13" s="224" t="n">
        <v>0</v>
      </c>
      <c r="AH13" s="230" t="n">
        <v>0</v>
      </c>
      <c r="AI13" s="224" t="n">
        <v>0</v>
      </c>
      <c r="AJ13" s="224" t="n">
        <v>0</v>
      </c>
      <c r="AK13" s="231" t="n">
        <v>0</v>
      </c>
      <c r="AL13" s="232" t="n">
        <v>0</v>
      </c>
      <c r="AM13" s="224" t="n">
        <v>9231875</v>
      </c>
      <c r="AN13" s="225" t="n">
        <v>0</v>
      </c>
      <c r="AO13" s="232" t="n">
        <v>0</v>
      </c>
      <c r="AP13" s="224" t="n">
        <v>9651875</v>
      </c>
      <c r="AQ13" s="233" t="n">
        <v>1</v>
      </c>
      <c r="AR13" s="224" t="n">
        <v>0</v>
      </c>
      <c r="AS13" s="224" t="n">
        <v>9651875</v>
      </c>
      <c r="AT13" s="224" t="n">
        <v>0</v>
      </c>
      <c r="AU13" s="224" t="n">
        <v>0</v>
      </c>
      <c r="AV13" s="224" t="n">
        <v>0</v>
      </c>
      <c r="AW13" s="224" t="n">
        <v>0</v>
      </c>
      <c r="AX13" s="224" t="n">
        <v>420000</v>
      </c>
      <c r="AY13" s="224" t="n">
        <v>0</v>
      </c>
      <c r="AZ13" s="224" t="n">
        <v>-420000</v>
      </c>
      <c r="BA13" s="224" t="n">
        <v>0</v>
      </c>
      <c r="BB13" s="224" t="s">
        <v>381</v>
      </c>
      <c r="BC13" s="224" t="s">
        <v>381</v>
      </c>
      <c r="BD13" s="224" t="n">
        <v>0</v>
      </c>
      <c r="BE13" s="224" t="n">
        <v>0</v>
      </c>
      <c r="BF13" s="224" t="n">
        <v>0</v>
      </c>
      <c r="BG13" s="224" t="n">
        <v>0</v>
      </c>
      <c r="BH13" s="224" t="n">
        <v>420000</v>
      </c>
      <c r="BI13" s="224" t="n">
        <v>0</v>
      </c>
      <c r="BJ13" s="224" t="n">
        <v>-420000</v>
      </c>
      <c r="BK13" s="224" t="n">
        <v>0</v>
      </c>
      <c r="BL13" s="224" t="n">
        <v>9651875</v>
      </c>
      <c r="BM13" s="224" t="s">
        <v>386</v>
      </c>
      <c r="BN13" s="224" t="n">
        <v>0</v>
      </c>
      <c r="BO13" s="234" t="b">
        <f aca="false">FALSE()</f>
        <v>0</v>
      </c>
      <c r="BP13" s="234" t="n">
        <v>0</v>
      </c>
      <c r="BQ13" s="226" t="n">
        <v>0</v>
      </c>
      <c r="BR13" s="225" t="n">
        <v>0</v>
      </c>
      <c r="BS13" s="236" t="n">
        <v>83</v>
      </c>
      <c r="BT13" s="225" t="n">
        <v>0</v>
      </c>
      <c r="BU13" s="237" t="n">
        <v>0</v>
      </c>
      <c r="BV13" s="225" t="n">
        <v>260</v>
      </c>
      <c r="BW13" s="238" t="n">
        <v>0</v>
      </c>
      <c r="BX13" s="238" t="n">
        <v>0</v>
      </c>
      <c r="BY13" s="234" t="n">
        <v>0</v>
      </c>
      <c r="BZ13" s="234" t="n">
        <v>0</v>
      </c>
      <c r="CA13" s="234" t="n">
        <v>0</v>
      </c>
      <c r="CB13" s="234" t="n">
        <v>0</v>
      </c>
      <c r="CC13" s="234" t="n">
        <v>0</v>
      </c>
      <c r="CD13" s="234" t="n">
        <v>0</v>
      </c>
      <c r="CE13" s="234" t="n">
        <v>0</v>
      </c>
      <c r="CF13" s="234" t="n">
        <v>0</v>
      </c>
      <c r="CG13" s="234" t="n">
        <v>0</v>
      </c>
      <c r="CH13" s="234" t="n">
        <v>0</v>
      </c>
      <c r="CI13" s="234" t="n">
        <v>0</v>
      </c>
      <c r="CJ13" s="234" t="n">
        <v>0</v>
      </c>
      <c r="CK13" s="225" t="n">
        <v>0</v>
      </c>
      <c r="CL13" s="225" t="n">
        <v>0</v>
      </c>
    </row>
    <row r="14" customFormat="false" ht="15.75" hidden="false" customHeight="false" outlineLevel="3" collapsed="false">
      <c r="A14" s="52" t="s">
        <v>401</v>
      </c>
      <c r="B14" s="52" t="s">
        <v>402</v>
      </c>
      <c r="C14" s="52" t="s">
        <v>409</v>
      </c>
      <c r="D14" s="52" t="s">
        <v>410</v>
      </c>
      <c r="E14" s="52" t="s">
        <v>416</v>
      </c>
      <c r="F14" s="52" t="s">
        <v>381</v>
      </c>
      <c r="G14" s="52" t="s">
        <v>412</v>
      </c>
      <c r="H14" s="52" t="s">
        <v>383</v>
      </c>
      <c r="I14" s="221" t="s">
        <v>407</v>
      </c>
      <c r="J14" s="223" t="n">
        <v>1</v>
      </c>
      <c r="K14" s="223" t="n">
        <v>1</v>
      </c>
      <c r="L14" s="225" t="n">
        <v>0</v>
      </c>
      <c r="M14" s="225" t="n">
        <v>0</v>
      </c>
      <c r="N14" s="225" t="n">
        <v>0</v>
      </c>
      <c r="O14" s="224" t="n">
        <v>1663862.85</v>
      </c>
      <c r="P14" s="225" t="n">
        <v>1663862.85</v>
      </c>
      <c r="Q14" s="225" t="n">
        <v>0</v>
      </c>
      <c r="R14" s="227" t="n">
        <v>0</v>
      </c>
      <c r="S14" s="273" t="n">
        <v>0.625</v>
      </c>
      <c r="T14" s="227" t="s">
        <v>397</v>
      </c>
      <c r="U14" s="229" t="n">
        <v>1663862.85</v>
      </c>
      <c r="V14" s="224" t="s">
        <v>385</v>
      </c>
      <c r="W14" s="224" t="n">
        <v>0</v>
      </c>
      <c r="X14" s="224" t="n">
        <v>0</v>
      </c>
      <c r="Y14" s="224" t="n">
        <v>0</v>
      </c>
      <c r="Z14" s="224" t="n">
        <v>0</v>
      </c>
      <c r="AA14" s="224" t="n">
        <v>0</v>
      </c>
      <c r="AB14" s="224" t="n">
        <v>0</v>
      </c>
      <c r="AC14" s="229" t="n">
        <v>1663862.85</v>
      </c>
      <c r="AD14" s="224" t="n">
        <v>0</v>
      </c>
      <c r="AE14" s="224" t="n">
        <v>0</v>
      </c>
      <c r="AF14" s="224" t="n">
        <v>0</v>
      </c>
      <c r="AG14" s="224" t="n">
        <v>0</v>
      </c>
      <c r="AH14" s="230" t="n">
        <v>0</v>
      </c>
      <c r="AI14" s="224" t="n">
        <v>0</v>
      </c>
      <c r="AJ14" s="224" t="n">
        <v>0</v>
      </c>
      <c r="AK14" s="231" t="n">
        <v>0</v>
      </c>
      <c r="AL14" s="232" t="n">
        <v>0</v>
      </c>
      <c r="AM14" s="224" t="n">
        <v>1663862.85</v>
      </c>
      <c r="AN14" s="225" t="n">
        <v>0</v>
      </c>
      <c r="AO14" s="232" t="n">
        <v>0</v>
      </c>
      <c r="AP14" s="224" t="n">
        <v>1663862.85</v>
      </c>
      <c r="AQ14" s="233" t="n">
        <v>1</v>
      </c>
      <c r="AR14" s="224" t="n">
        <v>0</v>
      </c>
      <c r="AS14" s="224" t="n">
        <v>1663862.85</v>
      </c>
      <c r="AT14" s="224" t="n">
        <v>0</v>
      </c>
      <c r="AU14" s="224" t="n">
        <v>0</v>
      </c>
      <c r="AV14" s="224" t="n">
        <v>0</v>
      </c>
      <c r="AW14" s="224" t="n">
        <v>0</v>
      </c>
      <c r="AX14" s="224" t="n">
        <v>0</v>
      </c>
      <c r="AY14" s="224" t="n">
        <v>0</v>
      </c>
      <c r="AZ14" s="224" t="n">
        <v>0</v>
      </c>
      <c r="BA14" s="224" t="n">
        <v>0</v>
      </c>
      <c r="BB14" s="224" t="s">
        <v>381</v>
      </c>
      <c r="BC14" s="224" t="s">
        <v>381</v>
      </c>
      <c r="BD14" s="224" t="n">
        <v>0</v>
      </c>
      <c r="BE14" s="224" t="n">
        <v>0</v>
      </c>
      <c r="BF14" s="224" t="n">
        <v>0</v>
      </c>
      <c r="BG14" s="224" t="n">
        <v>0</v>
      </c>
      <c r="BH14" s="224" t="n">
        <v>0</v>
      </c>
      <c r="BI14" s="224" t="n">
        <v>0</v>
      </c>
      <c r="BJ14" s="224" t="n">
        <v>0</v>
      </c>
      <c r="BK14" s="224" t="n">
        <v>0</v>
      </c>
      <c r="BL14" s="224" t="n">
        <v>1663862.85</v>
      </c>
      <c r="BM14" s="224" t="s">
        <v>386</v>
      </c>
      <c r="BN14" s="224" t="n">
        <v>0</v>
      </c>
      <c r="BO14" s="234" t="b">
        <f aca="false">FALSE()</f>
        <v>0</v>
      </c>
      <c r="BP14" s="234" t="n">
        <v>0</v>
      </c>
      <c r="BQ14" s="226" t="n">
        <v>0</v>
      </c>
      <c r="BR14" s="225" t="n">
        <v>0</v>
      </c>
      <c r="BS14" s="236" t="n">
        <v>83</v>
      </c>
      <c r="BT14" s="225" t="n">
        <v>0</v>
      </c>
      <c r="BU14" s="237" t="n">
        <v>0</v>
      </c>
      <c r="BV14" s="225" t="n">
        <v>261</v>
      </c>
      <c r="BW14" s="238" t="n">
        <v>0</v>
      </c>
      <c r="BX14" s="238" t="n">
        <v>0</v>
      </c>
      <c r="BY14" s="234" t="n">
        <v>0</v>
      </c>
      <c r="BZ14" s="234" t="n">
        <v>0</v>
      </c>
      <c r="CA14" s="234" t="n">
        <v>0</v>
      </c>
      <c r="CB14" s="234" t="n">
        <v>0</v>
      </c>
      <c r="CC14" s="234" t="n">
        <v>0</v>
      </c>
      <c r="CD14" s="234" t="n">
        <v>0</v>
      </c>
      <c r="CE14" s="234" t="n">
        <v>0</v>
      </c>
      <c r="CF14" s="234" t="n">
        <v>0</v>
      </c>
      <c r="CG14" s="234" t="n">
        <v>0</v>
      </c>
      <c r="CH14" s="234" t="n">
        <v>0</v>
      </c>
      <c r="CI14" s="234" t="n">
        <v>0</v>
      </c>
      <c r="CJ14" s="234" t="n">
        <v>0</v>
      </c>
      <c r="CK14" s="225" t="n">
        <v>0</v>
      </c>
      <c r="CL14" s="225" t="n">
        <v>0</v>
      </c>
    </row>
    <row r="15" customFormat="false" ht="15.75" hidden="false" customHeight="false" outlineLevel="3" collapsed="false">
      <c r="A15" s="52" t="s">
        <v>401</v>
      </c>
      <c r="B15" s="52" t="s">
        <v>402</v>
      </c>
      <c r="C15" s="52" t="s">
        <v>403</v>
      </c>
      <c r="D15" s="52" t="s">
        <v>404</v>
      </c>
      <c r="E15" s="52" t="s">
        <v>417</v>
      </c>
      <c r="F15" s="52" t="s">
        <v>381</v>
      </c>
      <c r="G15" s="52" t="s">
        <v>406</v>
      </c>
      <c r="H15" s="52" t="s">
        <v>383</v>
      </c>
      <c r="I15" s="221" t="s">
        <v>407</v>
      </c>
      <c r="J15" s="223" t="n">
        <v>1</v>
      </c>
      <c r="K15" s="223" t="n">
        <v>1</v>
      </c>
      <c r="L15" s="225" t="n">
        <v>0</v>
      </c>
      <c r="M15" s="225" t="n">
        <v>0</v>
      </c>
      <c r="N15" s="225" t="n">
        <v>0</v>
      </c>
      <c r="O15" s="224" t="n">
        <v>1895268.24</v>
      </c>
      <c r="P15" s="225" t="n">
        <v>1895268.24</v>
      </c>
      <c r="Q15" s="225" t="n">
        <v>0</v>
      </c>
      <c r="R15" s="227" t="s">
        <v>413</v>
      </c>
      <c r="S15" s="273" t="n">
        <v>0.5</v>
      </c>
      <c r="T15" s="227" t="s">
        <v>397</v>
      </c>
      <c r="U15" s="229" t="n">
        <v>1895268.24</v>
      </c>
      <c r="V15" s="224" t="s">
        <v>385</v>
      </c>
      <c r="W15" s="224" t="n">
        <v>0</v>
      </c>
      <c r="X15" s="224" t="n">
        <v>0</v>
      </c>
      <c r="Y15" s="224" t="n">
        <v>0</v>
      </c>
      <c r="Z15" s="224" t="n">
        <v>0</v>
      </c>
      <c r="AA15" s="224" t="n">
        <v>0</v>
      </c>
      <c r="AB15" s="224" t="n">
        <v>0</v>
      </c>
      <c r="AC15" s="229" t="n">
        <v>1895268.24</v>
      </c>
      <c r="AD15" s="224" t="n">
        <v>0</v>
      </c>
      <c r="AE15" s="224" t="n">
        <v>0</v>
      </c>
      <c r="AF15" s="224" t="n">
        <v>0</v>
      </c>
      <c r="AG15" s="224" t="n">
        <v>0</v>
      </c>
      <c r="AH15" s="230" t="n">
        <v>0</v>
      </c>
      <c r="AI15" s="224" t="n">
        <v>0</v>
      </c>
      <c r="AJ15" s="224" t="n">
        <v>0</v>
      </c>
      <c r="AK15" s="231" t="n">
        <v>0</v>
      </c>
      <c r="AL15" s="232" t="n">
        <v>0</v>
      </c>
      <c r="AM15" s="224" t="n">
        <v>230788.389999999</v>
      </c>
      <c r="AN15" s="225" t="n">
        <v>0</v>
      </c>
      <c r="AO15" s="232" t="n">
        <v>0</v>
      </c>
      <c r="AP15" s="224" t="n">
        <v>1895268.24</v>
      </c>
      <c r="AQ15" s="233" t="n">
        <v>1</v>
      </c>
      <c r="AR15" s="224" t="n">
        <v>0</v>
      </c>
      <c r="AS15" s="224" t="n">
        <v>1895268.24</v>
      </c>
      <c r="AT15" s="224" t="n">
        <v>0</v>
      </c>
      <c r="AU15" s="224" t="n">
        <v>0</v>
      </c>
      <c r="AV15" s="224" t="n">
        <v>0</v>
      </c>
      <c r="AW15" s="224" t="n">
        <v>0</v>
      </c>
      <c r="AX15" s="224" t="n">
        <v>0</v>
      </c>
      <c r="AY15" s="224" t="n">
        <v>0</v>
      </c>
      <c r="AZ15" s="224" t="n">
        <v>0</v>
      </c>
      <c r="BA15" s="224" t="n">
        <v>0</v>
      </c>
      <c r="BB15" s="224" t="s">
        <v>381</v>
      </c>
      <c r="BC15" s="224" t="s">
        <v>381</v>
      </c>
      <c r="BD15" s="224" t="n">
        <v>0</v>
      </c>
      <c r="BE15" s="224" t="n">
        <v>0</v>
      </c>
      <c r="BF15" s="224" t="n">
        <v>0</v>
      </c>
      <c r="BG15" s="224" t="n">
        <v>0</v>
      </c>
      <c r="BH15" s="224" t="n">
        <v>0</v>
      </c>
      <c r="BI15" s="224" t="n">
        <v>0</v>
      </c>
      <c r="BJ15" s="224" t="n">
        <v>0</v>
      </c>
      <c r="BK15" s="224" t="n">
        <v>0</v>
      </c>
      <c r="BL15" s="224" t="n">
        <v>1895268.24</v>
      </c>
      <c r="BM15" s="224" t="s">
        <v>386</v>
      </c>
      <c r="BN15" s="224" t="n">
        <v>0</v>
      </c>
      <c r="BO15" s="234" t="b">
        <f aca="false">FALSE()</f>
        <v>0</v>
      </c>
      <c r="BP15" s="234" t="n">
        <v>0</v>
      </c>
      <c r="BQ15" s="226" t="n">
        <v>0</v>
      </c>
      <c r="BR15" s="225" t="n">
        <v>0</v>
      </c>
      <c r="BS15" s="236" t="n">
        <v>83</v>
      </c>
      <c r="BT15" s="225" t="n">
        <v>0</v>
      </c>
      <c r="BU15" s="237" t="n">
        <v>0</v>
      </c>
      <c r="BV15" s="225" t="n">
        <v>263</v>
      </c>
      <c r="BW15" s="238" t="n">
        <v>0</v>
      </c>
      <c r="BX15" s="238" t="n">
        <v>0</v>
      </c>
      <c r="BY15" s="234" t="n">
        <v>0</v>
      </c>
      <c r="BZ15" s="234" t="n">
        <v>0</v>
      </c>
      <c r="CA15" s="234" t="n">
        <v>0</v>
      </c>
      <c r="CB15" s="234" t="n">
        <v>1664479.85</v>
      </c>
      <c r="CC15" s="234" t="n">
        <v>0</v>
      </c>
      <c r="CD15" s="234" t="n">
        <v>0</v>
      </c>
      <c r="CE15" s="234" t="n">
        <v>0</v>
      </c>
      <c r="CF15" s="234" t="n">
        <v>0</v>
      </c>
      <c r="CG15" s="234" t="n">
        <v>0</v>
      </c>
      <c r="CH15" s="234" t="n">
        <v>0</v>
      </c>
      <c r="CI15" s="234" t="n">
        <v>0</v>
      </c>
      <c r="CJ15" s="234" t="n">
        <v>0</v>
      </c>
      <c r="CK15" s="225" t="n">
        <v>0</v>
      </c>
      <c r="CL15" s="225" t="n">
        <v>0</v>
      </c>
    </row>
    <row r="16" customFormat="false" ht="15.75" hidden="false" customHeight="false" outlineLevel="3" collapsed="false">
      <c r="A16" s="52" t="s">
        <v>401</v>
      </c>
      <c r="B16" s="52" t="s">
        <v>402</v>
      </c>
      <c r="C16" s="52" t="s">
        <v>403</v>
      </c>
      <c r="D16" s="52" t="s">
        <v>404</v>
      </c>
      <c r="E16" s="52" t="s">
        <v>418</v>
      </c>
      <c r="F16" s="52" t="s">
        <v>381</v>
      </c>
      <c r="G16" s="52" t="s">
        <v>406</v>
      </c>
      <c r="H16" s="52" t="s">
        <v>383</v>
      </c>
      <c r="I16" s="221" t="s">
        <v>407</v>
      </c>
      <c r="J16" s="223" t="n">
        <v>1</v>
      </c>
      <c r="K16" s="223" t="n">
        <v>1</v>
      </c>
      <c r="L16" s="225" t="n">
        <v>0</v>
      </c>
      <c r="M16" s="225" t="n">
        <v>0</v>
      </c>
      <c r="N16" s="225" t="n">
        <v>0</v>
      </c>
      <c r="O16" s="224" t="n">
        <v>0</v>
      </c>
      <c r="P16" s="225" t="n">
        <v>0</v>
      </c>
      <c r="Q16" s="225" t="n">
        <v>0</v>
      </c>
      <c r="R16" s="227" t="n">
        <v>0</v>
      </c>
      <c r="S16" s="273" t="n">
        <v>1</v>
      </c>
      <c r="T16" s="227" t="s">
        <v>397</v>
      </c>
      <c r="U16" s="229" t="n">
        <v>0</v>
      </c>
      <c r="V16" s="224" t="s">
        <v>385</v>
      </c>
      <c r="W16" s="224" t="n">
        <v>0</v>
      </c>
      <c r="X16" s="224" t="n">
        <v>0</v>
      </c>
      <c r="Y16" s="224" t="n">
        <v>0</v>
      </c>
      <c r="Z16" s="224" t="n">
        <v>0</v>
      </c>
      <c r="AA16" s="224" t="n">
        <v>0</v>
      </c>
      <c r="AB16" s="224" t="n">
        <v>0</v>
      </c>
      <c r="AC16" s="229" t="n">
        <v>0</v>
      </c>
      <c r="AD16" s="224" t="n">
        <v>0</v>
      </c>
      <c r="AE16" s="224" t="n">
        <v>0</v>
      </c>
      <c r="AF16" s="224" t="n">
        <v>0</v>
      </c>
      <c r="AG16" s="224" t="n">
        <v>0</v>
      </c>
      <c r="AH16" s="230" t="n">
        <v>0</v>
      </c>
      <c r="AI16" s="224" t="n">
        <v>0</v>
      </c>
      <c r="AJ16" s="224" t="n">
        <v>0</v>
      </c>
      <c r="AK16" s="231" t="n">
        <v>0</v>
      </c>
      <c r="AL16" s="232" t="n">
        <v>0</v>
      </c>
      <c r="AM16" s="224" t="n">
        <v>400561.36</v>
      </c>
      <c r="AN16" s="225" t="n">
        <v>0</v>
      </c>
      <c r="AO16" s="232" t="n">
        <v>0</v>
      </c>
      <c r="AP16" s="224" t="n">
        <v>0</v>
      </c>
      <c r="AQ16" s="233" t="n">
        <v>1</v>
      </c>
      <c r="AR16" s="224" t="n">
        <v>0</v>
      </c>
      <c r="AS16" s="224" t="n">
        <v>0</v>
      </c>
      <c r="AT16" s="224" t="n">
        <v>0</v>
      </c>
      <c r="AU16" s="224" t="n">
        <v>0</v>
      </c>
      <c r="AV16" s="224" t="n">
        <v>0</v>
      </c>
      <c r="AW16" s="224" t="n">
        <v>0</v>
      </c>
      <c r="AX16" s="224" t="n">
        <v>0</v>
      </c>
      <c r="AY16" s="224" t="n">
        <v>0</v>
      </c>
      <c r="AZ16" s="224" t="n">
        <v>0</v>
      </c>
      <c r="BA16" s="224" t="n">
        <v>0</v>
      </c>
      <c r="BB16" s="224" t="s">
        <v>381</v>
      </c>
      <c r="BC16" s="224" t="s">
        <v>381</v>
      </c>
      <c r="BD16" s="224" t="n">
        <v>0</v>
      </c>
      <c r="BE16" s="224" t="n">
        <v>0</v>
      </c>
      <c r="BF16" s="224" t="n">
        <v>0</v>
      </c>
      <c r="BG16" s="224" t="n">
        <v>0</v>
      </c>
      <c r="BH16" s="224" t="n">
        <v>0</v>
      </c>
      <c r="BI16" s="224" t="n">
        <v>0</v>
      </c>
      <c r="BJ16" s="224" t="n">
        <v>0</v>
      </c>
      <c r="BK16" s="224" t="n">
        <v>0</v>
      </c>
      <c r="BL16" s="224" t="n">
        <v>0</v>
      </c>
      <c r="BM16" s="224" t="s">
        <v>386</v>
      </c>
      <c r="BN16" s="224" t="n">
        <v>0</v>
      </c>
      <c r="BO16" s="234" t="b">
        <f aca="false">FALSE()</f>
        <v>0</v>
      </c>
      <c r="BP16" s="234" t="n">
        <v>0</v>
      </c>
      <c r="BQ16" s="226" t="n">
        <v>0</v>
      </c>
      <c r="BR16" s="225" t="n">
        <v>0</v>
      </c>
      <c r="BS16" s="236" t="n">
        <v>83</v>
      </c>
      <c r="BT16" s="225" t="n">
        <v>0</v>
      </c>
      <c r="BU16" s="237" t="n">
        <v>0</v>
      </c>
      <c r="BV16" s="225" t="n">
        <v>264</v>
      </c>
      <c r="BW16" s="238" t="n">
        <v>0</v>
      </c>
      <c r="BX16" s="238" t="n">
        <v>0</v>
      </c>
      <c r="BY16" s="234" t="n">
        <v>0</v>
      </c>
      <c r="BZ16" s="234" t="n">
        <v>0</v>
      </c>
      <c r="CA16" s="234" t="n">
        <v>0</v>
      </c>
      <c r="CB16" s="234" t="n">
        <v>-400561.36</v>
      </c>
      <c r="CC16" s="234" t="n">
        <v>0</v>
      </c>
      <c r="CD16" s="234" t="n">
        <v>0</v>
      </c>
      <c r="CE16" s="234" t="n">
        <v>0</v>
      </c>
      <c r="CF16" s="234" t="n">
        <v>0</v>
      </c>
      <c r="CG16" s="234" t="n">
        <v>0</v>
      </c>
      <c r="CH16" s="234" t="n">
        <v>0</v>
      </c>
      <c r="CI16" s="234" t="n">
        <v>0</v>
      </c>
      <c r="CJ16" s="234" t="n">
        <v>0</v>
      </c>
      <c r="CK16" s="225" t="n">
        <v>0</v>
      </c>
      <c r="CL16" s="225" t="n">
        <v>0</v>
      </c>
    </row>
    <row r="17" customFormat="false" ht="20.1" hidden="false" customHeight="true" outlineLevel="2" collapsed="false">
      <c r="A17" s="240" t="s">
        <v>419</v>
      </c>
      <c r="B17" s="240"/>
      <c r="C17" s="240"/>
      <c r="D17" s="240"/>
      <c r="E17" s="240"/>
      <c r="F17" s="240"/>
      <c r="G17" s="240"/>
      <c r="H17" s="240"/>
      <c r="I17" s="241"/>
      <c r="J17" s="243"/>
      <c r="K17" s="243"/>
      <c r="L17" s="245"/>
      <c r="M17" s="245"/>
      <c r="N17" s="245"/>
      <c r="O17" s="244"/>
      <c r="P17" s="245"/>
      <c r="Q17" s="245"/>
      <c r="R17" s="247" t="n">
        <v>0</v>
      </c>
      <c r="S17" s="274" t="n">
        <v>5.375</v>
      </c>
      <c r="T17" s="247" t="n">
        <v>0</v>
      </c>
      <c r="U17" s="249" t="n">
        <v>43022440.36</v>
      </c>
      <c r="V17" s="244"/>
      <c r="W17" s="244" t="n">
        <v>0</v>
      </c>
      <c r="X17" s="244" t="n">
        <v>0</v>
      </c>
      <c r="Y17" s="244" t="n">
        <v>0</v>
      </c>
      <c r="Z17" s="244" t="n">
        <v>0</v>
      </c>
      <c r="AA17" s="244" t="n">
        <v>0</v>
      </c>
      <c r="AB17" s="244" t="n">
        <v>0</v>
      </c>
      <c r="AC17" s="249" t="n">
        <v>42414025.14</v>
      </c>
      <c r="AD17" s="244" t="n">
        <v>0</v>
      </c>
      <c r="AE17" s="244" t="n">
        <v>0</v>
      </c>
      <c r="AF17" s="244" t="n">
        <v>0</v>
      </c>
      <c r="AG17" s="244" t="n">
        <v>0</v>
      </c>
      <c r="AH17" s="250" t="n">
        <v>0</v>
      </c>
      <c r="AI17" s="244" t="n">
        <v>0</v>
      </c>
      <c r="AJ17" s="244" t="n">
        <v>0</v>
      </c>
      <c r="AK17" s="251" t="n">
        <v>0</v>
      </c>
      <c r="AL17" s="252"/>
      <c r="AM17" s="244" t="n">
        <v>39750356.87</v>
      </c>
      <c r="AN17" s="245"/>
      <c r="AO17" s="252"/>
      <c r="AP17" s="244" t="n">
        <v>38622230.4</v>
      </c>
      <c r="AQ17" s="253"/>
      <c r="AR17" s="244"/>
      <c r="AS17" s="244"/>
      <c r="AT17" s="244" t="n">
        <v>0</v>
      </c>
      <c r="AU17" s="244" t="n">
        <v>0</v>
      </c>
      <c r="AV17" s="244" t="n">
        <v>0</v>
      </c>
      <c r="AW17" s="244" t="n">
        <v>0</v>
      </c>
      <c r="AX17" s="244" t="n">
        <v>-2858113.43</v>
      </c>
      <c r="AY17" s="244" t="n">
        <v>0</v>
      </c>
      <c r="AZ17" s="244" t="n">
        <v>2858113.43</v>
      </c>
      <c r="BA17" s="244" t="n">
        <v>0</v>
      </c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6"/>
      <c r="BR17" s="245"/>
      <c r="BS17" s="255"/>
      <c r="BT17" s="245"/>
      <c r="BU17" s="256"/>
      <c r="BV17" s="245"/>
      <c r="BW17" s="257"/>
      <c r="BX17" s="257"/>
      <c r="BY17" s="244"/>
      <c r="BZ17" s="244"/>
      <c r="CA17" s="244" t="n">
        <v>4400209.96</v>
      </c>
      <c r="CB17" s="244"/>
      <c r="CC17" s="244"/>
      <c r="CD17" s="244"/>
      <c r="CE17" s="244"/>
      <c r="CF17" s="244"/>
      <c r="CG17" s="244"/>
      <c r="CH17" s="244"/>
      <c r="CI17" s="244"/>
      <c r="CJ17" s="244"/>
      <c r="CK17" s="245"/>
      <c r="CL17" s="245"/>
    </row>
    <row r="18" customFormat="false" ht="30" hidden="false" customHeight="true" outlineLevel="1" collapsed="false">
      <c r="A18" s="240"/>
      <c r="B18" s="240" t="s">
        <v>420</v>
      </c>
      <c r="C18" s="240"/>
      <c r="D18" s="240"/>
      <c r="E18" s="240"/>
      <c r="F18" s="240"/>
      <c r="G18" s="240"/>
      <c r="H18" s="240"/>
      <c r="I18" s="241"/>
      <c r="J18" s="258"/>
      <c r="K18" s="258"/>
      <c r="L18" s="260"/>
      <c r="M18" s="260"/>
      <c r="N18" s="260"/>
      <c r="O18" s="259"/>
      <c r="P18" s="260"/>
      <c r="Q18" s="260"/>
      <c r="R18" s="262" t="n">
        <v>0</v>
      </c>
      <c r="S18" s="275" t="n">
        <v>5.375</v>
      </c>
      <c r="T18" s="262" t="n">
        <v>0</v>
      </c>
      <c r="U18" s="264" t="n">
        <v>43022440.36</v>
      </c>
      <c r="V18" s="259"/>
      <c r="W18" s="259" t="n">
        <v>0</v>
      </c>
      <c r="X18" s="259" t="n">
        <v>0</v>
      </c>
      <c r="Y18" s="259" t="n">
        <v>0</v>
      </c>
      <c r="Z18" s="259" t="n">
        <v>0</v>
      </c>
      <c r="AA18" s="259" t="n">
        <v>0</v>
      </c>
      <c r="AB18" s="259" t="n">
        <v>0</v>
      </c>
      <c r="AC18" s="264" t="n">
        <v>42414025.14</v>
      </c>
      <c r="AD18" s="259" t="n">
        <v>0</v>
      </c>
      <c r="AE18" s="259" t="n">
        <v>0</v>
      </c>
      <c r="AF18" s="259" t="n">
        <v>0</v>
      </c>
      <c r="AG18" s="259" t="n">
        <v>0</v>
      </c>
      <c r="AH18" s="265" t="n">
        <v>0</v>
      </c>
      <c r="AI18" s="259" t="n">
        <v>0</v>
      </c>
      <c r="AJ18" s="259" t="n">
        <v>0</v>
      </c>
      <c r="AK18" s="266" t="n">
        <v>0</v>
      </c>
      <c r="AL18" s="267"/>
      <c r="AM18" s="259" t="n">
        <v>39750356.87</v>
      </c>
      <c r="AN18" s="260"/>
      <c r="AO18" s="267"/>
      <c r="AP18" s="259" t="n">
        <v>38622230.4</v>
      </c>
      <c r="AQ18" s="268"/>
      <c r="AR18" s="259"/>
      <c r="AS18" s="259"/>
      <c r="AT18" s="259" t="n">
        <v>0</v>
      </c>
      <c r="AU18" s="259" t="n">
        <v>0</v>
      </c>
      <c r="AV18" s="259" t="n">
        <v>0</v>
      </c>
      <c r="AW18" s="259" t="n">
        <v>0</v>
      </c>
      <c r="AX18" s="259" t="n">
        <v>-2858113.43</v>
      </c>
      <c r="AY18" s="259" t="n">
        <v>0</v>
      </c>
      <c r="AZ18" s="259" t="n">
        <v>2858113.43</v>
      </c>
      <c r="BA18" s="259" t="n">
        <v>0</v>
      </c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61"/>
      <c r="BR18" s="260"/>
      <c r="BS18" s="270"/>
      <c r="BT18" s="260"/>
      <c r="BU18" s="271"/>
      <c r="BV18" s="260"/>
      <c r="BW18" s="272"/>
      <c r="BX18" s="272"/>
      <c r="BY18" s="259"/>
      <c r="BZ18" s="259"/>
      <c r="CA18" s="259" t="n">
        <v>4400209.96</v>
      </c>
      <c r="CB18" s="259"/>
      <c r="CC18" s="259"/>
      <c r="CD18" s="259"/>
      <c r="CE18" s="259"/>
      <c r="CF18" s="259"/>
      <c r="CG18" s="259"/>
      <c r="CH18" s="259"/>
      <c r="CI18" s="259"/>
      <c r="CJ18" s="259"/>
      <c r="CK18" s="260"/>
      <c r="CL18" s="260"/>
    </row>
    <row r="19" customFormat="false" ht="15.75" hidden="false" customHeight="false" outlineLevel="3" collapsed="false">
      <c r="A19" s="52" t="s">
        <v>421</v>
      </c>
      <c r="B19" s="52" t="s">
        <v>422</v>
      </c>
      <c r="C19" s="52" t="s">
        <v>423</v>
      </c>
      <c r="D19" s="52" t="s">
        <v>424</v>
      </c>
      <c r="E19" s="52" t="s">
        <v>425</v>
      </c>
      <c r="F19" s="52" t="s">
        <v>426</v>
      </c>
      <c r="G19" s="276" t="s">
        <v>427</v>
      </c>
      <c r="H19" s="276" t="s">
        <v>428</v>
      </c>
      <c r="I19" s="221" t="s">
        <v>428</v>
      </c>
      <c r="J19" s="223" t="n">
        <v>0</v>
      </c>
      <c r="K19" s="223" t="n">
        <v>0</v>
      </c>
      <c r="L19" s="225" t="n">
        <v>0.0337813274219525</v>
      </c>
      <c r="M19" s="225" t="n">
        <v>0</v>
      </c>
      <c r="N19" s="225" t="n">
        <v>0.280455693261207</v>
      </c>
      <c r="O19" s="224" t="n">
        <v>1.30369633896851E-006</v>
      </c>
      <c r="P19" s="225" t="n">
        <v>1.31014959828208E-006</v>
      </c>
      <c r="Q19" s="225" t="n">
        <v>-6.45325931356887E-009</v>
      </c>
      <c r="R19" s="227" t="n">
        <v>0</v>
      </c>
      <c r="S19" s="228" t="n">
        <v>1</v>
      </c>
      <c r="T19" s="227" t="s">
        <v>397</v>
      </c>
      <c r="U19" s="229" t="n">
        <v>0</v>
      </c>
      <c r="V19" s="224" t="s">
        <v>385</v>
      </c>
      <c r="W19" s="224" t="n">
        <v>0</v>
      </c>
      <c r="X19" s="224" t="n">
        <v>0</v>
      </c>
      <c r="Y19" s="224" t="n">
        <v>0</v>
      </c>
      <c r="Z19" s="224" t="n">
        <v>0</v>
      </c>
      <c r="AA19" s="224" t="n">
        <v>0</v>
      </c>
      <c r="AB19" s="224" t="n">
        <v>0</v>
      </c>
      <c r="AC19" s="229" t="n">
        <v>0</v>
      </c>
      <c r="AD19" s="224" t="n">
        <v>0</v>
      </c>
      <c r="AE19" s="224" t="n">
        <v>0</v>
      </c>
      <c r="AF19" s="224" t="n">
        <v>0</v>
      </c>
      <c r="AG19" s="224" t="n">
        <v>0</v>
      </c>
      <c r="AH19" s="230" t="n">
        <v>0</v>
      </c>
      <c r="AI19" s="224" t="n">
        <v>0</v>
      </c>
      <c r="AJ19" s="224" t="n">
        <v>0</v>
      </c>
      <c r="AK19" s="231" t="n">
        <v>0</v>
      </c>
      <c r="AL19" s="232" t="n">
        <v>0</v>
      </c>
      <c r="AM19" s="224" t="n">
        <v>127482.447572753</v>
      </c>
      <c r="AN19" s="232" t="n">
        <v>0</v>
      </c>
      <c r="AO19" s="232" t="n">
        <v>0</v>
      </c>
      <c r="AP19" s="224" t="n">
        <v>84870.3860270403</v>
      </c>
      <c r="AQ19" s="233" t="n">
        <v>1</v>
      </c>
      <c r="AR19" s="224" t="n">
        <v>0</v>
      </c>
      <c r="AS19" s="224" t="n">
        <v>16.25</v>
      </c>
      <c r="AT19" s="224" t="n">
        <v>0</v>
      </c>
      <c r="AU19" s="224" t="n">
        <v>0</v>
      </c>
      <c r="AV19" s="224" t="n">
        <v>0</v>
      </c>
      <c r="AW19" s="224" t="n">
        <v>0</v>
      </c>
      <c r="AX19" s="224" t="n">
        <v>-89917.6475727526</v>
      </c>
      <c r="AY19" s="224" t="n">
        <v>0</v>
      </c>
      <c r="AZ19" s="224" t="n">
        <v>89917.6475727526</v>
      </c>
      <c r="BA19" s="224" t="n">
        <v>0</v>
      </c>
      <c r="BB19" s="224" t="n">
        <v>13.45</v>
      </c>
      <c r="BC19" s="224" t="n">
        <v>13.4</v>
      </c>
      <c r="BD19" s="224" t="n">
        <v>0</v>
      </c>
      <c r="BE19" s="224" t="n">
        <v>0</v>
      </c>
      <c r="BF19" s="224" t="n">
        <v>0</v>
      </c>
      <c r="BG19" s="224" t="n">
        <v>0</v>
      </c>
      <c r="BH19" s="224" t="n">
        <v>-89917.6475727526</v>
      </c>
      <c r="BI19" s="224" t="n">
        <v>0</v>
      </c>
      <c r="BJ19" s="224" t="n">
        <v>89917.6475727526</v>
      </c>
      <c r="BK19" s="224" t="n">
        <v>0</v>
      </c>
      <c r="BL19" s="224" t="n">
        <v>84870.3860270403</v>
      </c>
      <c r="BM19" s="224" t="s">
        <v>398</v>
      </c>
      <c r="BN19" s="224" t="n">
        <v>0</v>
      </c>
      <c r="BO19" s="234" t="b">
        <f aca="false">FALSE()</f>
        <v>0</v>
      </c>
      <c r="BP19" s="234" t="n">
        <v>0</v>
      </c>
      <c r="BQ19" s="225" t="n">
        <v>0</v>
      </c>
      <c r="BR19" s="225" t="n">
        <v>0</v>
      </c>
      <c r="BS19" s="236" t="n">
        <v>42</v>
      </c>
      <c r="BT19" s="225" t="n">
        <v>0</v>
      </c>
      <c r="BU19" s="237" t="n">
        <v>0</v>
      </c>
      <c r="BV19" s="225" t="n">
        <v>319</v>
      </c>
      <c r="BW19" s="238" t="n">
        <v>13.45</v>
      </c>
      <c r="BX19" s="238" t="n">
        <v>13.45</v>
      </c>
      <c r="BY19" s="234" t="n">
        <v>0</v>
      </c>
      <c r="BZ19" s="234" t="n">
        <v>0</v>
      </c>
      <c r="CA19" s="234" t="n">
        <v>0</v>
      </c>
      <c r="CB19" s="234" t="n">
        <v>-37564.8</v>
      </c>
      <c r="CC19" s="234" t="n">
        <v>0</v>
      </c>
      <c r="CD19" s="234" t="n">
        <v>0</v>
      </c>
      <c r="CE19" s="234" t="n">
        <v>0</v>
      </c>
      <c r="CF19" s="234" t="n">
        <v>0</v>
      </c>
      <c r="CG19" s="234" t="n">
        <v>0</v>
      </c>
      <c r="CH19" s="234" t="n">
        <v>0</v>
      </c>
      <c r="CI19" s="234" t="n">
        <v>0</v>
      </c>
      <c r="CJ19" s="234" t="n">
        <v>0</v>
      </c>
      <c r="CK19" s="225" t="n">
        <v>0</v>
      </c>
      <c r="CL19" s="225" t="n">
        <v>0</v>
      </c>
    </row>
    <row r="20" customFormat="false" ht="20.1" hidden="false" customHeight="true" outlineLevel="2" collapsed="false">
      <c r="A20" s="240" t="s">
        <v>429</v>
      </c>
      <c r="B20" s="240"/>
      <c r="C20" s="240"/>
      <c r="D20" s="240"/>
      <c r="E20" s="240"/>
      <c r="F20" s="240"/>
      <c r="G20" s="277"/>
      <c r="H20" s="277"/>
      <c r="I20" s="241"/>
      <c r="J20" s="243"/>
      <c r="K20" s="243"/>
      <c r="L20" s="245"/>
      <c r="M20" s="245"/>
      <c r="N20" s="245"/>
      <c r="O20" s="244"/>
      <c r="P20" s="245"/>
      <c r="Q20" s="245"/>
      <c r="R20" s="247" t="n">
        <v>0</v>
      </c>
      <c r="S20" s="248" t="n">
        <v>1</v>
      </c>
      <c r="T20" s="247" t="n">
        <v>0</v>
      </c>
      <c r="U20" s="249" t="n">
        <v>0</v>
      </c>
      <c r="V20" s="244"/>
      <c r="W20" s="244" t="n">
        <v>0</v>
      </c>
      <c r="X20" s="244" t="n">
        <v>0</v>
      </c>
      <c r="Y20" s="244" t="n">
        <v>0</v>
      </c>
      <c r="Z20" s="244" t="n">
        <v>0</v>
      </c>
      <c r="AA20" s="244" t="n">
        <v>0</v>
      </c>
      <c r="AB20" s="244" t="n">
        <v>0</v>
      </c>
      <c r="AC20" s="249" t="n">
        <v>0</v>
      </c>
      <c r="AD20" s="244" t="n">
        <v>0</v>
      </c>
      <c r="AE20" s="244" t="n">
        <v>0</v>
      </c>
      <c r="AF20" s="244" t="n">
        <v>0</v>
      </c>
      <c r="AG20" s="244" t="n">
        <v>0</v>
      </c>
      <c r="AH20" s="250" t="n">
        <v>0</v>
      </c>
      <c r="AI20" s="244" t="n">
        <v>0</v>
      </c>
      <c r="AJ20" s="244" t="n">
        <v>0</v>
      </c>
      <c r="AK20" s="251" t="n">
        <v>0</v>
      </c>
      <c r="AL20" s="252"/>
      <c r="AM20" s="244" t="n">
        <v>127482.447572753</v>
      </c>
      <c r="AN20" s="252"/>
      <c r="AO20" s="252"/>
      <c r="AP20" s="244" t="n">
        <v>84870.3860270403</v>
      </c>
      <c r="AQ20" s="253"/>
      <c r="AR20" s="244"/>
      <c r="AS20" s="244"/>
      <c r="AT20" s="244" t="n">
        <v>0</v>
      </c>
      <c r="AU20" s="244" t="n">
        <v>0</v>
      </c>
      <c r="AV20" s="244" t="n">
        <v>0</v>
      </c>
      <c r="AW20" s="244" t="n">
        <v>0</v>
      </c>
      <c r="AX20" s="244" t="n">
        <v>-89917.6475727526</v>
      </c>
      <c r="AY20" s="244" t="n">
        <v>0</v>
      </c>
      <c r="AZ20" s="244" t="n">
        <v>89917.6475727526</v>
      </c>
      <c r="BA20" s="244" t="n">
        <v>0</v>
      </c>
      <c r="BB20" s="244"/>
      <c r="BC20" s="244"/>
      <c r="BD20" s="244"/>
      <c r="BE20" s="244"/>
      <c r="BF20" s="244"/>
      <c r="BG20" s="244"/>
      <c r="BH20" s="244"/>
      <c r="BI20" s="244"/>
      <c r="BJ20" s="244"/>
      <c r="BK20" s="244"/>
      <c r="BL20" s="244"/>
      <c r="BM20" s="244"/>
      <c r="BN20" s="244"/>
      <c r="BO20" s="244"/>
      <c r="BP20" s="244"/>
      <c r="BQ20" s="245"/>
      <c r="BR20" s="245"/>
      <c r="BS20" s="255"/>
      <c r="BT20" s="245"/>
      <c r="BU20" s="256"/>
      <c r="BV20" s="245"/>
      <c r="BW20" s="257"/>
      <c r="BX20" s="257"/>
      <c r="BY20" s="244"/>
      <c r="BZ20" s="244"/>
      <c r="CA20" s="244" t="n">
        <v>0</v>
      </c>
      <c r="CB20" s="244"/>
      <c r="CC20" s="244"/>
      <c r="CD20" s="244"/>
      <c r="CE20" s="244"/>
      <c r="CF20" s="244"/>
      <c r="CG20" s="244"/>
      <c r="CH20" s="244"/>
      <c r="CI20" s="244"/>
      <c r="CJ20" s="244"/>
      <c r="CK20" s="245"/>
      <c r="CL20" s="245"/>
    </row>
    <row r="21" customFormat="false" ht="30" hidden="false" customHeight="true" outlineLevel="1" collapsed="false">
      <c r="A21" s="240"/>
      <c r="B21" s="240" t="s">
        <v>430</v>
      </c>
      <c r="C21" s="240"/>
      <c r="D21" s="240"/>
      <c r="E21" s="240"/>
      <c r="F21" s="240"/>
      <c r="G21" s="277"/>
      <c r="H21" s="277"/>
      <c r="I21" s="241"/>
      <c r="J21" s="258"/>
      <c r="K21" s="258"/>
      <c r="L21" s="260"/>
      <c r="M21" s="260"/>
      <c r="N21" s="260"/>
      <c r="O21" s="259"/>
      <c r="P21" s="260"/>
      <c r="Q21" s="260"/>
      <c r="R21" s="262" t="n">
        <v>0</v>
      </c>
      <c r="S21" s="263" t="n">
        <v>1</v>
      </c>
      <c r="T21" s="262" t="n">
        <v>0</v>
      </c>
      <c r="U21" s="264" t="n">
        <v>0</v>
      </c>
      <c r="V21" s="259"/>
      <c r="W21" s="259" t="n">
        <v>0</v>
      </c>
      <c r="X21" s="259" t="n">
        <v>0</v>
      </c>
      <c r="Y21" s="259" t="n">
        <v>0</v>
      </c>
      <c r="Z21" s="259" t="n">
        <v>0</v>
      </c>
      <c r="AA21" s="259" t="n">
        <v>0</v>
      </c>
      <c r="AB21" s="259" t="n">
        <v>0</v>
      </c>
      <c r="AC21" s="264" t="n">
        <v>0</v>
      </c>
      <c r="AD21" s="259" t="n">
        <v>0</v>
      </c>
      <c r="AE21" s="259" t="n">
        <v>0</v>
      </c>
      <c r="AF21" s="259" t="n">
        <v>0</v>
      </c>
      <c r="AG21" s="259" t="n">
        <v>0</v>
      </c>
      <c r="AH21" s="265" t="n">
        <v>0</v>
      </c>
      <c r="AI21" s="259" t="n">
        <v>0</v>
      </c>
      <c r="AJ21" s="259" t="n">
        <v>0</v>
      </c>
      <c r="AK21" s="266" t="n">
        <v>0</v>
      </c>
      <c r="AL21" s="267"/>
      <c r="AM21" s="259" t="n">
        <v>127482.447572753</v>
      </c>
      <c r="AN21" s="267"/>
      <c r="AO21" s="267"/>
      <c r="AP21" s="259" t="n">
        <v>84870.3860270403</v>
      </c>
      <c r="AQ21" s="268"/>
      <c r="AR21" s="259"/>
      <c r="AS21" s="259"/>
      <c r="AT21" s="259" t="n">
        <v>0</v>
      </c>
      <c r="AU21" s="259" t="n">
        <v>0</v>
      </c>
      <c r="AV21" s="259" t="n">
        <v>0</v>
      </c>
      <c r="AW21" s="259" t="n">
        <v>0</v>
      </c>
      <c r="AX21" s="259" t="n">
        <v>-89917.6475727526</v>
      </c>
      <c r="AY21" s="259" t="n">
        <v>0</v>
      </c>
      <c r="AZ21" s="259" t="n">
        <v>89917.6475727526</v>
      </c>
      <c r="BA21" s="259" t="n">
        <v>0</v>
      </c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60"/>
      <c r="BR21" s="260"/>
      <c r="BS21" s="270"/>
      <c r="BT21" s="260"/>
      <c r="BU21" s="271"/>
      <c r="BV21" s="260"/>
      <c r="BW21" s="272"/>
      <c r="BX21" s="272"/>
      <c r="BY21" s="259"/>
      <c r="BZ21" s="259"/>
      <c r="CA21" s="259" t="n">
        <v>0</v>
      </c>
      <c r="CB21" s="259"/>
      <c r="CC21" s="259"/>
      <c r="CD21" s="259"/>
      <c r="CE21" s="259"/>
      <c r="CF21" s="259"/>
      <c r="CG21" s="259"/>
      <c r="CH21" s="259"/>
      <c r="CI21" s="259"/>
      <c r="CJ21" s="259"/>
      <c r="CK21" s="260"/>
      <c r="CL21" s="260"/>
    </row>
    <row r="22" customFormat="false" ht="15.75" hidden="false" customHeight="false" outlineLevel="3" collapsed="false">
      <c r="A22" s="52" t="s">
        <v>401</v>
      </c>
      <c r="B22" s="52" t="s">
        <v>431</v>
      </c>
      <c r="C22" s="52" t="s">
        <v>432</v>
      </c>
      <c r="D22" s="52" t="s">
        <v>433</v>
      </c>
      <c r="E22" s="52" t="s">
        <v>434</v>
      </c>
      <c r="F22" s="52" t="s">
        <v>381</v>
      </c>
      <c r="G22" s="52" t="s">
        <v>435</v>
      </c>
      <c r="H22" s="52" t="s">
        <v>383</v>
      </c>
      <c r="I22" s="221" t="s">
        <v>407</v>
      </c>
      <c r="J22" s="223" t="n">
        <v>1</v>
      </c>
      <c r="K22" s="223" t="n">
        <v>1</v>
      </c>
      <c r="L22" s="225" t="n">
        <v>0</v>
      </c>
      <c r="M22" s="225" t="n">
        <v>0</v>
      </c>
      <c r="N22" s="225" t="n">
        <v>0</v>
      </c>
      <c r="O22" s="224" t="n">
        <v>1803840</v>
      </c>
      <c r="P22" s="225" t="n">
        <v>1803840</v>
      </c>
      <c r="Q22" s="225" t="n">
        <v>0</v>
      </c>
      <c r="R22" s="227" t="n">
        <v>0</v>
      </c>
      <c r="S22" s="273" t="n">
        <v>1</v>
      </c>
      <c r="T22" s="227" t="s">
        <v>397</v>
      </c>
      <c r="U22" s="229" t="n">
        <v>1803840</v>
      </c>
      <c r="V22" s="224" t="s">
        <v>385</v>
      </c>
      <c r="W22" s="224" t="n">
        <v>0</v>
      </c>
      <c r="X22" s="224" t="n">
        <v>0</v>
      </c>
      <c r="Y22" s="224" t="n">
        <v>0</v>
      </c>
      <c r="Z22" s="224" t="n">
        <v>0</v>
      </c>
      <c r="AA22" s="224" t="n">
        <v>0</v>
      </c>
      <c r="AB22" s="224" t="n">
        <v>0</v>
      </c>
      <c r="AC22" s="229" t="n">
        <v>1803840</v>
      </c>
      <c r="AD22" s="224" t="n">
        <v>0</v>
      </c>
      <c r="AE22" s="224" t="n">
        <v>0</v>
      </c>
      <c r="AF22" s="224" t="n">
        <v>0</v>
      </c>
      <c r="AG22" s="224" t="n">
        <v>0</v>
      </c>
      <c r="AH22" s="230" t="n">
        <v>0</v>
      </c>
      <c r="AI22" s="224" t="n">
        <v>0</v>
      </c>
      <c r="AJ22" s="224" t="n">
        <v>0</v>
      </c>
      <c r="AK22" s="231" t="n">
        <v>0</v>
      </c>
      <c r="AL22" s="232" t="n">
        <v>0</v>
      </c>
      <c r="AM22" s="224" t="n">
        <v>1803840</v>
      </c>
      <c r="AN22" s="225" t="n">
        <v>0</v>
      </c>
      <c r="AO22" s="232" t="n">
        <v>0</v>
      </c>
      <c r="AP22" s="224" t="n">
        <v>1803840</v>
      </c>
      <c r="AQ22" s="233" t="n">
        <v>1</v>
      </c>
      <c r="AR22" s="224" t="n">
        <v>0</v>
      </c>
      <c r="AS22" s="224" t="n">
        <v>1803840</v>
      </c>
      <c r="AT22" s="224" t="n">
        <v>0</v>
      </c>
      <c r="AU22" s="224" t="n">
        <v>0</v>
      </c>
      <c r="AV22" s="224" t="n">
        <v>0</v>
      </c>
      <c r="AW22" s="224" t="n">
        <v>0</v>
      </c>
      <c r="AX22" s="224" t="n">
        <v>0</v>
      </c>
      <c r="AY22" s="224" t="n">
        <v>0</v>
      </c>
      <c r="AZ22" s="224" t="n">
        <v>0</v>
      </c>
      <c r="BA22" s="224" t="n">
        <v>0</v>
      </c>
      <c r="BB22" s="224" t="s">
        <v>381</v>
      </c>
      <c r="BC22" s="224" t="s">
        <v>381</v>
      </c>
      <c r="BD22" s="224" t="n">
        <v>0</v>
      </c>
      <c r="BE22" s="224" t="n">
        <v>0</v>
      </c>
      <c r="BF22" s="224" t="n">
        <v>0</v>
      </c>
      <c r="BG22" s="224" t="n">
        <v>0</v>
      </c>
      <c r="BH22" s="224" t="n">
        <v>0</v>
      </c>
      <c r="BI22" s="224" t="n">
        <v>0</v>
      </c>
      <c r="BJ22" s="224" t="n">
        <v>0</v>
      </c>
      <c r="BK22" s="224" t="n">
        <v>0</v>
      </c>
      <c r="BL22" s="224" t="n">
        <v>1803840</v>
      </c>
      <c r="BM22" s="224" t="s">
        <v>386</v>
      </c>
      <c r="BN22" s="224" t="n">
        <v>0</v>
      </c>
      <c r="BO22" s="234" t="b">
        <f aca="false">FALSE()</f>
        <v>0</v>
      </c>
      <c r="BP22" s="234" t="n">
        <v>0</v>
      </c>
      <c r="BQ22" s="226" t="n">
        <v>15</v>
      </c>
      <c r="BR22" s="225" t="n">
        <v>10000000</v>
      </c>
      <c r="BS22" s="236" t="n">
        <v>83</v>
      </c>
      <c r="BT22" s="225" t="n">
        <v>0</v>
      </c>
      <c r="BU22" s="237" t="n">
        <v>0</v>
      </c>
      <c r="BV22" s="225" t="n">
        <v>255</v>
      </c>
      <c r="BW22" s="238" t="n">
        <v>0</v>
      </c>
      <c r="BX22" s="238" t="n">
        <v>0</v>
      </c>
      <c r="BY22" s="234" t="n">
        <v>0</v>
      </c>
      <c r="BZ22" s="234" t="n">
        <v>0</v>
      </c>
      <c r="CA22" s="234" t="n">
        <v>0</v>
      </c>
      <c r="CB22" s="234" t="n">
        <v>0</v>
      </c>
      <c r="CC22" s="234" t="n">
        <v>0</v>
      </c>
      <c r="CD22" s="234" t="n">
        <v>0</v>
      </c>
      <c r="CE22" s="234" t="n">
        <v>0</v>
      </c>
      <c r="CF22" s="234" t="n">
        <v>0</v>
      </c>
      <c r="CG22" s="234" t="n">
        <v>0</v>
      </c>
      <c r="CH22" s="234" t="n">
        <v>0</v>
      </c>
      <c r="CI22" s="234" t="n">
        <v>0</v>
      </c>
      <c r="CJ22" s="234" t="n">
        <v>0</v>
      </c>
      <c r="CK22" s="225" t="n">
        <v>0</v>
      </c>
      <c r="CL22" s="225" t="n">
        <v>0</v>
      </c>
    </row>
    <row r="23" customFormat="false" ht="15.75" hidden="false" customHeight="false" outlineLevel="3" collapsed="false">
      <c r="A23" s="52" t="s">
        <v>401</v>
      </c>
      <c r="B23" s="52" t="s">
        <v>431</v>
      </c>
      <c r="C23" s="52" t="s">
        <v>432</v>
      </c>
      <c r="D23" s="52" t="s">
        <v>433</v>
      </c>
      <c r="E23" s="52" t="s">
        <v>436</v>
      </c>
      <c r="F23" s="52" t="s">
        <v>381</v>
      </c>
      <c r="G23" s="52" t="s">
        <v>435</v>
      </c>
      <c r="H23" s="52" t="s">
        <v>383</v>
      </c>
      <c r="I23" s="221" t="s">
        <v>407</v>
      </c>
      <c r="J23" s="223" t="n">
        <v>1</v>
      </c>
      <c r="K23" s="223" t="n">
        <v>1</v>
      </c>
      <c r="L23" s="225" t="n">
        <v>0</v>
      </c>
      <c r="M23" s="225" t="n">
        <v>0</v>
      </c>
      <c r="N23" s="225" t="n">
        <v>0</v>
      </c>
      <c r="O23" s="224" t="n">
        <v>2300803</v>
      </c>
      <c r="P23" s="225" t="n">
        <v>2300803</v>
      </c>
      <c r="Q23" s="225" t="n">
        <v>0</v>
      </c>
      <c r="R23" s="227" t="n">
        <v>0</v>
      </c>
      <c r="S23" s="273" t="n">
        <v>1</v>
      </c>
      <c r="T23" s="227" t="s">
        <v>397</v>
      </c>
      <c r="U23" s="229" t="n">
        <v>2300803</v>
      </c>
      <c r="V23" s="224" t="s">
        <v>385</v>
      </c>
      <c r="W23" s="224" t="n">
        <v>0</v>
      </c>
      <c r="X23" s="224" t="n">
        <v>0</v>
      </c>
      <c r="Y23" s="224" t="n">
        <v>0</v>
      </c>
      <c r="Z23" s="224" t="n">
        <v>0</v>
      </c>
      <c r="AA23" s="224" t="n">
        <v>0</v>
      </c>
      <c r="AB23" s="224" t="n">
        <v>0</v>
      </c>
      <c r="AC23" s="229" t="n">
        <v>2300803</v>
      </c>
      <c r="AD23" s="224" t="n">
        <v>0</v>
      </c>
      <c r="AE23" s="224" t="n">
        <v>0</v>
      </c>
      <c r="AF23" s="224" t="n">
        <v>0</v>
      </c>
      <c r="AG23" s="224" t="n">
        <v>0</v>
      </c>
      <c r="AH23" s="230" t="n">
        <v>0</v>
      </c>
      <c r="AI23" s="224" t="n">
        <v>0</v>
      </c>
      <c r="AJ23" s="224" t="n">
        <v>0</v>
      </c>
      <c r="AK23" s="231" t="n">
        <v>0</v>
      </c>
      <c r="AL23" s="232" t="n">
        <v>0</v>
      </c>
      <c r="AM23" s="224" t="n">
        <v>2300803</v>
      </c>
      <c r="AN23" s="225" t="n">
        <v>0</v>
      </c>
      <c r="AO23" s="232" t="n">
        <v>0</v>
      </c>
      <c r="AP23" s="224" t="n">
        <v>2300803</v>
      </c>
      <c r="AQ23" s="233" t="n">
        <v>1</v>
      </c>
      <c r="AR23" s="224" t="n">
        <v>0</v>
      </c>
      <c r="AS23" s="224" t="n">
        <v>2300803</v>
      </c>
      <c r="AT23" s="224" t="n">
        <v>0</v>
      </c>
      <c r="AU23" s="224" t="n">
        <v>0</v>
      </c>
      <c r="AV23" s="224" t="n">
        <v>0</v>
      </c>
      <c r="AW23" s="224" t="n">
        <v>0</v>
      </c>
      <c r="AX23" s="224" t="n">
        <v>0</v>
      </c>
      <c r="AY23" s="224" t="n">
        <v>0</v>
      </c>
      <c r="AZ23" s="224" t="n">
        <v>0</v>
      </c>
      <c r="BA23" s="224" t="n">
        <v>0</v>
      </c>
      <c r="BB23" s="224" t="s">
        <v>381</v>
      </c>
      <c r="BC23" s="224" t="s">
        <v>381</v>
      </c>
      <c r="BD23" s="224" t="n">
        <v>0</v>
      </c>
      <c r="BE23" s="224" t="n">
        <v>0</v>
      </c>
      <c r="BF23" s="224" t="n">
        <v>0</v>
      </c>
      <c r="BG23" s="224" t="n">
        <v>0</v>
      </c>
      <c r="BH23" s="224" t="n">
        <v>0</v>
      </c>
      <c r="BI23" s="224" t="n">
        <v>0</v>
      </c>
      <c r="BJ23" s="224" t="n">
        <v>0</v>
      </c>
      <c r="BK23" s="224" t="n">
        <v>0</v>
      </c>
      <c r="BL23" s="224" t="n">
        <v>2300803</v>
      </c>
      <c r="BM23" s="224" t="s">
        <v>386</v>
      </c>
      <c r="BN23" s="224" t="n">
        <v>0</v>
      </c>
      <c r="BO23" s="234" t="b">
        <f aca="false">FALSE()</f>
        <v>0</v>
      </c>
      <c r="BP23" s="234" t="n">
        <v>0</v>
      </c>
      <c r="BQ23" s="226" t="n">
        <v>15</v>
      </c>
      <c r="BR23" s="225" t="n">
        <v>0</v>
      </c>
      <c r="BS23" s="236" t="n">
        <v>83</v>
      </c>
      <c r="BT23" s="225" t="n">
        <v>0</v>
      </c>
      <c r="BU23" s="237" t="n">
        <v>0</v>
      </c>
      <c r="BV23" s="225" t="n">
        <v>256</v>
      </c>
      <c r="BW23" s="238" t="n">
        <v>0</v>
      </c>
      <c r="BX23" s="238" t="n">
        <v>0</v>
      </c>
      <c r="BY23" s="234" t="n">
        <v>0</v>
      </c>
      <c r="BZ23" s="234" t="n">
        <v>0</v>
      </c>
      <c r="CA23" s="234" t="n">
        <v>0</v>
      </c>
      <c r="CB23" s="234" t="n">
        <v>0</v>
      </c>
      <c r="CC23" s="234" t="n">
        <v>0</v>
      </c>
      <c r="CD23" s="234" t="n">
        <v>0</v>
      </c>
      <c r="CE23" s="234" t="n">
        <v>0</v>
      </c>
      <c r="CF23" s="234" t="n">
        <v>0</v>
      </c>
      <c r="CG23" s="234" t="n">
        <v>0</v>
      </c>
      <c r="CH23" s="234" t="n">
        <v>0</v>
      </c>
      <c r="CI23" s="234" t="n">
        <v>0</v>
      </c>
      <c r="CJ23" s="234" t="n">
        <v>0</v>
      </c>
      <c r="CK23" s="225" t="n">
        <v>0</v>
      </c>
      <c r="CL23" s="225" t="n">
        <v>0</v>
      </c>
    </row>
    <row r="24" customFormat="false" ht="20.1" hidden="false" customHeight="true" outlineLevel="2" collapsed="false">
      <c r="A24" s="240" t="s">
        <v>419</v>
      </c>
      <c r="B24" s="240"/>
      <c r="C24" s="240"/>
      <c r="D24" s="240"/>
      <c r="E24" s="240"/>
      <c r="F24" s="240"/>
      <c r="G24" s="240"/>
      <c r="H24" s="240"/>
      <c r="I24" s="241"/>
      <c r="J24" s="243"/>
      <c r="K24" s="243"/>
      <c r="L24" s="245"/>
      <c r="M24" s="245"/>
      <c r="N24" s="245"/>
      <c r="O24" s="244"/>
      <c r="P24" s="245"/>
      <c r="Q24" s="245"/>
      <c r="R24" s="247" t="n">
        <v>0</v>
      </c>
      <c r="S24" s="274" t="n">
        <v>2</v>
      </c>
      <c r="T24" s="247" t="n">
        <v>0</v>
      </c>
      <c r="U24" s="249" t="n">
        <v>4104643</v>
      </c>
      <c r="V24" s="244"/>
      <c r="W24" s="244" t="n">
        <v>0</v>
      </c>
      <c r="X24" s="244" t="n">
        <v>0</v>
      </c>
      <c r="Y24" s="244" t="n">
        <v>0</v>
      </c>
      <c r="Z24" s="244" t="n">
        <v>0</v>
      </c>
      <c r="AA24" s="244" t="n">
        <v>0</v>
      </c>
      <c r="AB24" s="244" t="n">
        <v>0</v>
      </c>
      <c r="AC24" s="249" t="n">
        <v>4104643</v>
      </c>
      <c r="AD24" s="244" t="n">
        <v>0</v>
      </c>
      <c r="AE24" s="244" t="n">
        <v>0</v>
      </c>
      <c r="AF24" s="244" t="n">
        <v>0</v>
      </c>
      <c r="AG24" s="244" t="n">
        <v>0</v>
      </c>
      <c r="AH24" s="250" t="n">
        <v>0</v>
      </c>
      <c r="AI24" s="244" t="n">
        <v>0</v>
      </c>
      <c r="AJ24" s="244" t="n">
        <v>0</v>
      </c>
      <c r="AK24" s="251" t="n">
        <v>0</v>
      </c>
      <c r="AL24" s="252"/>
      <c r="AM24" s="244" t="n">
        <v>4104643</v>
      </c>
      <c r="AN24" s="245"/>
      <c r="AO24" s="252"/>
      <c r="AP24" s="244" t="n">
        <v>4104643</v>
      </c>
      <c r="AQ24" s="253"/>
      <c r="AR24" s="244"/>
      <c r="AS24" s="244"/>
      <c r="AT24" s="244" t="n">
        <v>0</v>
      </c>
      <c r="AU24" s="244" t="n">
        <v>0</v>
      </c>
      <c r="AV24" s="244" t="n">
        <v>0</v>
      </c>
      <c r="AW24" s="244" t="n">
        <v>0</v>
      </c>
      <c r="AX24" s="244" t="n">
        <v>0</v>
      </c>
      <c r="AY24" s="244" t="n">
        <v>0</v>
      </c>
      <c r="AZ24" s="244" t="n">
        <v>0</v>
      </c>
      <c r="BA24" s="244" t="n">
        <v>0</v>
      </c>
      <c r="BB24" s="244"/>
      <c r="BC24" s="244"/>
      <c r="BD24" s="244"/>
      <c r="BE24" s="244"/>
      <c r="BF24" s="244"/>
      <c r="BG24" s="244"/>
      <c r="BH24" s="244"/>
      <c r="BI24" s="244"/>
      <c r="BJ24" s="244"/>
      <c r="BK24" s="244"/>
      <c r="BL24" s="244"/>
      <c r="BM24" s="244"/>
      <c r="BN24" s="244"/>
      <c r="BO24" s="244"/>
      <c r="BP24" s="244"/>
      <c r="BQ24" s="246"/>
      <c r="BR24" s="245"/>
      <c r="BS24" s="255"/>
      <c r="BT24" s="245"/>
      <c r="BU24" s="256"/>
      <c r="BV24" s="245"/>
      <c r="BW24" s="257"/>
      <c r="BX24" s="257"/>
      <c r="BY24" s="244"/>
      <c r="BZ24" s="244"/>
      <c r="CA24" s="244" t="n">
        <v>0</v>
      </c>
      <c r="CB24" s="244"/>
      <c r="CC24" s="244"/>
      <c r="CD24" s="244"/>
      <c r="CE24" s="244"/>
      <c r="CF24" s="244"/>
      <c r="CG24" s="244"/>
      <c r="CH24" s="244"/>
      <c r="CI24" s="244"/>
      <c r="CJ24" s="244"/>
      <c r="CK24" s="245"/>
      <c r="CL24" s="245"/>
    </row>
    <row r="25" customFormat="false" ht="30" hidden="false" customHeight="true" outlineLevel="1" collapsed="false">
      <c r="A25" s="240"/>
      <c r="B25" s="240" t="s">
        <v>437</v>
      </c>
      <c r="C25" s="240"/>
      <c r="D25" s="240"/>
      <c r="E25" s="240"/>
      <c r="F25" s="240"/>
      <c r="G25" s="240"/>
      <c r="H25" s="240"/>
      <c r="I25" s="241"/>
      <c r="J25" s="258"/>
      <c r="K25" s="258"/>
      <c r="L25" s="260"/>
      <c r="M25" s="260"/>
      <c r="N25" s="260"/>
      <c r="O25" s="259"/>
      <c r="P25" s="260"/>
      <c r="Q25" s="260"/>
      <c r="R25" s="262" t="n">
        <v>0</v>
      </c>
      <c r="S25" s="275" t="n">
        <v>2</v>
      </c>
      <c r="T25" s="262" t="n">
        <v>0</v>
      </c>
      <c r="U25" s="264" t="n">
        <v>4104643</v>
      </c>
      <c r="V25" s="259"/>
      <c r="W25" s="259" t="n">
        <v>0</v>
      </c>
      <c r="X25" s="259" t="n">
        <v>0</v>
      </c>
      <c r="Y25" s="259" t="n">
        <v>0</v>
      </c>
      <c r="Z25" s="259" t="n">
        <v>0</v>
      </c>
      <c r="AA25" s="259" t="n">
        <v>0</v>
      </c>
      <c r="AB25" s="259" t="n">
        <v>0</v>
      </c>
      <c r="AC25" s="264" t="n">
        <v>4104643</v>
      </c>
      <c r="AD25" s="259" t="n">
        <v>0</v>
      </c>
      <c r="AE25" s="259" t="n">
        <v>0</v>
      </c>
      <c r="AF25" s="259" t="n">
        <v>0</v>
      </c>
      <c r="AG25" s="259" t="n">
        <v>0</v>
      </c>
      <c r="AH25" s="265" t="n">
        <v>0</v>
      </c>
      <c r="AI25" s="259" t="n">
        <v>0</v>
      </c>
      <c r="AJ25" s="259" t="n">
        <v>0</v>
      </c>
      <c r="AK25" s="266" t="n">
        <v>0</v>
      </c>
      <c r="AL25" s="267"/>
      <c r="AM25" s="259" t="n">
        <v>4104643</v>
      </c>
      <c r="AN25" s="260"/>
      <c r="AO25" s="267"/>
      <c r="AP25" s="259" t="n">
        <v>4104643</v>
      </c>
      <c r="AQ25" s="268"/>
      <c r="AR25" s="259"/>
      <c r="AS25" s="259"/>
      <c r="AT25" s="259" t="n">
        <v>0</v>
      </c>
      <c r="AU25" s="259" t="n">
        <v>0</v>
      </c>
      <c r="AV25" s="259" t="n">
        <v>0</v>
      </c>
      <c r="AW25" s="259" t="n">
        <v>0</v>
      </c>
      <c r="AX25" s="259" t="n">
        <v>0</v>
      </c>
      <c r="AY25" s="259" t="n">
        <v>0</v>
      </c>
      <c r="AZ25" s="259" t="n">
        <v>0</v>
      </c>
      <c r="BA25" s="259" t="n">
        <v>0</v>
      </c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261"/>
      <c r="BR25" s="260"/>
      <c r="BS25" s="270"/>
      <c r="BT25" s="260"/>
      <c r="BU25" s="271"/>
      <c r="BV25" s="260"/>
      <c r="BW25" s="272"/>
      <c r="BX25" s="272"/>
      <c r="BY25" s="259"/>
      <c r="BZ25" s="259"/>
      <c r="CA25" s="259" t="n">
        <v>0</v>
      </c>
      <c r="CB25" s="259"/>
      <c r="CC25" s="259"/>
      <c r="CD25" s="259"/>
      <c r="CE25" s="259"/>
      <c r="CF25" s="259"/>
      <c r="CG25" s="259"/>
      <c r="CH25" s="259"/>
      <c r="CI25" s="259"/>
      <c r="CJ25" s="259"/>
      <c r="CK25" s="260"/>
      <c r="CL25" s="260"/>
    </row>
    <row r="26" customFormat="false" ht="15.75" hidden="false" customHeight="false" outlineLevel="3" collapsed="false">
      <c r="A26" s="52" t="s">
        <v>438</v>
      </c>
      <c r="B26" s="52" t="s">
        <v>439</v>
      </c>
      <c r="C26" s="52" t="s">
        <v>440</v>
      </c>
      <c r="D26" s="52" t="s">
        <v>441</v>
      </c>
      <c r="E26" s="52" t="s">
        <v>442</v>
      </c>
      <c r="F26" s="52" t="s">
        <v>443</v>
      </c>
      <c r="G26" s="52" t="s">
        <v>444</v>
      </c>
      <c r="H26" s="52" t="s">
        <v>396</v>
      </c>
      <c r="I26" s="221" t="s">
        <v>384</v>
      </c>
      <c r="J26" s="223" t="n">
        <v>324000</v>
      </c>
      <c r="K26" s="223" t="n">
        <v>324000</v>
      </c>
      <c r="L26" s="225" t="n">
        <v>0</v>
      </c>
      <c r="M26" s="225" t="n">
        <v>0</v>
      </c>
      <c r="N26" s="225" t="n">
        <v>1</v>
      </c>
      <c r="O26" s="224" t="n">
        <v>5</v>
      </c>
      <c r="P26" s="226" t="n">
        <v>5.29</v>
      </c>
      <c r="Q26" s="226" t="n">
        <v>-0.29</v>
      </c>
      <c r="R26" s="227" t="n">
        <v>0</v>
      </c>
      <c r="S26" s="228" t="n">
        <v>1</v>
      </c>
      <c r="T26" s="227" t="s">
        <v>397</v>
      </c>
      <c r="U26" s="229" t="n">
        <v>1620000</v>
      </c>
      <c r="V26" s="224" t="s">
        <v>385</v>
      </c>
      <c r="W26" s="224" t="n">
        <v>0</v>
      </c>
      <c r="X26" s="224" t="n">
        <v>0</v>
      </c>
      <c r="Y26" s="224" t="n">
        <v>0</v>
      </c>
      <c r="Z26" s="224" t="n">
        <v>0</v>
      </c>
      <c r="AA26" s="224" t="n">
        <v>0</v>
      </c>
      <c r="AB26" s="224" t="n">
        <v>0</v>
      </c>
      <c r="AC26" s="229" t="n">
        <v>1713960</v>
      </c>
      <c r="AD26" s="224" t="n">
        <v>-93960</v>
      </c>
      <c r="AE26" s="224" t="n">
        <v>0</v>
      </c>
      <c r="AF26" s="224" t="n">
        <v>93960</v>
      </c>
      <c r="AG26" s="224" t="n">
        <v>0</v>
      </c>
      <c r="AH26" s="230" t="n">
        <v>-3784320</v>
      </c>
      <c r="AI26" s="224" t="n">
        <v>0</v>
      </c>
      <c r="AJ26" s="224" t="n">
        <v>3784320</v>
      </c>
      <c r="AK26" s="231" t="n">
        <v>0</v>
      </c>
      <c r="AL26" s="232" t="n">
        <v>0</v>
      </c>
      <c r="AM26" s="224" t="n">
        <v>28000652.0625</v>
      </c>
      <c r="AN26" s="225" t="n">
        <v>0</v>
      </c>
      <c r="AO26" s="232" t="n">
        <v>0</v>
      </c>
      <c r="AP26" s="224" t="n">
        <v>79135746</v>
      </c>
      <c r="AQ26" s="233" t="n">
        <v>1</v>
      </c>
      <c r="AR26" s="224" t="n">
        <v>1620000</v>
      </c>
      <c r="AS26" s="224" t="n">
        <v>5</v>
      </c>
      <c r="AT26" s="224" t="n">
        <v>-181440</v>
      </c>
      <c r="AU26" s="224" t="n">
        <v>0</v>
      </c>
      <c r="AV26" s="224" t="n">
        <v>181440</v>
      </c>
      <c r="AW26" s="224" t="n">
        <v>0</v>
      </c>
      <c r="AX26" s="224" t="n">
        <v>-3812986.4225</v>
      </c>
      <c r="AY26" s="224" t="n">
        <v>0</v>
      </c>
      <c r="AZ26" s="224" t="n">
        <v>3812986.4225</v>
      </c>
      <c r="BA26" s="224" t="n">
        <v>0</v>
      </c>
      <c r="BB26" s="224" t="n">
        <v>5</v>
      </c>
      <c r="BC26" s="224" t="n">
        <v>5.29</v>
      </c>
      <c r="BD26" s="224" t="n">
        <v>-87480</v>
      </c>
      <c r="BE26" s="224" t="n">
        <v>0</v>
      </c>
      <c r="BF26" s="224" t="n">
        <v>87480</v>
      </c>
      <c r="BG26" s="224" t="n">
        <v>0</v>
      </c>
      <c r="BH26" s="224" t="n">
        <v>-3719026.4225</v>
      </c>
      <c r="BI26" s="224" t="n">
        <v>0</v>
      </c>
      <c r="BJ26" s="224" t="n">
        <v>3719026.4225</v>
      </c>
      <c r="BK26" s="224" t="n">
        <v>0</v>
      </c>
      <c r="BL26" s="224" t="n">
        <v>79135746</v>
      </c>
      <c r="BM26" s="224" t="s">
        <v>398</v>
      </c>
      <c r="BN26" s="224" t="n">
        <v>0</v>
      </c>
      <c r="BO26" s="234" t="b">
        <f aca="false">FALSE()</f>
        <v>0</v>
      </c>
      <c r="BP26" s="234" t="n">
        <v>3690360</v>
      </c>
      <c r="BQ26" s="226" t="n">
        <v>324000</v>
      </c>
      <c r="BR26" s="225" t="n">
        <v>5000000</v>
      </c>
      <c r="BS26" s="236" t="n">
        <v>76</v>
      </c>
      <c r="BT26" s="225" t="n">
        <v>-93960</v>
      </c>
      <c r="BU26" s="237" t="n">
        <v>0</v>
      </c>
      <c r="BV26" s="225" t="n">
        <v>39</v>
      </c>
      <c r="BW26" s="238" t="n">
        <v>5</v>
      </c>
      <c r="BX26" s="238" t="n">
        <v>0</v>
      </c>
      <c r="BY26" s="234" t="n">
        <v>0</v>
      </c>
      <c r="BZ26" s="234" t="n">
        <v>0</v>
      </c>
      <c r="CA26" s="234" t="n">
        <v>0</v>
      </c>
      <c r="CB26" s="234" t="n">
        <v>-22567665.64</v>
      </c>
      <c r="CC26" s="234" t="n">
        <v>0</v>
      </c>
      <c r="CD26" s="234" t="n">
        <v>0</v>
      </c>
      <c r="CE26" s="234" t="n">
        <v>0</v>
      </c>
      <c r="CF26" s="234" t="n">
        <v>0</v>
      </c>
      <c r="CG26" s="234" t="n">
        <v>-3690360</v>
      </c>
      <c r="CH26" s="234" t="n">
        <v>0</v>
      </c>
      <c r="CI26" s="234" t="n">
        <v>3690360</v>
      </c>
      <c r="CJ26" s="234" t="n">
        <v>0</v>
      </c>
      <c r="CK26" s="225" t="n">
        <v>0</v>
      </c>
      <c r="CL26" s="225" t="n">
        <v>0</v>
      </c>
    </row>
    <row r="27" customFormat="false" ht="20.1" hidden="false" customHeight="true" outlineLevel="2" collapsed="false">
      <c r="A27" s="240" t="s">
        <v>445</v>
      </c>
      <c r="B27" s="240"/>
      <c r="C27" s="240"/>
      <c r="D27" s="240"/>
      <c r="E27" s="240"/>
      <c r="F27" s="240"/>
      <c r="G27" s="240"/>
      <c r="H27" s="240"/>
      <c r="I27" s="241"/>
      <c r="J27" s="243"/>
      <c r="K27" s="243"/>
      <c r="L27" s="245"/>
      <c r="M27" s="245"/>
      <c r="N27" s="245"/>
      <c r="O27" s="244"/>
      <c r="P27" s="246"/>
      <c r="Q27" s="246"/>
      <c r="R27" s="247" t="n">
        <v>0</v>
      </c>
      <c r="S27" s="248" t="n">
        <v>1</v>
      </c>
      <c r="T27" s="247" t="n">
        <v>0</v>
      </c>
      <c r="U27" s="249" t="n">
        <v>1620000</v>
      </c>
      <c r="V27" s="244"/>
      <c r="W27" s="244" t="n">
        <v>0</v>
      </c>
      <c r="X27" s="244" t="n">
        <v>0</v>
      </c>
      <c r="Y27" s="244" t="n">
        <v>0</v>
      </c>
      <c r="Z27" s="244" t="n">
        <v>0</v>
      </c>
      <c r="AA27" s="244" t="n">
        <v>0</v>
      </c>
      <c r="AB27" s="244" t="n">
        <v>0</v>
      </c>
      <c r="AC27" s="249" t="n">
        <v>1713960</v>
      </c>
      <c r="AD27" s="244" t="n">
        <v>-93960</v>
      </c>
      <c r="AE27" s="244" t="n">
        <v>0</v>
      </c>
      <c r="AF27" s="244" t="n">
        <v>93960</v>
      </c>
      <c r="AG27" s="244" t="n">
        <v>0</v>
      </c>
      <c r="AH27" s="250" t="n">
        <v>-3784320</v>
      </c>
      <c r="AI27" s="244" t="n">
        <v>0</v>
      </c>
      <c r="AJ27" s="244" t="n">
        <v>3784320</v>
      </c>
      <c r="AK27" s="251" t="n">
        <v>0</v>
      </c>
      <c r="AL27" s="252"/>
      <c r="AM27" s="244" t="n">
        <v>28000652.0625</v>
      </c>
      <c r="AN27" s="245"/>
      <c r="AO27" s="252"/>
      <c r="AP27" s="244" t="n">
        <v>79135746</v>
      </c>
      <c r="AQ27" s="253"/>
      <c r="AR27" s="244"/>
      <c r="AS27" s="244"/>
      <c r="AT27" s="244" t="n">
        <v>-181440</v>
      </c>
      <c r="AU27" s="244" t="n">
        <v>0</v>
      </c>
      <c r="AV27" s="244" t="n">
        <v>181440</v>
      </c>
      <c r="AW27" s="244" t="n">
        <v>0</v>
      </c>
      <c r="AX27" s="244" t="n">
        <v>-3812986.4225</v>
      </c>
      <c r="AY27" s="244" t="n">
        <v>0</v>
      </c>
      <c r="AZ27" s="244" t="n">
        <v>3812986.4225</v>
      </c>
      <c r="BA27" s="244" t="n">
        <v>0</v>
      </c>
      <c r="BB27" s="244"/>
      <c r="BC27" s="244"/>
      <c r="BD27" s="244"/>
      <c r="BE27" s="244"/>
      <c r="BF27" s="244"/>
      <c r="BG27" s="244"/>
      <c r="BH27" s="244"/>
      <c r="BI27" s="244"/>
      <c r="BJ27" s="244"/>
      <c r="BK27" s="244"/>
      <c r="BL27" s="244"/>
      <c r="BM27" s="244"/>
      <c r="BN27" s="244"/>
      <c r="BO27" s="244"/>
      <c r="BP27" s="244"/>
      <c r="BQ27" s="246"/>
      <c r="BR27" s="245"/>
      <c r="BS27" s="255"/>
      <c r="BT27" s="245"/>
      <c r="BU27" s="256"/>
      <c r="BV27" s="245"/>
      <c r="BW27" s="257"/>
      <c r="BX27" s="257"/>
      <c r="BY27" s="244"/>
      <c r="BZ27" s="244"/>
      <c r="CA27" s="244" t="n">
        <v>0</v>
      </c>
      <c r="CB27" s="244"/>
      <c r="CC27" s="244"/>
      <c r="CD27" s="244"/>
      <c r="CE27" s="244"/>
      <c r="CF27" s="244"/>
      <c r="CG27" s="244"/>
      <c r="CH27" s="244"/>
      <c r="CI27" s="244"/>
      <c r="CJ27" s="244"/>
      <c r="CK27" s="245"/>
      <c r="CL27" s="245"/>
    </row>
    <row r="28" customFormat="false" ht="30" hidden="false" customHeight="true" outlineLevel="1" collapsed="false">
      <c r="A28" s="240"/>
      <c r="B28" s="240" t="s">
        <v>446</v>
      </c>
      <c r="C28" s="240"/>
      <c r="D28" s="240"/>
      <c r="E28" s="240"/>
      <c r="F28" s="240"/>
      <c r="G28" s="240"/>
      <c r="H28" s="240"/>
      <c r="I28" s="241"/>
      <c r="J28" s="258"/>
      <c r="K28" s="258"/>
      <c r="L28" s="260"/>
      <c r="M28" s="260"/>
      <c r="N28" s="260"/>
      <c r="O28" s="259"/>
      <c r="P28" s="261"/>
      <c r="Q28" s="261"/>
      <c r="R28" s="262" t="n">
        <v>0</v>
      </c>
      <c r="S28" s="263" t="n">
        <v>1</v>
      </c>
      <c r="T28" s="262" t="n">
        <v>0</v>
      </c>
      <c r="U28" s="264" t="n">
        <v>1620000</v>
      </c>
      <c r="V28" s="259"/>
      <c r="W28" s="259" t="n">
        <v>0</v>
      </c>
      <c r="X28" s="259" t="n">
        <v>0</v>
      </c>
      <c r="Y28" s="259" t="n">
        <v>0</v>
      </c>
      <c r="Z28" s="259" t="n">
        <v>0</v>
      </c>
      <c r="AA28" s="259" t="n">
        <v>0</v>
      </c>
      <c r="AB28" s="259" t="n">
        <v>0</v>
      </c>
      <c r="AC28" s="264" t="n">
        <v>1713960</v>
      </c>
      <c r="AD28" s="259" t="n">
        <v>-93960</v>
      </c>
      <c r="AE28" s="259" t="n">
        <v>0</v>
      </c>
      <c r="AF28" s="259" t="n">
        <v>93960</v>
      </c>
      <c r="AG28" s="259" t="n">
        <v>0</v>
      </c>
      <c r="AH28" s="265" t="n">
        <v>-3784320</v>
      </c>
      <c r="AI28" s="259" t="n">
        <v>0</v>
      </c>
      <c r="AJ28" s="259" t="n">
        <v>3784320</v>
      </c>
      <c r="AK28" s="266" t="n">
        <v>0</v>
      </c>
      <c r="AL28" s="267"/>
      <c r="AM28" s="259" t="n">
        <v>28000652.0625</v>
      </c>
      <c r="AN28" s="260"/>
      <c r="AO28" s="267"/>
      <c r="AP28" s="259" t="n">
        <v>79135746</v>
      </c>
      <c r="AQ28" s="268"/>
      <c r="AR28" s="259"/>
      <c r="AS28" s="259"/>
      <c r="AT28" s="259" t="n">
        <v>-181440</v>
      </c>
      <c r="AU28" s="259" t="n">
        <v>0</v>
      </c>
      <c r="AV28" s="259" t="n">
        <v>181440</v>
      </c>
      <c r="AW28" s="259" t="n">
        <v>0</v>
      </c>
      <c r="AX28" s="259" t="n">
        <v>-3812986.4225</v>
      </c>
      <c r="AY28" s="259" t="n">
        <v>0</v>
      </c>
      <c r="AZ28" s="259" t="n">
        <v>3812986.4225</v>
      </c>
      <c r="BA28" s="259" t="n">
        <v>0</v>
      </c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61"/>
      <c r="BR28" s="260"/>
      <c r="BS28" s="270"/>
      <c r="BT28" s="260"/>
      <c r="BU28" s="271"/>
      <c r="BV28" s="260"/>
      <c r="BW28" s="272"/>
      <c r="BX28" s="272"/>
      <c r="BY28" s="259"/>
      <c r="BZ28" s="259"/>
      <c r="CA28" s="259" t="n">
        <v>0</v>
      </c>
      <c r="CB28" s="259"/>
      <c r="CC28" s="259"/>
      <c r="CD28" s="259"/>
      <c r="CE28" s="259"/>
      <c r="CF28" s="259"/>
      <c r="CG28" s="259"/>
      <c r="CH28" s="259"/>
      <c r="CI28" s="259"/>
      <c r="CJ28" s="259"/>
      <c r="CK28" s="260"/>
      <c r="CL28" s="260"/>
    </row>
    <row r="29" customFormat="false" ht="15.75" hidden="false" customHeight="false" outlineLevel="3" collapsed="false">
      <c r="A29" s="52" t="s">
        <v>447</v>
      </c>
      <c r="B29" s="52" t="s">
        <v>448</v>
      </c>
      <c r="C29" s="52" t="s">
        <v>449</v>
      </c>
      <c r="D29" s="52" t="s">
        <v>450</v>
      </c>
      <c r="E29" s="52" t="s">
        <v>451</v>
      </c>
      <c r="F29" s="52" t="s">
        <v>381</v>
      </c>
      <c r="G29" s="52" t="s">
        <v>427</v>
      </c>
      <c r="H29" s="52" t="s">
        <v>383</v>
      </c>
      <c r="I29" s="221" t="s">
        <v>407</v>
      </c>
      <c r="J29" s="223" t="n">
        <v>1</v>
      </c>
      <c r="K29" s="223" t="n">
        <v>1</v>
      </c>
      <c r="L29" s="225" t="n">
        <v>0</v>
      </c>
      <c r="M29" s="225" t="n">
        <v>0</v>
      </c>
      <c r="N29" s="225" t="n">
        <v>0</v>
      </c>
      <c r="O29" s="224" t="n">
        <v>831730.7886</v>
      </c>
      <c r="P29" s="225" t="n">
        <v>831730.7886</v>
      </c>
      <c r="Q29" s="225" t="n">
        <v>0</v>
      </c>
      <c r="R29" s="227" t="n">
        <v>0</v>
      </c>
      <c r="S29" s="228" t="n">
        <v>1</v>
      </c>
      <c r="T29" s="227" t="s">
        <v>397</v>
      </c>
      <c r="U29" s="229" t="n">
        <v>831730.7886</v>
      </c>
      <c r="V29" s="224" t="s">
        <v>385</v>
      </c>
      <c r="W29" s="224" t="n">
        <v>0</v>
      </c>
      <c r="X29" s="224" t="n">
        <v>0</v>
      </c>
      <c r="Y29" s="224" t="n">
        <v>0</v>
      </c>
      <c r="Z29" s="224" t="n">
        <v>0</v>
      </c>
      <c r="AA29" s="224" t="n">
        <v>0</v>
      </c>
      <c r="AB29" s="224" t="n">
        <v>0</v>
      </c>
      <c r="AC29" s="229" t="n">
        <v>831730.7886</v>
      </c>
      <c r="AD29" s="224" t="n">
        <v>0</v>
      </c>
      <c r="AE29" s="224" t="n">
        <v>0</v>
      </c>
      <c r="AF29" s="224" t="n">
        <v>0</v>
      </c>
      <c r="AG29" s="224" t="n">
        <v>0</v>
      </c>
      <c r="AH29" s="230" t="n">
        <v>0</v>
      </c>
      <c r="AI29" s="224" t="n">
        <v>0</v>
      </c>
      <c r="AJ29" s="224" t="n">
        <v>0</v>
      </c>
      <c r="AK29" s="231" t="n">
        <v>0</v>
      </c>
      <c r="AL29" s="232" t="n">
        <v>0</v>
      </c>
      <c r="AM29" s="224" t="n">
        <v>2807236.89</v>
      </c>
      <c r="AN29" s="225" t="n">
        <v>0</v>
      </c>
      <c r="AO29" s="232" t="n">
        <v>0</v>
      </c>
      <c r="AP29" s="224" t="n">
        <v>1136410.0286</v>
      </c>
      <c r="AQ29" s="233" t="n">
        <v>1</v>
      </c>
      <c r="AR29" s="224" t="n">
        <v>0</v>
      </c>
      <c r="AS29" s="224" t="n">
        <v>831730.7886</v>
      </c>
      <c r="AT29" s="224" t="n">
        <v>0</v>
      </c>
      <c r="AU29" s="224" t="n">
        <v>0</v>
      </c>
      <c r="AV29" s="224" t="n">
        <v>0</v>
      </c>
      <c r="AW29" s="224" t="n">
        <v>0</v>
      </c>
      <c r="AX29" s="224" t="n">
        <v>-1906021.4796</v>
      </c>
      <c r="AY29" s="224" t="n">
        <v>0</v>
      </c>
      <c r="AZ29" s="224" t="n">
        <v>1906021.4796</v>
      </c>
      <c r="BA29" s="224" t="n">
        <v>0</v>
      </c>
      <c r="BB29" s="224" t="s">
        <v>381</v>
      </c>
      <c r="BC29" s="224" t="s">
        <v>381</v>
      </c>
      <c r="BD29" s="224" t="n">
        <v>0</v>
      </c>
      <c r="BE29" s="224" t="n">
        <v>0</v>
      </c>
      <c r="BF29" s="224" t="n">
        <v>0</v>
      </c>
      <c r="BG29" s="224" t="n">
        <v>0</v>
      </c>
      <c r="BH29" s="224" t="n">
        <v>-1906021.4796</v>
      </c>
      <c r="BI29" s="224" t="n">
        <v>0</v>
      </c>
      <c r="BJ29" s="224" t="n">
        <v>1906021.4796</v>
      </c>
      <c r="BK29" s="224" t="n">
        <v>0</v>
      </c>
      <c r="BL29" s="224" t="n">
        <v>1136410.0286</v>
      </c>
      <c r="BM29" s="224" t="s">
        <v>386</v>
      </c>
      <c r="BN29" s="224" t="n">
        <v>0</v>
      </c>
      <c r="BO29" s="234" t="b">
        <f aca="false">FALSE()</f>
        <v>0</v>
      </c>
      <c r="BP29" s="234" t="n">
        <v>0</v>
      </c>
      <c r="BQ29" s="226" t="n">
        <v>0</v>
      </c>
      <c r="BR29" s="225" t="n">
        <v>0</v>
      </c>
      <c r="BS29" s="236" t="n">
        <v>39</v>
      </c>
      <c r="BT29" s="225" t="n">
        <v>0</v>
      </c>
      <c r="BU29" s="237" t="n">
        <v>0</v>
      </c>
      <c r="BV29" s="225" t="n">
        <v>302</v>
      </c>
      <c r="BW29" s="238" t="n">
        <v>0</v>
      </c>
      <c r="BX29" s="238" t="n">
        <v>0</v>
      </c>
      <c r="BY29" s="234" t="n">
        <v>0</v>
      </c>
      <c r="BZ29" s="234" t="n">
        <v>-304679.24</v>
      </c>
      <c r="CA29" s="234" t="n">
        <v>-304679.24</v>
      </c>
      <c r="CB29" s="234" t="n">
        <v>-69484.6218</v>
      </c>
      <c r="CC29" s="234" t="n">
        <v>0</v>
      </c>
      <c r="CD29" s="234" t="n">
        <v>0</v>
      </c>
      <c r="CE29" s="234" t="n">
        <v>0</v>
      </c>
      <c r="CF29" s="234" t="n">
        <v>0</v>
      </c>
      <c r="CG29" s="234" t="n">
        <v>0</v>
      </c>
      <c r="CH29" s="234" t="n">
        <v>0</v>
      </c>
      <c r="CI29" s="234" t="n">
        <v>0</v>
      </c>
      <c r="CJ29" s="234" t="n">
        <v>0</v>
      </c>
      <c r="CK29" s="225" t="n">
        <v>0</v>
      </c>
      <c r="CL29" s="225" t="n">
        <v>0</v>
      </c>
    </row>
    <row r="30" customFormat="false" ht="20.1" hidden="false" customHeight="true" outlineLevel="2" collapsed="false">
      <c r="A30" s="240" t="s">
        <v>452</v>
      </c>
      <c r="B30" s="240"/>
      <c r="C30" s="240"/>
      <c r="D30" s="240"/>
      <c r="E30" s="240"/>
      <c r="F30" s="240"/>
      <c r="G30" s="240"/>
      <c r="H30" s="240"/>
      <c r="I30" s="241"/>
      <c r="J30" s="243"/>
      <c r="K30" s="243"/>
      <c r="L30" s="245"/>
      <c r="M30" s="245"/>
      <c r="N30" s="245"/>
      <c r="O30" s="244"/>
      <c r="P30" s="245"/>
      <c r="Q30" s="245"/>
      <c r="R30" s="247" t="n">
        <v>0</v>
      </c>
      <c r="S30" s="248" t="n">
        <v>1</v>
      </c>
      <c r="T30" s="247" t="n">
        <v>0</v>
      </c>
      <c r="U30" s="249" t="n">
        <v>831730.7886</v>
      </c>
      <c r="V30" s="244"/>
      <c r="W30" s="244" t="n">
        <v>0</v>
      </c>
      <c r="X30" s="244" t="n">
        <v>0</v>
      </c>
      <c r="Y30" s="244" t="n">
        <v>0</v>
      </c>
      <c r="Z30" s="244" t="n">
        <v>0</v>
      </c>
      <c r="AA30" s="244" t="n">
        <v>0</v>
      </c>
      <c r="AB30" s="244" t="n">
        <v>0</v>
      </c>
      <c r="AC30" s="249" t="n">
        <v>831730.7886</v>
      </c>
      <c r="AD30" s="244" t="n">
        <v>0</v>
      </c>
      <c r="AE30" s="244" t="n">
        <v>0</v>
      </c>
      <c r="AF30" s="244" t="n">
        <v>0</v>
      </c>
      <c r="AG30" s="244" t="n">
        <v>0</v>
      </c>
      <c r="AH30" s="250" t="n">
        <v>0</v>
      </c>
      <c r="AI30" s="244" t="n">
        <v>0</v>
      </c>
      <c r="AJ30" s="244" t="n">
        <v>0</v>
      </c>
      <c r="AK30" s="251" t="n">
        <v>0</v>
      </c>
      <c r="AL30" s="252"/>
      <c r="AM30" s="244" t="n">
        <v>2807236.89</v>
      </c>
      <c r="AN30" s="245"/>
      <c r="AO30" s="252"/>
      <c r="AP30" s="244" t="n">
        <v>1136410.0286</v>
      </c>
      <c r="AQ30" s="253"/>
      <c r="AR30" s="244"/>
      <c r="AS30" s="244"/>
      <c r="AT30" s="244" t="n">
        <v>0</v>
      </c>
      <c r="AU30" s="244" t="n">
        <v>0</v>
      </c>
      <c r="AV30" s="244" t="n">
        <v>0</v>
      </c>
      <c r="AW30" s="244" t="n">
        <v>0</v>
      </c>
      <c r="AX30" s="244" t="n">
        <v>-1906021.4796</v>
      </c>
      <c r="AY30" s="244" t="n">
        <v>0</v>
      </c>
      <c r="AZ30" s="244" t="n">
        <v>1906021.4796</v>
      </c>
      <c r="BA30" s="244" t="n">
        <v>0</v>
      </c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6"/>
      <c r="BR30" s="245"/>
      <c r="BS30" s="255"/>
      <c r="BT30" s="245"/>
      <c r="BU30" s="256"/>
      <c r="BV30" s="245"/>
      <c r="BW30" s="257"/>
      <c r="BX30" s="257"/>
      <c r="BY30" s="244"/>
      <c r="BZ30" s="244"/>
      <c r="CA30" s="244" t="n">
        <v>-304679.24</v>
      </c>
      <c r="CB30" s="244"/>
      <c r="CC30" s="244"/>
      <c r="CD30" s="244"/>
      <c r="CE30" s="244"/>
      <c r="CF30" s="244"/>
      <c r="CG30" s="244"/>
      <c r="CH30" s="244"/>
      <c r="CI30" s="244"/>
      <c r="CJ30" s="244"/>
      <c r="CK30" s="245"/>
      <c r="CL30" s="245"/>
    </row>
    <row r="31" customFormat="false" ht="15.75" hidden="false" customHeight="false" outlineLevel="3" collapsed="false">
      <c r="A31" s="52" t="s">
        <v>453</v>
      </c>
      <c r="B31" s="52" t="s">
        <v>448</v>
      </c>
      <c r="C31" s="52" t="s">
        <v>454</v>
      </c>
      <c r="D31" s="52" t="s">
        <v>455</v>
      </c>
      <c r="E31" s="52" t="s">
        <v>456</v>
      </c>
      <c r="F31" s="52" t="s">
        <v>457</v>
      </c>
      <c r="G31" s="276" t="s">
        <v>427</v>
      </c>
      <c r="H31" s="276" t="s">
        <v>396</v>
      </c>
      <c r="I31" s="221" t="s">
        <v>384</v>
      </c>
      <c r="J31" s="223" t="n">
        <v>0</v>
      </c>
      <c r="K31" s="223" t="n">
        <v>0</v>
      </c>
      <c r="L31" s="225" t="n">
        <v>0</v>
      </c>
      <c r="M31" s="225" t="n">
        <v>0</v>
      </c>
      <c r="N31" s="225" t="n">
        <v>1</v>
      </c>
      <c r="O31" s="224" t="n">
        <v>5.4</v>
      </c>
      <c r="P31" s="226" t="n">
        <v>5.25</v>
      </c>
      <c r="Q31" s="226" t="n">
        <v>0.15</v>
      </c>
      <c r="R31" s="227" t="n">
        <v>0</v>
      </c>
      <c r="S31" s="228" t="n">
        <v>1</v>
      </c>
      <c r="T31" s="227" t="s">
        <v>397</v>
      </c>
      <c r="U31" s="229" t="n">
        <v>0</v>
      </c>
      <c r="V31" s="224" t="s">
        <v>385</v>
      </c>
      <c r="W31" s="224" t="n">
        <v>0</v>
      </c>
      <c r="X31" s="224" t="n">
        <v>0</v>
      </c>
      <c r="Y31" s="224" t="n">
        <v>0</v>
      </c>
      <c r="Z31" s="224" t="n">
        <v>0</v>
      </c>
      <c r="AA31" s="224" t="n">
        <v>0</v>
      </c>
      <c r="AB31" s="224" t="n">
        <v>0</v>
      </c>
      <c r="AC31" s="229" t="n">
        <v>0</v>
      </c>
      <c r="AD31" s="224" t="n">
        <v>0</v>
      </c>
      <c r="AE31" s="224" t="n">
        <v>0</v>
      </c>
      <c r="AF31" s="224" t="n">
        <v>0</v>
      </c>
      <c r="AG31" s="224" t="n">
        <v>0</v>
      </c>
      <c r="AH31" s="230" t="n">
        <v>0</v>
      </c>
      <c r="AI31" s="224" t="n">
        <v>0</v>
      </c>
      <c r="AJ31" s="224" t="n">
        <v>0</v>
      </c>
      <c r="AK31" s="231" t="n">
        <v>0</v>
      </c>
      <c r="AL31" s="232" t="n">
        <v>0</v>
      </c>
      <c r="AM31" s="224" t="n">
        <v>48045.60495</v>
      </c>
      <c r="AN31" s="232" t="n">
        <v>0</v>
      </c>
      <c r="AO31" s="232" t="n">
        <v>0</v>
      </c>
      <c r="AP31" s="224" t="n">
        <v>243059.556432</v>
      </c>
      <c r="AQ31" s="233" t="n">
        <v>1</v>
      </c>
      <c r="AR31" s="224" t="n">
        <v>0</v>
      </c>
      <c r="AS31" s="224" t="n">
        <v>5.4</v>
      </c>
      <c r="AT31" s="224" t="n">
        <v>0</v>
      </c>
      <c r="AU31" s="224" t="n">
        <v>0</v>
      </c>
      <c r="AV31" s="224" t="n">
        <v>0</v>
      </c>
      <c r="AW31" s="224" t="n">
        <v>0</v>
      </c>
      <c r="AX31" s="224" t="n">
        <v>758.113649999963</v>
      </c>
      <c r="AY31" s="224" t="n">
        <v>0</v>
      </c>
      <c r="AZ31" s="224" t="n">
        <v>-758.113649999963</v>
      </c>
      <c r="BA31" s="224" t="n">
        <v>0</v>
      </c>
      <c r="BB31" s="224" t="n">
        <v>5.4</v>
      </c>
      <c r="BC31" s="224" t="n">
        <v>5.25</v>
      </c>
      <c r="BD31" s="224" t="n">
        <v>0</v>
      </c>
      <c r="BE31" s="224" t="n">
        <v>0</v>
      </c>
      <c r="BF31" s="224" t="n">
        <v>0</v>
      </c>
      <c r="BG31" s="224" t="n">
        <v>0</v>
      </c>
      <c r="BH31" s="224" t="n">
        <v>758.113649999963</v>
      </c>
      <c r="BI31" s="224" t="n">
        <v>0</v>
      </c>
      <c r="BJ31" s="224" t="n">
        <v>-758.113649999963</v>
      </c>
      <c r="BK31" s="224" t="n">
        <v>0</v>
      </c>
      <c r="BL31" s="224" t="n">
        <v>243059.556432</v>
      </c>
      <c r="BM31" s="224" t="s">
        <v>398</v>
      </c>
      <c r="BN31" s="224" t="n">
        <v>0</v>
      </c>
      <c r="BO31" s="234" t="b">
        <f aca="false">FALSE()</f>
        <v>0</v>
      </c>
      <c r="BP31" s="234" t="n">
        <v>0</v>
      </c>
      <c r="BQ31" s="225" t="n">
        <v>0</v>
      </c>
      <c r="BR31" s="225" t="n">
        <v>0</v>
      </c>
      <c r="BS31" s="236" t="n">
        <v>41</v>
      </c>
      <c r="BT31" s="225" t="n">
        <v>0</v>
      </c>
      <c r="BU31" s="237" t="n">
        <v>0</v>
      </c>
      <c r="BV31" s="225" t="n">
        <v>315</v>
      </c>
      <c r="BW31" s="238" t="n">
        <v>5.4</v>
      </c>
      <c r="BX31" s="238" t="n">
        <v>0</v>
      </c>
      <c r="BY31" s="234" t="n">
        <v>0</v>
      </c>
      <c r="BZ31" s="234" t="n">
        <v>0</v>
      </c>
      <c r="CA31" s="234" t="n">
        <v>0</v>
      </c>
      <c r="CB31" s="234" t="n">
        <v>-48803.7186</v>
      </c>
      <c r="CC31" s="234" t="n">
        <v>0</v>
      </c>
      <c r="CD31" s="234" t="n">
        <v>0</v>
      </c>
      <c r="CE31" s="234" t="n">
        <v>0</v>
      </c>
      <c r="CF31" s="234" t="n">
        <v>0</v>
      </c>
      <c r="CG31" s="234" t="n">
        <v>0</v>
      </c>
      <c r="CH31" s="234" t="n">
        <v>0</v>
      </c>
      <c r="CI31" s="234" t="n">
        <v>0</v>
      </c>
      <c r="CJ31" s="234" t="n">
        <v>0</v>
      </c>
      <c r="CK31" s="225" t="n">
        <v>0</v>
      </c>
      <c r="CL31" s="225" t="n">
        <v>0</v>
      </c>
    </row>
    <row r="32" customFormat="false" ht="20.1" hidden="false" customHeight="true" outlineLevel="2" collapsed="false">
      <c r="A32" s="240" t="s">
        <v>458</v>
      </c>
      <c r="B32" s="240"/>
      <c r="C32" s="240"/>
      <c r="D32" s="240"/>
      <c r="E32" s="240"/>
      <c r="F32" s="240"/>
      <c r="G32" s="277"/>
      <c r="H32" s="277"/>
      <c r="I32" s="241"/>
      <c r="J32" s="243"/>
      <c r="K32" s="243"/>
      <c r="L32" s="245"/>
      <c r="M32" s="245"/>
      <c r="N32" s="245"/>
      <c r="O32" s="244"/>
      <c r="P32" s="246"/>
      <c r="Q32" s="246"/>
      <c r="R32" s="247" t="n">
        <v>0</v>
      </c>
      <c r="S32" s="248" t="n">
        <v>1</v>
      </c>
      <c r="T32" s="247" t="n">
        <v>0</v>
      </c>
      <c r="U32" s="249" t="n">
        <v>0</v>
      </c>
      <c r="V32" s="244"/>
      <c r="W32" s="244" t="n">
        <v>0</v>
      </c>
      <c r="X32" s="244" t="n">
        <v>0</v>
      </c>
      <c r="Y32" s="244" t="n">
        <v>0</v>
      </c>
      <c r="Z32" s="244" t="n">
        <v>0</v>
      </c>
      <c r="AA32" s="244" t="n">
        <v>0</v>
      </c>
      <c r="AB32" s="244" t="n">
        <v>0</v>
      </c>
      <c r="AC32" s="249" t="n">
        <v>0</v>
      </c>
      <c r="AD32" s="244" t="n">
        <v>0</v>
      </c>
      <c r="AE32" s="244" t="n">
        <v>0</v>
      </c>
      <c r="AF32" s="244" t="n">
        <v>0</v>
      </c>
      <c r="AG32" s="244" t="n">
        <v>0</v>
      </c>
      <c r="AH32" s="250" t="n">
        <v>0</v>
      </c>
      <c r="AI32" s="244" t="n">
        <v>0</v>
      </c>
      <c r="AJ32" s="244" t="n">
        <v>0</v>
      </c>
      <c r="AK32" s="251" t="n">
        <v>0</v>
      </c>
      <c r="AL32" s="252"/>
      <c r="AM32" s="244" t="n">
        <v>48045.60495</v>
      </c>
      <c r="AN32" s="252"/>
      <c r="AO32" s="252"/>
      <c r="AP32" s="244" t="n">
        <v>243059.556432</v>
      </c>
      <c r="AQ32" s="253"/>
      <c r="AR32" s="244"/>
      <c r="AS32" s="244"/>
      <c r="AT32" s="244" t="n">
        <v>0</v>
      </c>
      <c r="AU32" s="244" t="n">
        <v>0</v>
      </c>
      <c r="AV32" s="244" t="n">
        <v>0</v>
      </c>
      <c r="AW32" s="244" t="n">
        <v>0</v>
      </c>
      <c r="AX32" s="244" t="n">
        <v>758.113649999963</v>
      </c>
      <c r="AY32" s="244" t="n">
        <v>0</v>
      </c>
      <c r="AZ32" s="244" t="n">
        <v>-758.113649999963</v>
      </c>
      <c r="BA32" s="244" t="n">
        <v>0</v>
      </c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  <c r="BL32" s="244"/>
      <c r="BM32" s="244"/>
      <c r="BN32" s="244"/>
      <c r="BO32" s="244"/>
      <c r="BP32" s="244"/>
      <c r="BQ32" s="245"/>
      <c r="BR32" s="245"/>
      <c r="BS32" s="255"/>
      <c r="BT32" s="245"/>
      <c r="BU32" s="256"/>
      <c r="BV32" s="245"/>
      <c r="BW32" s="257"/>
      <c r="BX32" s="257"/>
      <c r="BY32" s="244"/>
      <c r="BZ32" s="244"/>
      <c r="CA32" s="244" t="n">
        <v>0</v>
      </c>
      <c r="CB32" s="244"/>
      <c r="CC32" s="244"/>
      <c r="CD32" s="244"/>
      <c r="CE32" s="244"/>
      <c r="CF32" s="244"/>
      <c r="CG32" s="244"/>
      <c r="CH32" s="244"/>
      <c r="CI32" s="244"/>
      <c r="CJ32" s="244"/>
      <c r="CK32" s="245"/>
      <c r="CL32" s="245"/>
    </row>
    <row r="33" customFormat="false" ht="15.75" hidden="false" customHeight="false" outlineLevel="3" collapsed="false">
      <c r="A33" s="52" t="s">
        <v>459</v>
      </c>
      <c r="B33" s="52" t="s">
        <v>448</v>
      </c>
      <c r="C33" s="52" t="s">
        <v>460</v>
      </c>
      <c r="D33" s="52" t="s">
        <v>461</v>
      </c>
      <c r="E33" s="52" t="s">
        <v>462</v>
      </c>
      <c r="F33" s="52" t="s">
        <v>381</v>
      </c>
      <c r="G33" s="52" t="s">
        <v>427</v>
      </c>
      <c r="H33" s="52" t="s">
        <v>383</v>
      </c>
      <c r="I33" s="221" t="s">
        <v>463</v>
      </c>
      <c r="J33" s="223" t="n">
        <v>1</v>
      </c>
      <c r="K33" s="223" t="n">
        <v>1</v>
      </c>
      <c r="L33" s="225" t="n">
        <v>0</v>
      </c>
      <c r="M33" s="225" t="n">
        <v>0</v>
      </c>
      <c r="N33" s="225" t="n">
        <v>0</v>
      </c>
      <c r="O33" s="224" t="n">
        <v>0</v>
      </c>
      <c r="P33" s="225" t="n">
        <v>0</v>
      </c>
      <c r="Q33" s="225" t="n">
        <v>0</v>
      </c>
      <c r="R33" s="227" t="n">
        <v>0</v>
      </c>
      <c r="S33" s="228" t="n">
        <v>1</v>
      </c>
      <c r="T33" s="227" t="s">
        <v>397</v>
      </c>
      <c r="U33" s="229" t="n">
        <v>0</v>
      </c>
      <c r="V33" s="224" t="s">
        <v>385</v>
      </c>
      <c r="W33" s="224" t="n">
        <v>0</v>
      </c>
      <c r="X33" s="224" t="n">
        <v>0</v>
      </c>
      <c r="Y33" s="224" t="n">
        <v>0</v>
      </c>
      <c r="Z33" s="224" t="n">
        <v>0</v>
      </c>
      <c r="AA33" s="224" t="n">
        <v>0</v>
      </c>
      <c r="AB33" s="224" t="n">
        <v>0</v>
      </c>
      <c r="AC33" s="229" t="n">
        <v>0</v>
      </c>
      <c r="AD33" s="224" t="n">
        <v>0</v>
      </c>
      <c r="AE33" s="224" t="n">
        <v>0</v>
      </c>
      <c r="AF33" s="224" t="n">
        <v>0</v>
      </c>
      <c r="AG33" s="224" t="n">
        <v>0</v>
      </c>
      <c r="AH33" s="230" t="n">
        <v>0</v>
      </c>
      <c r="AI33" s="224" t="n">
        <v>0</v>
      </c>
      <c r="AJ33" s="224" t="n">
        <v>0</v>
      </c>
      <c r="AK33" s="231" t="n">
        <v>0</v>
      </c>
      <c r="AL33" s="232" t="n">
        <v>0</v>
      </c>
      <c r="AM33" s="224" t="n">
        <v>283416</v>
      </c>
      <c r="AN33" s="225" t="n">
        <v>0</v>
      </c>
      <c r="AO33" s="232" t="n">
        <v>0</v>
      </c>
      <c r="AP33" s="224" t="n">
        <v>0</v>
      </c>
      <c r="AQ33" s="233" t="n">
        <v>1</v>
      </c>
      <c r="AR33" s="224" t="n">
        <v>0</v>
      </c>
      <c r="AS33" s="224" t="n">
        <v>0</v>
      </c>
      <c r="AT33" s="224" t="n">
        <v>0</v>
      </c>
      <c r="AU33" s="224" t="n">
        <v>0</v>
      </c>
      <c r="AV33" s="224" t="n">
        <v>0</v>
      </c>
      <c r="AW33" s="224" t="n">
        <v>0</v>
      </c>
      <c r="AX33" s="224" t="n">
        <v>-283416</v>
      </c>
      <c r="AY33" s="224" t="n">
        <v>0</v>
      </c>
      <c r="AZ33" s="224" t="n">
        <v>283416</v>
      </c>
      <c r="BA33" s="224" t="n">
        <v>0</v>
      </c>
      <c r="BB33" s="224" t="s">
        <v>381</v>
      </c>
      <c r="BC33" s="224" t="s">
        <v>381</v>
      </c>
      <c r="BD33" s="224" t="n">
        <v>0</v>
      </c>
      <c r="BE33" s="224" t="n">
        <v>0</v>
      </c>
      <c r="BF33" s="224" t="n">
        <v>0</v>
      </c>
      <c r="BG33" s="224" t="n">
        <v>0</v>
      </c>
      <c r="BH33" s="224" t="n">
        <v>-283416</v>
      </c>
      <c r="BI33" s="224" t="n">
        <v>0</v>
      </c>
      <c r="BJ33" s="224" t="n">
        <v>283416</v>
      </c>
      <c r="BK33" s="224" t="n">
        <v>0</v>
      </c>
      <c r="BL33" s="224" t="n">
        <v>0</v>
      </c>
      <c r="BM33" s="224" t="s">
        <v>386</v>
      </c>
      <c r="BN33" s="224" t="n">
        <v>0</v>
      </c>
      <c r="BO33" s="234" t="b">
        <f aca="false">FALSE()</f>
        <v>0</v>
      </c>
      <c r="BP33" s="234" t="n">
        <v>0</v>
      </c>
      <c r="BQ33" s="226" t="n">
        <v>0</v>
      </c>
      <c r="BR33" s="225" t="n">
        <v>0</v>
      </c>
      <c r="BS33" s="236" t="n">
        <v>38</v>
      </c>
      <c r="BT33" s="225" t="n">
        <v>0</v>
      </c>
      <c r="BU33" s="237" t="n">
        <v>0</v>
      </c>
      <c r="BV33" s="225" t="n">
        <v>305</v>
      </c>
      <c r="BW33" s="238" t="n">
        <v>0</v>
      </c>
      <c r="BX33" s="238" t="n">
        <v>0</v>
      </c>
      <c r="BY33" s="234" t="n">
        <v>0</v>
      </c>
      <c r="BZ33" s="234" t="n">
        <v>0</v>
      </c>
      <c r="CA33" s="234" t="n">
        <v>0</v>
      </c>
      <c r="CB33" s="234" t="n">
        <v>0</v>
      </c>
      <c r="CC33" s="234" t="n">
        <v>0</v>
      </c>
      <c r="CD33" s="234" t="n">
        <v>0</v>
      </c>
      <c r="CE33" s="234" t="n">
        <v>0</v>
      </c>
      <c r="CF33" s="234" t="n">
        <v>0</v>
      </c>
      <c r="CG33" s="234" t="n">
        <v>0</v>
      </c>
      <c r="CH33" s="234" t="n">
        <v>0</v>
      </c>
      <c r="CI33" s="234" t="n">
        <v>0</v>
      </c>
      <c r="CJ33" s="234" t="n">
        <v>0</v>
      </c>
      <c r="CK33" s="225" t="n">
        <v>0</v>
      </c>
      <c r="CL33" s="225" t="n">
        <v>0</v>
      </c>
    </row>
    <row r="34" customFormat="false" ht="20.1" hidden="false" customHeight="true" outlineLevel="2" collapsed="false">
      <c r="A34" s="240" t="s">
        <v>464</v>
      </c>
      <c r="B34" s="240"/>
      <c r="C34" s="240"/>
      <c r="D34" s="240"/>
      <c r="E34" s="240"/>
      <c r="F34" s="240"/>
      <c r="G34" s="240"/>
      <c r="H34" s="240"/>
      <c r="I34" s="241"/>
      <c r="J34" s="243"/>
      <c r="K34" s="243"/>
      <c r="L34" s="245"/>
      <c r="M34" s="245"/>
      <c r="N34" s="245"/>
      <c r="O34" s="244"/>
      <c r="P34" s="245"/>
      <c r="Q34" s="245"/>
      <c r="R34" s="247" t="n">
        <v>0</v>
      </c>
      <c r="S34" s="248" t="n">
        <v>1</v>
      </c>
      <c r="T34" s="247" t="n">
        <v>0</v>
      </c>
      <c r="U34" s="249" t="n">
        <v>0</v>
      </c>
      <c r="V34" s="244"/>
      <c r="W34" s="244" t="n">
        <v>0</v>
      </c>
      <c r="X34" s="244" t="n">
        <v>0</v>
      </c>
      <c r="Y34" s="244" t="n">
        <v>0</v>
      </c>
      <c r="Z34" s="244" t="n">
        <v>0</v>
      </c>
      <c r="AA34" s="244" t="n">
        <v>0</v>
      </c>
      <c r="AB34" s="244" t="n">
        <v>0</v>
      </c>
      <c r="AC34" s="249" t="n">
        <v>0</v>
      </c>
      <c r="AD34" s="244" t="n">
        <v>0</v>
      </c>
      <c r="AE34" s="244" t="n">
        <v>0</v>
      </c>
      <c r="AF34" s="244" t="n">
        <v>0</v>
      </c>
      <c r="AG34" s="244" t="n">
        <v>0</v>
      </c>
      <c r="AH34" s="250" t="n">
        <v>0</v>
      </c>
      <c r="AI34" s="244" t="n">
        <v>0</v>
      </c>
      <c r="AJ34" s="244" t="n">
        <v>0</v>
      </c>
      <c r="AK34" s="251" t="n">
        <v>0</v>
      </c>
      <c r="AL34" s="252"/>
      <c r="AM34" s="244" t="n">
        <v>283416</v>
      </c>
      <c r="AN34" s="245"/>
      <c r="AO34" s="252"/>
      <c r="AP34" s="244" t="n">
        <v>0</v>
      </c>
      <c r="AQ34" s="253"/>
      <c r="AR34" s="244"/>
      <c r="AS34" s="244"/>
      <c r="AT34" s="244" t="n">
        <v>0</v>
      </c>
      <c r="AU34" s="244" t="n">
        <v>0</v>
      </c>
      <c r="AV34" s="244" t="n">
        <v>0</v>
      </c>
      <c r="AW34" s="244" t="n">
        <v>0</v>
      </c>
      <c r="AX34" s="244" t="n">
        <v>-283416</v>
      </c>
      <c r="AY34" s="244" t="n">
        <v>0</v>
      </c>
      <c r="AZ34" s="244" t="n">
        <v>283416</v>
      </c>
      <c r="BA34" s="244" t="n">
        <v>0</v>
      </c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6"/>
      <c r="BR34" s="245"/>
      <c r="BS34" s="255"/>
      <c r="BT34" s="245"/>
      <c r="BU34" s="256"/>
      <c r="BV34" s="245"/>
      <c r="BW34" s="257"/>
      <c r="BX34" s="257"/>
      <c r="BY34" s="244"/>
      <c r="BZ34" s="244"/>
      <c r="CA34" s="244" t="n">
        <v>0</v>
      </c>
      <c r="CB34" s="244"/>
      <c r="CC34" s="244"/>
      <c r="CD34" s="244"/>
      <c r="CE34" s="244"/>
      <c r="CF34" s="244"/>
      <c r="CG34" s="244"/>
      <c r="CH34" s="244"/>
      <c r="CI34" s="244"/>
      <c r="CJ34" s="244"/>
      <c r="CK34" s="245"/>
      <c r="CL34" s="245"/>
    </row>
    <row r="35" customFormat="false" ht="15.75" hidden="false" customHeight="false" outlineLevel="3" collapsed="false">
      <c r="A35" s="52" t="s">
        <v>465</v>
      </c>
      <c r="B35" s="52" t="s">
        <v>448</v>
      </c>
      <c r="C35" s="52" t="s">
        <v>466</v>
      </c>
      <c r="D35" s="52" t="s">
        <v>467</v>
      </c>
      <c r="E35" s="52" t="s">
        <v>468</v>
      </c>
      <c r="F35" s="52" t="s">
        <v>469</v>
      </c>
      <c r="G35" s="276" t="s">
        <v>470</v>
      </c>
      <c r="H35" s="276" t="s">
        <v>396</v>
      </c>
      <c r="I35" s="221" t="s">
        <v>384</v>
      </c>
      <c r="J35" s="223" t="n">
        <v>0</v>
      </c>
      <c r="K35" s="223" t="n">
        <v>0</v>
      </c>
      <c r="L35" s="225" t="n">
        <v>0</v>
      </c>
      <c r="M35" s="225" t="n">
        <v>0</v>
      </c>
      <c r="N35" s="225" t="n">
        <v>1</v>
      </c>
      <c r="O35" s="224" t="n">
        <v>20.28</v>
      </c>
      <c r="P35" s="226" t="n">
        <v>19.45</v>
      </c>
      <c r="Q35" s="226" t="n">
        <v>0.830000000000002</v>
      </c>
      <c r="R35" s="227" t="n">
        <v>0</v>
      </c>
      <c r="S35" s="228" t="n">
        <v>1</v>
      </c>
      <c r="T35" s="227" t="s">
        <v>397</v>
      </c>
      <c r="U35" s="229" t="n">
        <v>0</v>
      </c>
      <c r="V35" s="224" t="s">
        <v>471</v>
      </c>
      <c r="W35" s="224" t="n">
        <v>0</v>
      </c>
      <c r="X35" s="224" t="n">
        <v>0</v>
      </c>
      <c r="Y35" s="224" t="n">
        <v>0</v>
      </c>
      <c r="Z35" s="224" t="n">
        <v>0</v>
      </c>
      <c r="AA35" s="224" t="n">
        <v>0</v>
      </c>
      <c r="AB35" s="224" t="n">
        <v>0</v>
      </c>
      <c r="AC35" s="229" t="n">
        <v>0</v>
      </c>
      <c r="AD35" s="224" t="n">
        <v>0</v>
      </c>
      <c r="AE35" s="224" t="n">
        <v>0</v>
      </c>
      <c r="AF35" s="224" t="n">
        <v>0</v>
      </c>
      <c r="AG35" s="224" t="n">
        <v>0</v>
      </c>
      <c r="AH35" s="230" t="n">
        <v>-0.104759994894266</v>
      </c>
      <c r="AI35" s="224" t="n">
        <v>0</v>
      </c>
      <c r="AJ35" s="224" t="n">
        <v>0.104759994894266</v>
      </c>
      <c r="AK35" s="231" t="n">
        <v>0</v>
      </c>
      <c r="AL35" s="232" t="n">
        <v>0</v>
      </c>
      <c r="AM35" s="224" t="n">
        <v>0</v>
      </c>
      <c r="AN35" s="232" t="n">
        <v>0</v>
      </c>
      <c r="AO35" s="232" t="n">
        <v>0</v>
      </c>
      <c r="AP35" s="224" t="n">
        <v>0</v>
      </c>
      <c r="AQ35" s="233" t="n">
        <v>1</v>
      </c>
      <c r="AR35" s="224" t="n">
        <v>0</v>
      </c>
      <c r="AS35" s="224" t="n">
        <v>20.28</v>
      </c>
      <c r="AT35" s="224" t="n">
        <v>0</v>
      </c>
      <c r="AU35" s="224" t="n">
        <v>0</v>
      </c>
      <c r="AV35" s="224" t="n">
        <v>0</v>
      </c>
      <c r="AW35" s="224" t="n">
        <v>0</v>
      </c>
      <c r="AX35" s="224" t="n">
        <v>-16696287.136852</v>
      </c>
      <c r="AY35" s="224" t="n">
        <v>0</v>
      </c>
      <c r="AZ35" s="224" t="n">
        <v>16696287.136852</v>
      </c>
      <c r="BA35" s="224" t="n">
        <v>0</v>
      </c>
      <c r="BB35" s="224" t="n">
        <v>20.28</v>
      </c>
      <c r="BC35" s="224" t="n">
        <v>19.45</v>
      </c>
      <c r="BD35" s="224" t="n">
        <v>0</v>
      </c>
      <c r="BE35" s="224" t="n">
        <v>0</v>
      </c>
      <c r="BF35" s="224" t="n">
        <v>0</v>
      </c>
      <c r="BG35" s="224" t="n">
        <v>0</v>
      </c>
      <c r="BH35" s="224" t="n">
        <v>-16696287.136852</v>
      </c>
      <c r="BI35" s="224" t="n">
        <v>0</v>
      </c>
      <c r="BJ35" s="224" t="n">
        <v>16696287.136852</v>
      </c>
      <c r="BK35" s="224" t="n">
        <v>0</v>
      </c>
      <c r="BL35" s="224" t="n">
        <v>0</v>
      </c>
      <c r="BM35" s="224" t="s">
        <v>398</v>
      </c>
      <c r="BN35" s="224" t="n">
        <v>0</v>
      </c>
      <c r="BO35" s="234" t="b">
        <f aca="false">FALSE()</f>
        <v>0</v>
      </c>
      <c r="BP35" s="234" t="n">
        <v>0.104759994894266</v>
      </c>
      <c r="BQ35" s="225" t="n">
        <v>0</v>
      </c>
      <c r="BR35" s="225" t="n">
        <v>0</v>
      </c>
      <c r="BS35" s="236" t="n">
        <v>88</v>
      </c>
      <c r="BT35" s="225" t="n">
        <v>0</v>
      </c>
      <c r="BU35" s="237" t="n">
        <v>0</v>
      </c>
      <c r="BV35" s="225" t="n">
        <v>312</v>
      </c>
      <c r="BW35" s="238" t="n">
        <v>20.28</v>
      </c>
      <c r="BX35" s="238" t="n">
        <v>0</v>
      </c>
      <c r="BY35" s="234" t="n">
        <v>0</v>
      </c>
      <c r="BZ35" s="234" t="n">
        <v>0</v>
      </c>
      <c r="CA35" s="234" t="n">
        <v>19030529.916004</v>
      </c>
      <c r="CB35" s="234" t="n">
        <v>66824589.832532</v>
      </c>
      <c r="CC35" s="234" t="n">
        <v>0</v>
      </c>
      <c r="CD35" s="234" t="n">
        <v>0</v>
      </c>
      <c r="CE35" s="234" t="n">
        <v>0</v>
      </c>
      <c r="CF35" s="234" t="n">
        <v>0</v>
      </c>
      <c r="CG35" s="234" t="n">
        <v>-0.104759994894266</v>
      </c>
      <c r="CH35" s="234" t="n">
        <v>0</v>
      </c>
      <c r="CI35" s="234" t="n">
        <v>0.104759994894266</v>
      </c>
      <c r="CJ35" s="234" t="n">
        <v>0</v>
      </c>
      <c r="CK35" s="225" t="n">
        <v>0</v>
      </c>
      <c r="CL35" s="225" t="n">
        <v>0</v>
      </c>
    </row>
    <row r="36" customFormat="false" ht="20.1" hidden="false" customHeight="true" outlineLevel="2" collapsed="false">
      <c r="A36" s="240" t="s">
        <v>472</v>
      </c>
      <c r="B36" s="240"/>
      <c r="C36" s="240"/>
      <c r="D36" s="240"/>
      <c r="E36" s="240"/>
      <c r="F36" s="240"/>
      <c r="G36" s="277"/>
      <c r="H36" s="277"/>
      <c r="I36" s="241"/>
      <c r="J36" s="243"/>
      <c r="K36" s="243"/>
      <c r="L36" s="245"/>
      <c r="M36" s="245"/>
      <c r="N36" s="245"/>
      <c r="O36" s="244"/>
      <c r="P36" s="246"/>
      <c r="Q36" s="246"/>
      <c r="R36" s="247" t="n">
        <v>0</v>
      </c>
      <c r="S36" s="248" t="n">
        <v>1</v>
      </c>
      <c r="T36" s="247" t="n">
        <v>0</v>
      </c>
      <c r="U36" s="249" t="n">
        <v>0</v>
      </c>
      <c r="V36" s="244"/>
      <c r="W36" s="244" t="n">
        <v>0</v>
      </c>
      <c r="X36" s="244" t="n">
        <v>0</v>
      </c>
      <c r="Y36" s="244" t="n">
        <v>0</v>
      </c>
      <c r="Z36" s="244" t="n">
        <v>0</v>
      </c>
      <c r="AA36" s="244" t="n">
        <v>0</v>
      </c>
      <c r="AB36" s="244" t="n">
        <v>0</v>
      </c>
      <c r="AC36" s="249" t="n">
        <v>0</v>
      </c>
      <c r="AD36" s="244" t="n">
        <v>0</v>
      </c>
      <c r="AE36" s="244" t="n">
        <v>0</v>
      </c>
      <c r="AF36" s="244" t="n">
        <v>0</v>
      </c>
      <c r="AG36" s="244" t="n">
        <v>0</v>
      </c>
      <c r="AH36" s="250" t="n">
        <v>-0.104759994894266</v>
      </c>
      <c r="AI36" s="244" t="n">
        <v>0</v>
      </c>
      <c r="AJ36" s="244" t="n">
        <v>0.104759994894266</v>
      </c>
      <c r="AK36" s="251" t="n">
        <v>0</v>
      </c>
      <c r="AL36" s="252"/>
      <c r="AM36" s="244" t="n">
        <v>0</v>
      </c>
      <c r="AN36" s="252"/>
      <c r="AO36" s="252"/>
      <c r="AP36" s="244" t="n">
        <v>0</v>
      </c>
      <c r="AQ36" s="253"/>
      <c r="AR36" s="244"/>
      <c r="AS36" s="244"/>
      <c r="AT36" s="244" t="n">
        <v>0</v>
      </c>
      <c r="AU36" s="244" t="n">
        <v>0</v>
      </c>
      <c r="AV36" s="244" t="n">
        <v>0</v>
      </c>
      <c r="AW36" s="244" t="n">
        <v>0</v>
      </c>
      <c r="AX36" s="244" t="n">
        <v>-16696287.136852</v>
      </c>
      <c r="AY36" s="244" t="n">
        <v>0</v>
      </c>
      <c r="AZ36" s="244" t="n">
        <v>16696287.136852</v>
      </c>
      <c r="BA36" s="244" t="n">
        <v>0</v>
      </c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5"/>
      <c r="BR36" s="245"/>
      <c r="BS36" s="255"/>
      <c r="BT36" s="245"/>
      <c r="BU36" s="256"/>
      <c r="BV36" s="245"/>
      <c r="BW36" s="257"/>
      <c r="BX36" s="257"/>
      <c r="BY36" s="244"/>
      <c r="BZ36" s="244"/>
      <c r="CA36" s="244" t="n">
        <v>19030529.916004</v>
      </c>
      <c r="CB36" s="244"/>
      <c r="CC36" s="244"/>
      <c r="CD36" s="244"/>
      <c r="CE36" s="244"/>
      <c r="CF36" s="244"/>
      <c r="CG36" s="244"/>
      <c r="CH36" s="244"/>
      <c r="CI36" s="244"/>
      <c r="CJ36" s="244"/>
      <c r="CK36" s="245"/>
      <c r="CL36" s="245"/>
    </row>
    <row r="37" customFormat="false" ht="30" hidden="false" customHeight="true" outlineLevel="1" collapsed="false">
      <c r="A37" s="240"/>
      <c r="B37" s="240" t="s">
        <v>473</v>
      </c>
      <c r="C37" s="240"/>
      <c r="D37" s="240"/>
      <c r="E37" s="240"/>
      <c r="F37" s="240"/>
      <c r="G37" s="277"/>
      <c r="H37" s="277"/>
      <c r="I37" s="241"/>
      <c r="J37" s="258"/>
      <c r="K37" s="258"/>
      <c r="L37" s="260"/>
      <c r="M37" s="260"/>
      <c r="N37" s="260"/>
      <c r="O37" s="259"/>
      <c r="P37" s="261"/>
      <c r="Q37" s="261"/>
      <c r="R37" s="262" t="n">
        <v>0</v>
      </c>
      <c r="S37" s="263" t="n">
        <v>4</v>
      </c>
      <c r="T37" s="262" t="n">
        <v>0</v>
      </c>
      <c r="U37" s="264" t="n">
        <v>831730.7886</v>
      </c>
      <c r="V37" s="259"/>
      <c r="W37" s="259" t="n">
        <v>0</v>
      </c>
      <c r="X37" s="259" t="n">
        <v>0</v>
      </c>
      <c r="Y37" s="259" t="n">
        <v>0</v>
      </c>
      <c r="Z37" s="259" t="n">
        <v>0</v>
      </c>
      <c r="AA37" s="259" t="n">
        <v>0</v>
      </c>
      <c r="AB37" s="259" t="n">
        <v>0</v>
      </c>
      <c r="AC37" s="264" t="n">
        <v>831730.7886</v>
      </c>
      <c r="AD37" s="259" t="n">
        <v>0</v>
      </c>
      <c r="AE37" s="259" t="n">
        <v>0</v>
      </c>
      <c r="AF37" s="259" t="n">
        <v>0</v>
      </c>
      <c r="AG37" s="259" t="n">
        <v>0</v>
      </c>
      <c r="AH37" s="265" t="n">
        <v>-0.104759994894266</v>
      </c>
      <c r="AI37" s="259" t="n">
        <v>0</v>
      </c>
      <c r="AJ37" s="259" t="n">
        <v>0.104759994894266</v>
      </c>
      <c r="AK37" s="266" t="n">
        <v>0</v>
      </c>
      <c r="AL37" s="267"/>
      <c r="AM37" s="259" t="n">
        <v>3138698.49495</v>
      </c>
      <c r="AN37" s="267"/>
      <c r="AO37" s="267"/>
      <c r="AP37" s="259" t="n">
        <v>1379469.585032</v>
      </c>
      <c r="AQ37" s="268"/>
      <c r="AR37" s="259"/>
      <c r="AS37" s="259"/>
      <c r="AT37" s="259" t="n">
        <v>0</v>
      </c>
      <c r="AU37" s="259" t="n">
        <v>0</v>
      </c>
      <c r="AV37" s="259" t="n">
        <v>0</v>
      </c>
      <c r="AW37" s="259" t="n">
        <v>0</v>
      </c>
      <c r="AX37" s="259" t="n">
        <v>-18884966.502802</v>
      </c>
      <c r="AY37" s="259" t="n">
        <v>0</v>
      </c>
      <c r="AZ37" s="259" t="n">
        <v>18884966.502802</v>
      </c>
      <c r="BA37" s="259" t="n">
        <v>0</v>
      </c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60"/>
      <c r="BR37" s="260"/>
      <c r="BS37" s="270"/>
      <c r="BT37" s="260"/>
      <c r="BU37" s="271"/>
      <c r="BV37" s="260"/>
      <c r="BW37" s="272"/>
      <c r="BX37" s="272"/>
      <c r="BY37" s="259"/>
      <c r="BZ37" s="259"/>
      <c r="CA37" s="259" t="n">
        <v>18725850.676004</v>
      </c>
      <c r="CB37" s="259"/>
      <c r="CC37" s="259"/>
      <c r="CD37" s="259"/>
      <c r="CE37" s="259"/>
      <c r="CF37" s="259"/>
      <c r="CG37" s="259"/>
      <c r="CH37" s="259"/>
      <c r="CI37" s="259"/>
      <c r="CJ37" s="259"/>
      <c r="CK37" s="260"/>
      <c r="CL37" s="260"/>
    </row>
    <row r="38" customFormat="false" ht="15.75" hidden="false" customHeight="false" outlineLevel="3" collapsed="false">
      <c r="A38" s="52" t="s">
        <v>474</v>
      </c>
      <c r="B38" s="52" t="s">
        <v>475</v>
      </c>
      <c r="C38" s="52" t="s">
        <v>454</v>
      </c>
      <c r="D38" s="52" t="s">
        <v>455</v>
      </c>
      <c r="E38" s="52" t="s">
        <v>476</v>
      </c>
      <c r="F38" s="52"/>
      <c r="G38" s="52" t="s">
        <v>477</v>
      </c>
      <c r="H38" s="52" t="s">
        <v>478</v>
      </c>
      <c r="I38" s="221" t="s">
        <v>479</v>
      </c>
      <c r="J38" s="222" t="n">
        <v>7663</v>
      </c>
      <c r="K38" s="223" t="n">
        <v>7663</v>
      </c>
      <c r="L38" s="225" t="n">
        <v>0</v>
      </c>
      <c r="M38" s="225" t="n">
        <v>0</v>
      </c>
      <c r="N38" s="225" t="n">
        <v>0</v>
      </c>
      <c r="O38" s="224" t="n">
        <v>6395.2427861151</v>
      </c>
      <c r="P38" s="226" t="n">
        <v>6395.2427861151</v>
      </c>
      <c r="Q38" s="226" t="n">
        <v>0</v>
      </c>
      <c r="R38" s="227" t="s">
        <v>413</v>
      </c>
      <c r="S38" s="228" t="n">
        <v>0.625</v>
      </c>
      <c r="T38" s="227" t="s">
        <v>480</v>
      </c>
      <c r="U38" s="229" t="n">
        <v>49006745.47</v>
      </c>
      <c r="V38" s="224" t="s">
        <v>385</v>
      </c>
      <c r="W38" s="224" t="n">
        <v>0</v>
      </c>
      <c r="X38" s="224" t="n">
        <v>0</v>
      </c>
      <c r="Y38" s="224" t="n">
        <v>0</v>
      </c>
      <c r="Z38" s="224" t="n">
        <v>0</v>
      </c>
      <c r="AA38" s="224" t="n">
        <v>0</v>
      </c>
      <c r="AB38" s="224" t="n">
        <v>0</v>
      </c>
      <c r="AC38" s="229" t="n">
        <v>49006745.47</v>
      </c>
      <c r="AD38" s="224" t="n">
        <v>0</v>
      </c>
      <c r="AE38" s="224" t="n">
        <v>0</v>
      </c>
      <c r="AF38" s="224" t="n">
        <v>0</v>
      </c>
      <c r="AG38" s="224" t="n">
        <v>0</v>
      </c>
      <c r="AH38" s="230" t="n">
        <v>0</v>
      </c>
      <c r="AI38" s="224" t="n">
        <v>0</v>
      </c>
      <c r="AJ38" s="224" t="n">
        <v>0</v>
      </c>
      <c r="AK38" s="231" t="n">
        <v>0</v>
      </c>
      <c r="AL38" s="232" t="n">
        <v>0</v>
      </c>
      <c r="AM38" s="224" t="n">
        <v>81210625</v>
      </c>
      <c r="AN38" s="232" t="n">
        <v>0</v>
      </c>
      <c r="AO38" s="225" t="n">
        <v>0</v>
      </c>
      <c r="AP38" s="224" t="n">
        <v>47929015.11</v>
      </c>
      <c r="AQ38" s="233" t="n">
        <v>1</v>
      </c>
      <c r="AR38" s="224" t="n">
        <v>0</v>
      </c>
      <c r="AS38" s="224" t="n">
        <v>6395.2427861151</v>
      </c>
      <c r="AT38" s="224" t="n">
        <v>0</v>
      </c>
      <c r="AU38" s="224" t="n">
        <v>0</v>
      </c>
      <c r="AV38" s="224" t="n">
        <v>0</v>
      </c>
      <c r="AW38" s="224" t="n">
        <v>0</v>
      </c>
      <c r="AX38" s="224" t="n">
        <v>-35366446.38</v>
      </c>
      <c r="AY38" s="224" t="n">
        <v>0</v>
      </c>
      <c r="AZ38" s="224" t="n">
        <v>35366446.38</v>
      </c>
      <c r="BA38" s="224" t="n">
        <v>0</v>
      </c>
      <c r="BB38" s="224" t="s">
        <v>381</v>
      </c>
      <c r="BC38" s="224" t="s">
        <v>381</v>
      </c>
      <c r="BD38" s="224" t="n">
        <v>0</v>
      </c>
      <c r="BE38" s="224" t="n">
        <v>0</v>
      </c>
      <c r="BF38" s="224" t="n">
        <v>0</v>
      </c>
      <c r="BG38" s="224" t="n">
        <v>0</v>
      </c>
      <c r="BH38" s="224" t="n">
        <v>-35366446.38</v>
      </c>
      <c r="BI38" s="224" t="n">
        <v>0</v>
      </c>
      <c r="BJ38" s="224" t="n">
        <v>35366446.38</v>
      </c>
      <c r="BK38" s="224" t="n">
        <v>0</v>
      </c>
      <c r="BL38" s="224" t="n">
        <v>47929015.11</v>
      </c>
      <c r="BM38" s="224" t="s">
        <v>386</v>
      </c>
      <c r="BN38" s="224" t="n">
        <v>0</v>
      </c>
      <c r="BO38" s="234" t="b">
        <f aca="false">FALSE()</f>
        <v>0</v>
      </c>
      <c r="BP38" s="234" t="n">
        <v>0</v>
      </c>
      <c r="BQ38" s="225" t="s">
        <v>481</v>
      </c>
      <c r="BR38" s="225" t="n">
        <v>45046166</v>
      </c>
      <c r="BS38" s="236" t="n">
        <v>78</v>
      </c>
      <c r="BT38" s="225" t="n">
        <v>0</v>
      </c>
      <c r="BU38" s="237" t="n">
        <v>0</v>
      </c>
      <c r="BV38" s="225" t="n">
        <v>165</v>
      </c>
      <c r="BW38" s="238" t="n">
        <v>0</v>
      </c>
      <c r="BX38" s="238" t="n">
        <v>0</v>
      </c>
      <c r="BY38" s="234" t="n">
        <v>0</v>
      </c>
      <c r="BZ38" s="234" t="n">
        <v>0</v>
      </c>
      <c r="CA38" s="234" t="n">
        <v>1077730.36</v>
      </c>
      <c r="CB38" s="234" t="n">
        <v>3162566.85</v>
      </c>
      <c r="CC38" s="234" t="n">
        <v>0</v>
      </c>
      <c r="CD38" s="234" t="n">
        <v>0</v>
      </c>
      <c r="CE38" s="234" t="n">
        <v>0</v>
      </c>
      <c r="CF38" s="234" t="n">
        <v>0</v>
      </c>
      <c r="CG38" s="234" t="n">
        <v>0</v>
      </c>
      <c r="CH38" s="234" t="n">
        <v>0</v>
      </c>
      <c r="CI38" s="234" t="n">
        <v>0</v>
      </c>
      <c r="CJ38" s="234" t="n">
        <v>0</v>
      </c>
      <c r="CK38" s="225" t="n">
        <v>0</v>
      </c>
      <c r="CL38" s="225" t="n">
        <v>0</v>
      </c>
    </row>
    <row r="39" customFormat="false" ht="20.1" hidden="false" customHeight="true" outlineLevel="2" collapsed="false">
      <c r="A39" s="240" t="s">
        <v>482</v>
      </c>
      <c r="B39" s="240"/>
      <c r="C39" s="240"/>
      <c r="D39" s="240"/>
      <c r="E39" s="240"/>
      <c r="F39" s="240"/>
      <c r="G39" s="240"/>
      <c r="H39" s="240"/>
      <c r="I39" s="241"/>
      <c r="J39" s="242"/>
      <c r="K39" s="243"/>
      <c r="L39" s="245"/>
      <c r="M39" s="245"/>
      <c r="N39" s="245"/>
      <c r="O39" s="244"/>
      <c r="P39" s="246"/>
      <c r="Q39" s="246"/>
      <c r="R39" s="247" t="n">
        <v>0</v>
      </c>
      <c r="S39" s="248" t="n">
        <v>0.625</v>
      </c>
      <c r="T39" s="247" t="n">
        <v>0</v>
      </c>
      <c r="U39" s="249" t="n">
        <v>49006745.47</v>
      </c>
      <c r="V39" s="244"/>
      <c r="W39" s="244" t="n">
        <v>0</v>
      </c>
      <c r="X39" s="244" t="n">
        <v>0</v>
      </c>
      <c r="Y39" s="244" t="n">
        <v>0</v>
      </c>
      <c r="Z39" s="244" t="n">
        <v>0</v>
      </c>
      <c r="AA39" s="244" t="n">
        <v>0</v>
      </c>
      <c r="AB39" s="244" t="n">
        <v>0</v>
      </c>
      <c r="AC39" s="249" t="n">
        <v>49006745.47</v>
      </c>
      <c r="AD39" s="244" t="n">
        <v>0</v>
      </c>
      <c r="AE39" s="244" t="n">
        <v>0</v>
      </c>
      <c r="AF39" s="244" t="n">
        <v>0</v>
      </c>
      <c r="AG39" s="244" t="n">
        <v>0</v>
      </c>
      <c r="AH39" s="250" t="n">
        <v>0</v>
      </c>
      <c r="AI39" s="244" t="n">
        <v>0</v>
      </c>
      <c r="AJ39" s="244" t="n">
        <v>0</v>
      </c>
      <c r="AK39" s="251" t="n">
        <v>0</v>
      </c>
      <c r="AL39" s="252"/>
      <c r="AM39" s="244" t="n">
        <v>81210625</v>
      </c>
      <c r="AN39" s="252"/>
      <c r="AO39" s="245"/>
      <c r="AP39" s="244" t="n">
        <v>47929015.11</v>
      </c>
      <c r="AQ39" s="253"/>
      <c r="AR39" s="244"/>
      <c r="AS39" s="244"/>
      <c r="AT39" s="244" t="n">
        <v>0</v>
      </c>
      <c r="AU39" s="244" t="n">
        <v>0</v>
      </c>
      <c r="AV39" s="244" t="n">
        <v>0</v>
      </c>
      <c r="AW39" s="244" t="n">
        <v>0</v>
      </c>
      <c r="AX39" s="244" t="n">
        <v>-35366446.38</v>
      </c>
      <c r="AY39" s="244" t="n">
        <v>0</v>
      </c>
      <c r="AZ39" s="244" t="n">
        <v>35366446.38</v>
      </c>
      <c r="BA39" s="244" t="n">
        <v>0</v>
      </c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5"/>
      <c r="BR39" s="245"/>
      <c r="BS39" s="255"/>
      <c r="BT39" s="245"/>
      <c r="BU39" s="256"/>
      <c r="BV39" s="245"/>
      <c r="BW39" s="257"/>
      <c r="BX39" s="257"/>
      <c r="BY39" s="244"/>
      <c r="BZ39" s="244"/>
      <c r="CA39" s="244" t="n">
        <v>1077730.36</v>
      </c>
      <c r="CB39" s="244"/>
      <c r="CC39" s="244"/>
      <c r="CD39" s="244"/>
      <c r="CE39" s="244"/>
      <c r="CF39" s="244"/>
      <c r="CG39" s="244"/>
      <c r="CH39" s="244"/>
      <c r="CI39" s="244"/>
      <c r="CJ39" s="244"/>
      <c r="CK39" s="245"/>
      <c r="CL39" s="245"/>
    </row>
    <row r="40" customFormat="false" ht="15.75" hidden="false" customHeight="false" outlineLevel="3" collapsed="false">
      <c r="A40" s="52" t="s">
        <v>401</v>
      </c>
      <c r="B40" s="52" t="s">
        <v>475</v>
      </c>
      <c r="C40" s="52" t="s">
        <v>454</v>
      </c>
      <c r="D40" s="52" t="s">
        <v>455</v>
      </c>
      <c r="E40" s="52" t="s">
        <v>483</v>
      </c>
      <c r="F40" s="52" t="s">
        <v>381</v>
      </c>
      <c r="G40" s="52" t="s">
        <v>484</v>
      </c>
      <c r="H40" s="52" t="s">
        <v>383</v>
      </c>
      <c r="I40" s="221" t="s">
        <v>407</v>
      </c>
      <c r="J40" s="223" t="n">
        <v>1</v>
      </c>
      <c r="K40" s="223" t="n">
        <v>1</v>
      </c>
      <c r="L40" s="225" t="n">
        <v>0</v>
      </c>
      <c r="M40" s="225" t="n">
        <v>0</v>
      </c>
      <c r="N40" s="225" t="n">
        <v>0</v>
      </c>
      <c r="O40" s="224" t="n">
        <v>1250000</v>
      </c>
      <c r="P40" s="225" t="n">
        <v>1250000</v>
      </c>
      <c r="Q40" s="225" t="n">
        <v>0</v>
      </c>
      <c r="R40" s="227" t="s">
        <v>408</v>
      </c>
      <c r="S40" s="228" t="n">
        <v>1</v>
      </c>
      <c r="T40" s="227" t="s">
        <v>397</v>
      </c>
      <c r="U40" s="229" t="n">
        <v>1250000</v>
      </c>
      <c r="V40" s="224" t="s">
        <v>385</v>
      </c>
      <c r="W40" s="224" t="n">
        <v>0</v>
      </c>
      <c r="X40" s="224" t="n">
        <v>0</v>
      </c>
      <c r="Y40" s="224" t="n">
        <v>0</v>
      </c>
      <c r="Z40" s="224" t="n">
        <v>0</v>
      </c>
      <c r="AA40" s="224" t="n">
        <v>0</v>
      </c>
      <c r="AB40" s="224" t="n">
        <v>0</v>
      </c>
      <c r="AC40" s="229" t="n">
        <v>1250000</v>
      </c>
      <c r="AD40" s="224" t="n">
        <v>0</v>
      </c>
      <c r="AE40" s="224" t="n">
        <v>0</v>
      </c>
      <c r="AF40" s="224" t="n">
        <v>0</v>
      </c>
      <c r="AG40" s="224" t="n">
        <v>0</v>
      </c>
      <c r="AH40" s="230" t="n">
        <v>0</v>
      </c>
      <c r="AI40" s="224" t="n">
        <v>0</v>
      </c>
      <c r="AJ40" s="224" t="n">
        <v>0</v>
      </c>
      <c r="AK40" s="231" t="n">
        <v>0</v>
      </c>
      <c r="AL40" s="232" t="n">
        <v>0</v>
      </c>
      <c r="AM40" s="224" t="n">
        <v>1250000</v>
      </c>
      <c r="AN40" s="225" t="n">
        <v>0</v>
      </c>
      <c r="AO40" s="232" t="n">
        <v>0</v>
      </c>
      <c r="AP40" s="224" t="n">
        <v>1250000</v>
      </c>
      <c r="AQ40" s="233" t="n">
        <v>1</v>
      </c>
      <c r="AR40" s="224" t="n">
        <v>0</v>
      </c>
      <c r="AS40" s="224" t="n">
        <v>1250000</v>
      </c>
      <c r="AT40" s="224" t="n">
        <v>0</v>
      </c>
      <c r="AU40" s="224" t="n">
        <v>0</v>
      </c>
      <c r="AV40" s="224" t="n">
        <v>0</v>
      </c>
      <c r="AW40" s="224" t="n">
        <v>0</v>
      </c>
      <c r="AX40" s="224" t="n">
        <v>0</v>
      </c>
      <c r="AY40" s="224" t="n">
        <v>0</v>
      </c>
      <c r="AZ40" s="224" t="n">
        <v>0</v>
      </c>
      <c r="BA40" s="224" t="n">
        <v>0</v>
      </c>
      <c r="BB40" s="224" t="s">
        <v>381</v>
      </c>
      <c r="BC40" s="224" t="s">
        <v>381</v>
      </c>
      <c r="BD40" s="224" t="n">
        <v>0</v>
      </c>
      <c r="BE40" s="224" t="n">
        <v>0</v>
      </c>
      <c r="BF40" s="224" t="n">
        <v>0</v>
      </c>
      <c r="BG40" s="224" t="n">
        <v>0</v>
      </c>
      <c r="BH40" s="224" t="n">
        <v>0</v>
      </c>
      <c r="BI40" s="224" t="n">
        <v>0</v>
      </c>
      <c r="BJ40" s="224" t="n">
        <v>0</v>
      </c>
      <c r="BK40" s="224" t="n">
        <v>0</v>
      </c>
      <c r="BL40" s="224" t="n">
        <v>1250000</v>
      </c>
      <c r="BM40" s="224" t="s">
        <v>386</v>
      </c>
      <c r="BN40" s="224" t="n">
        <v>0</v>
      </c>
      <c r="BO40" s="234" t="b">
        <f aca="false">FALSE()</f>
        <v>0</v>
      </c>
      <c r="BP40" s="234" t="n">
        <v>0</v>
      </c>
      <c r="BQ40" s="226" t="n">
        <v>0</v>
      </c>
      <c r="BR40" s="225" t="n">
        <v>0</v>
      </c>
      <c r="BS40" s="236" t="n">
        <v>83</v>
      </c>
      <c r="BT40" s="225" t="n">
        <v>0</v>
      </c>
      <c r="BU40" s="237" t="n">
        <v>0</v>
      </c>
      <c r="BV40" s="225" t="n">
        <v>206</v>
      </c>
      <c r="BW40" s="238" t="n">
        <v>0</v>
      </c>
      <c r="BX40" s="238" t="n">
        <v>0</v>
      </c>
      <c r="BY40" s="234" t="n">
        <v>0</v>
      </c>
      <c r="BZ40" s="234" t="n">
        <v>0</v>
      </c>
      <c r="CA40" s="234" t="n">
        <v>0</v>
      </c>
      <c r="CB40" s="234" t="n">
        <v>0</v>
      </c>
      <c r="CC40" s="234" t="n">
        <v>0</v>
      </c>
      <c r="CD40" s="234" t="n">
        <v>0</v>
      </c>
      <c r="CE40" s="234" t="n">
        <v>0</v>
      </c>
      <c r="CF40" s="234" t="n">
        <v>0</v>
      </c>
      <c r="CG40" s="234" t="n">
        <v>0</v>
      </c>
      <c r="CH40" s="234" t="n">
        <v>0</v>
      </c>
      <c r="CI40" s="234" t="n">
        <v>0</v>
      </c>
      <c r="CJ40" s="234" t="n">
        <v>0</v>
      </c>
      <c r="CK40" s="225" t="n">
        <v>0</v>
      </c>
      <c r="CL40" s="225" t="n">
        <v>0</v>
      </c>
    </row>
    <row r="41" customFormat="false" ht="15.75" hidden="false" customHeight="false" outlineLevel="3" collapsed="false">
      <c r="A41" s="52" t="s">
        <v>401</v>
      </c>
      <c r="B41" s="52" t="s">
        <v>475</v>
      </c>
      <c r="C41" s="52" t="s">
        <v>432</v>
      </c>
      <c r="D41" s="52" t="s">
        <v>433</v>
      </c>
      <c r="E41" s="52" t="s">
        <v>485</v>
      </c>
      <c r="F41" s="52" t="s">
        <v>381</v>
      </c>
      <c r="G41" s="52" t="s">
        <v>477</v>
      </c>
      <c r="H41" s="276" t="s">
        <v>486</v>
      </c>
      <c r="I41" s="221" t="s">
        <v>487</v>
      </c>
      <c r="J41" s="223" t="n">
        <v>1</v>
      </c>
      <c r="K41" s="223" t="n">
        <v>1</v>
      </c>
      <c r="L41" s="225" t="n">
        <v>0</v>
      </c>
      <c r="M41" s="225" t="n">
        <v>0</v>
      </c>
      <c r="N41" s="225" t="n">
        <v>0</v>
      </c>
      <c r="O41" s="224" t="n">
        <v>0</v>
      </c>
      <c r="P41" s="225" t="n">
        <v>0</v>
      </c>
      <c r="Q41" s="225" t="n">
        <v>0</v>
      </c>
      <c r="R41" s="227" t="n">
        <v>0</v>
      </c>
      <c r="S41" s="228" t="n">
        <v>1</v>
      </c>
      <c r="T41" s="227" t="s">
        <v>397</v>
      </c>
      <c r="U41" s="229" t="n">
        <v>0</v>
      </c>
      <c r="V41" s="224" t="s">
        <v>385</v>
      </c>
      <c r="W41" s="224" t="n">
        <v>0</v>
      </c>
      <c r="X41" s="224" t="n">
        <v>0</v>
      </c>
      <c r="Y41" s="224" t="n">
        <v>0</v>
      </c>
      <c r="Z41" s="224" t="n">
        <v>0</v>
      </c>
      <c r="AA41" s="224" t="n">
        <v>0</v>
      </c>
      <c r="AB41" s="224" t="n">
        <v>0</v>
      </c>
      <c r="AC41" s="229" t="n">
        <v>0</v>
      </c>
      <c r="AD41" s="224" t="n">
        <v>0</v>
      </c>
      <c r="AE41" s="224" t="n">
        <v>0</v>
      </c>
      <c r="AF41" s="224" t="n">
        <v>0</v>
      </c>
      <c r="AG41" s="224" t="n">
        <v>0</v>
      </c>
      <c r="AH41" s="230" t="n">
        <v>0</v>
      </c>
      <c r="AI41" s="224" t="n">
        <v>0</v>
      </c>
      <c r="AJ41" s="224" t="n">
        <v>0</v>
      </c>
      <c r="AK41" s="231" t="n">
        <v>0</v>
      </c>
      <c r="AL41" s="232" t="n">
        <v>0</v>
      </c>
      <c r="AM41" s="224" t="n">
        <v>1663000</v>
      </c>
      <c r="AN41" s="225" t="n">
        <v>0</v>
      </c>
      <c r="AO41" s="232" t="n">
        <v>0</v>
      </c>
      <c r="AP41" s="224" t="n">
        <v>0</v>
      </c>
      <c r="AQ41" s="233" t="n">
        <v>1</v>
      </c>
      <c r="AR41" s="224" t="n">
        <v>0</v>
      </c>
      <c r="AS41" s="224" t="n">
        <v>0</v>
      </c>
      <c r="AT41" s="224" t="n">
        <v>0</v>
      </c>
      <c r="AU41" s="224" t="n">
        <v>0</v>
      </c>
      <c r="AV41" s="224" t="n">
        <v>0</v>
      </c>
      <c r="AW41" s="224" t="n">
        <v>0</v>
      </c>
      <c r="AX41" s="224" t="n">
        <v>-1663000</v>
      </c>
      <c r="AY41" s="224" t="n">
        <v>0</v>
      </c>
      <c r="AZ41" s="224" t="n">
        <v>1663000</v>
      </c>
      <c r="BA41" s="224" t="n">
        <v>0</v>
      </c>
      <c r="BB41" s="224" t="s">
        <v>381</v>
      </c>
      <c r="BC41" s="224" t="s">
        <v>381</v>
      </c>
      <c r="BD41" s="224" t="n">
        <v>0</v>
      </c>
      <c r="BE41" s="224" t="n">
        <v>0</v>
      </c>
      <c r="BF41" s="224" t="n">
        <v>0</v>
      </c>
      <c r="BG41" s="224" t="n">
        <v>0</v>
      </c>
      <c r="BH41" s="224" t="n">
        <v>-1663000</v>
      </c>
      <c r="BI41" s="224" t="n">
        <v>0</v>
      </c>
      <c r="BJ41" s="224" t="n">
        <v>1663000</v>
      </c>
      <c r="BK41" s="224" t="n">
        <v>0</v>
      </c>
      <c r="BL41" s="224" t="n">
        <v>0</v>
      </c>
      <c r="BM41" s="224" t="s">
        <v>386</v>
      </c>
      <c r="BN41" s="224" t="n">
        <v>0</v>
      </c>
      <c r="BO41" s="234" t="b">
        <f aca="false">FALSE()</f>
        <v>0</v>
      </c>
      <c r="BP41" s="234" t="n">
        <v>0</v>
      </c>
      <c r="BQ41" s="225" t="n">
        <v>25</v>
      </c>
      <c r="BR41" s="225" t="n">
        <v>5183167</v>
      </c>
      <c r="BS41" s="236" t="n">
        <v>83</v>
      </c>
      <c r="BT41" s="225" t="n">
        <v>0</v>
      </c>
      <c r="BU41" s="237" t="n">
        <v>0</v>
      </c>
      <c r="BV41" s="225" t="n">
        <v>212</v>
      </c>
      <c r="BW41" s="238" t="n">
        <v>0</v>
      </c>
      <c r="BX41" s="238" t="n">
        <v>0</v>
      </c>
      <c r="BY41" s="234" t="n">
        <v>0</v>
      </c>
      <c r="BZ41" s="234" t="n">
        <v>0</v>
      </c>
      <c r="CA41" s="234" t="n">
        <v>0</v>
      </c>
      <c r="CB41" s="234" t="n">
        <v>0</v>
      </c>
      <c r="CC41" s="234" t="n">
        <v>0</v>
      </c>
      <c r="CD41" s="234" t="n">
        <v>0</v>
      </c>
      <c r="CE41" s="234" t="n">
        <v>0</v>
      </c>
      <c r="CF41" s="234" t="n">
        <v>0</v>
      </c>
      <c r="CG41" s="234" t="n">
        <v>0</v>
      </c>
      <c r="CH41" s="234" t="n">
        <v>0</v>
      </c>
      <c r="CI41" s="234" t="n">
        <v>0</v>
      </c>
      <c r="CJ41" s="234" t="n">
        <v>0</v>
      </c>
      <c r="CK41" s="225" t="n">
        <v>0</v>
      </c>
      <c r="CL41" s="225" t="n">
        <v>0</v>
      </c>
    </row>
    <row r="42" customFormat="false" ht="20.1" hidden="false" customHeight="true" outlineLevel="2" collapsed="false">
      <c r="A42" s="240" t="s">
        <v>419</v>
      </c>
      <c r="B42" s="240"/>
      <c r="C42" s="240"/>
      <c r="D42" s="240"/>
      <c r="E42" s="240"/>
      <c r="F42" s="240"/>
      <c r="G42" s="240"/>
      <c r="H42" s="277"/>
      <c r="I42" s="241"/>
      <c r="J42" s="243"/>
      <c r="K42" s="243"/>
      <c r="L42" s="245"/>
      <c r="M42" s="245"/>
      <c r="N42" s="245"/>
      <c r="O42" s="244"/>
      <c r="P42" s="245"/>
      <c r="Q42" s="245"/>
      <c r="R42" s="247" t="n">
        <v>0</v>
      </c>
      <c r="S42" s="248" t="n">
        <v>2</v>
      </c>
      <c r="T42" s="247" t="n">
        <v>0</v>
      </c>
      <c r="U42" s="249" t="n">
        <v>1250000</v>
      </c>
      <c r="V42" s="244"/>
      <c r="W42" s="244" t="n">
        <v>0</v>
      </c>
      <c r="X42" s="244" t="n">
        <v>0</v>
      </c>
      <c r="Y42" s="244" t="n">
        <v>0</v>
      </c>
      <c r="Z42" s="244" t="n">
        <v>0</v>
      </c>
      <c r="AA42" s="244" t="n">
        <v>0</v>
      </c>
      <c r="AB42" s="244" t="n">
        <v>0</v>
      </c>
      <c r="AC42" s="249" t="n">
        <v>1250000</v>
      </c>
      <c r="AD42" s="244" t="n">
        <v>0</v>
      </c>
      <c r="AE42" s="244" t="n">
        <v>0</v>
      </c>
      <c r="AF42" s="244" t="n">
        <v>0</v>
      </c>
      <c r="AG42" s="244" t="n">
        <v>0</v>
      </c>
      <c r="AH42" s="250" t="n">
        <v>0</v>
      </c>
      <c r="AI42" s="244" t="n">
        <v>0</v>
      </c>
      <c r="AJ42" s="244" t="n">
        <v>0</v>
      </c>
      <c r="AK42" s="251" t="n">
        <v>0</v>
      </c>
      <c r="AL42" s="252"/>
      <c r="AM42" s="244" t="n">
        <v>2913000</v>
      </c>
      <c r="AN42" s="245"/>
      <c r="AO42" s="252"/>
      <c r="AP42" s="244" t="n">
        <v>1250000</v>
      </c>
      <c r="AQ42" s="253"/>
      <c r="AR42" s="244"/>
      <c r="AS42" s="244"/>
      <c r="AT42" s="244" t="n">
        <v>0</v>
      </c>
      <c r="AU42" s="244" t="n">
        <v>0</v>
      </c>
      <c r="AV42" s="244" t="n">
        <v>0</v>
      </c>
      <c r="AW42" s="244" t="n">
        <v>0</v>
      </c>
      <c r="AX42" s="244" t="n">
        <v>-1663000</v>
      </c>
      <c r="AY42" s="244" t="n">
        <v>0</v>
      </c>
      <c r="AZ42" s="244" t="n">
        <v>1663000</v>
      </c>
      <c r="BA42" s="244" t="n">
        <v>0</v>
      </c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5"/>
      <c r="BR42" s="245"/>
      <c r="BS42" s="255"/>
      <c r="BT42" s="245"/>
      <c r="BU42" s="256"/>
      <c r="BV42" s="245"/>
      <c r="BW42" s="257"/>
      <c r="BX42" s="257"/>
      <c r="BY42" s="244"/>
      <c r="BZ42" s="244"/>
      <c r="CA42" s="244" t="n">
        <v>0</v>
      </c>
      <c r="CB42" s="244"/>
      <c r="CC42" s="244"/>
      <c r="CD42" s="244"/>
      <c r="CE42" s="244"/>
      <c r="CF42" s="244"/>
      <c r="CG42" s="244"/>
      <c r="CH42" s="244"/>
      <c r="CI42" s="244"/>
      <c r="CJ42" s="244"/>
      <c r="CK42" s="245"/>
      <c r="CL42" s="245"/>
    </row>
    <row r="43" customFormat="false" ht="15.75" hidden="false" customHeight="false" outlineLevel="3" collapsed="false">
      <c r="A43" s="52" t="s">
        <v>488</v>
      </c>
      <c r="B43" s="52" t="s">
        <v>475</v>
      </c>
      <c r="C43" s="52" t="s">
        <v>489</v>
      </c>
      <c r="D43" s="52" t="s">
        <v>490</v>
      </c>
      <c r="E43" s="52" t="s">
        <v>491</v>
      </c>
      <c r="F43" s="52" t="s">
        <v>381</v>
      </c>
      <c r="G43" s="52" t="s">
        <v>484</v>
      </c>
      <c r="H43" s="276" t="s">
        <v>486</v>
      </c>
      <c r="I43" s="221" t="s">
        <v>384</v>
      </c>
      <c r="J43" s="222" t="n">
        <v>1</v>
      </c>
      <c r="K43" s="223" t="n">
        <v>1</v>
      </c>
      <c r="L43" s="225" t="n">
        <v>0</v>
      </c>
      <c r="M43" s="225" t="n">
        <v>0</v>
      </c>
      <c r="N43" s="225" t="n">
        <v>1</v>
      </c>
      <c r="O43" s="224" t="n">
        <v>0</v>
      </c>
      <c r="P43" s="226" t="n">
        <v>0</v>
      </c>
      <c r="Q43" s="226" t="n">
        <v>0</v>
      </c>
      <c r="R43" s="227" t="s">
        <v>413</v>
      </c>
      <c r="S43" s="228" t="n">
        <v>0.5</v>
      </c>
      <c r="T43" s="227" t="n">
        <v>0</v>
      </c>
      <c r="U43" s="229" t="n">
        <v>0</v>
      </c>
      <c r="V43" s="224" t="s">
        <v>385</v>
      </c>
      <c r="W43" s="224" t="n">
        <v>0</v>
      </c>
      <c r="X43" s="224" t="n">
        <v>0</v>
      </c>
      <c r="Y43" s="224" t="n">
        <v>0</v>
      </c>
      <c r="Z43" s="224" t="n">
        <v>0</v>
      </c>
      <c r="AA43" s="224" t="n">
        <v>0</v>
      </c>
      <c r="AB43" s="224" t="n">
        <v>0</v>
      </c>
      <c r="AC43" s="229" t="n">
        <v>0</v>
      </c>
      <c r="AD43" s="224" t="n">
        <v>0</v>
      </c>
      <c r="AE43" s="224" t="n">
        <v>0</v>
      </c>
      <c r="AF43" s="224" t="n">
        <v>0</v>
      </c>
      <c r="AG43" s="224" t="n">
        <v>0</v>
      </c>
      <c r="AH43" s="230" t="n">
        <v>179755.5</v>
      </c>
      <c r="AI43" s="224" t="n">
        <v>0</v>
      </c>
      <c r="AJ43" s="224" t="n">
        <v>-179755.5</v>
      </c>
      <c r="AK43" s="231" t="n">
        <v>0</v>
      </c>
      <c r="AL43" s="232" t="n">
        <v>0</v>
      </c>
      <c r="AM43" s="224" t="n">
        <v>1247943.5</v>
      </c>
      <c r="AN43" s="232" t="n">
        <v>0</v>
      </c>
      <c r="AO43" s="225" t="n">
        <v>0</v>
      </c>
      <c r="AP43" s="224" t="n">
        <v>0</v>
      </c>
      <c r="AQ43" s="233" t="n">
        <v>1</v>
      </c>
      <c r="AR43" s="224" t="n">
        <v>0</v>
      </c>
      <c r="AS43" s="224" t="n">
        <v>0</v>
      </c>
      <c r="AT43" s="224" t="n">
        <v>179755.5</v>
      </c>
      <c r="AU43" s="224" t="n">
        <v>0</v>
      </c>
      <c r="AV43" s="224" t="n">
        <v>-179755.5</v>
      </c>
      <c r="AW43" s="224" t="n">
        <v>0</v>
      </c>
      <c r="AX43" s="224" t="n">
        <v>-297943.5</v>
      </c>
      <c r="AY43" s="224" t="n">
        <v>0</v>
      </c>
      <c r="AZ43" s="224" t="n">
        <v>297943.5</v>
      </c>
      <c r="BA43" s="224" t="n">
        <v>0</v>
      </c>
      <c r="BB43" s="224" t="s">
        <v>381</v>
      </c>
      <c r="BC43" s="224" t="s">
        <v>381</v>
      </c>
      <c r="BD43" s="224" t="n">
        <v>179755.5</v>
      </c>
      <c r="BE43" s="224" t="n">
        <v>0</v>
      </c>
      <c r="BF43" s="224" t="n">
        <v>-179755.5</v>
      </c>
      <c r="BG43" s="224" t="n">
        <v>0</v>
      </c>
      <c r="BH43" s="224" t="n">
        <v>-297943.5</v>
      </c>
      <c r="BI43" s="224" t="n">
        <v>0</v>
      </c>
      <c r="BJ43" s="224" t="n">
        <v>297943.5</v>
      </c>
      <c r="BK43" s="224" t="n">
        <v>0</v>
      </c>
      <c r="BL43" s="238" t="n">
        <v>0</v>
      </c>
      <c r="BM43" s="224" t="s">
        <v>398</v>
      </c>
      <c r="BN43" s="224" t="n">
        <v>0</v>
      </c>
      <c r="BO43" s="234" t="b">
        <f aca="false">FALSE()</f>
        <v>0</v>
      </c>
      <c r="BP43" s="234" t="n">
        <v>-179755.5</v>
      </c>
      <c r="BQ43" s="225" t="s">
        <v>481</v>
      </c>
      <c r="BR43" s="225" t="n">
        <v>0</v>
      </c>
      <c r="BS43" s="236" t="n">
        <v>77</v>
      </c>
      <c r="BT43" s="225" t="n">
        <v>0</v>
      </c>
      <c r="BU43" s="237" t="n">
        <v>0</v>
      </c>
      <c r="BV43" s="225" t="n">
        <v>59</v>
      </c>
      <c r="BW43" s="238" t="n">
        <v>0</v>
      </c>
      <c r="BX43" s="238" t="n">
        <v>0</v>
      </c>
      <c r="BY43" s="234" t="n">
        <v>0</v>
      </c>
      <c r="BZ43" s="234" t="n">
        <v>-950000</v>
      </c>
      <c r="CA43" s="234" t="n">
        <v>-950000</v>
      </c>
      <c r="CB43" s="234" t="n">
        <v>-950000</v>
      </c>
      <c r="CC43" s="234" t="n">
        <v>0</v>
      </c>
      <c r="CD43" s="234" t="n">
        <v>0</v>
      </c>
      <c r="CE43" s="234" t="n">
        <v>0</v>
      </c>
      <c r="CF43" s="234" t="n">
        <v>0</v>
      </c>
      <c r="CG43" s="234" t="n">
        <v>179755.5</v>
      </c>
      <c r="CH43" s="234" t="n">
        <v>0</v>
      </c>
      <c r="CI43" s="234" t="n">
        <v>-179755.5</v>
      </c>
      <c r="CJ43" s="234" t="n">
        <v>0</v>
      </c>
      <c r="CK43" s="225" t="n">
        <v>0</v>
      </c>
      <c r="CL43" s="225" t="n">
        <v>0</v>
      </c>
    </row>
    <row r="44" customFormat="false" ht="15.75" hidden="false" customHeight="false" outlineLevel="3" collapsed="false">
      <c r="A44" s="52" t="s">
        <v>488</v>
      </c>
      <c r="B44" s="52" t="s">
        <v>475</v>
      </c>
      <c r="C44" s="52" t="s">
        <v>489</v>
      </c>
      <c r="D44" s="52" t="s">
        <v>490</v>
      </c>
      <c r="E44" s="52" t="s">
        <v>492</v>
      </c>
      <c r="F44" s="52" t="s">
        <v>381</v>
      </c>
      <c r="G44" s="52" t="s">
        <v>484</v>
      </c>
      <c r="H44" s="276" t="s">
        <v>486</v>
      </c>
      <c r="I44" s="221" t="s">
        <v>384</v>
      </c>
      <c r="J44" s="222" t="n">
        <v>1</v>
      </c>
      <c r="K44" s="223" t="n">
        <v>1</v>
      </c>
      <c r="L44" s="225" t="n">
        <v>0</v>
      </c>
      <c r="M44" s="225" t="n">
        <v>0</v>
      </c>
      <c r="N44" s="225" t="n">
        <v>1</v>
      </c>
      <c r="O44" s="224" t="n">
        <v>0</v>
      </c>
      <c r="P44" s="226" t="n">
        <v>0</v>
      </c>
      <c r="Q44" s="226" t="n">
        <v>0</v>
      </c>
      <c r="R44" s="227" t="s">
        <v>413</v>
      </c>
      <c r="S44" s="228" t="n">
        <v>0.5</v>
      </c>
      <c r="T44" s="227" t="n">
        <v>0</v>
      </c>
      <c r="U44" s="229" t="n">
        <v>0</v>
      </c>
      <c r="V44" s="224" t="s">
        <v>385</v>
      </c>
      <c r="W44" s="224" t="n">
        <v>0</v>
      </c>
      <c r="X44" s="224" t="n">
        <v>0</v>
      </c>
      <c r="Y44" s="224" t="n">
        <v>0</v>
      </c>
      <c r="Z44" s="224" t="n">
        <v>0</v>
      </c>
      <c r="AA44" s="224" t="n">
        <v>0</v>
      </c>
      <c r="AB44" s="224" t="n">
        <v>0</v>
      </c>
      <c r="AC44" s="229" t="n">
        <v>0</v>
      </c>
      <c r="AD44" s="224" t="n">
        <v>0</v>
      </c>
      <c r="AE44" s="224" t="n">
        <v>0</v>
      </c>
      <c r="AF44" s="224" t="n">
        <v>0</v>
      </c>
      <c r="AG44" s="224" t="n">
        <v>0</v>
      </c>
      <c r="AH44" s="230" t="n">
        <v>0</v>
      </c>
      <c r="AI44" s="224" t="n">
        <v>0</v>
      </c>
      <c r="AJ44" s="224" t="n">
        <v>0</v>
      </c>
      <c r="AK44" s="231" t="n">
        <v>0</v>
      </c>
      <c r="AL44" s="232" t="n">
        <v>0</v>
      </c>
      <c r="AM44" s="224" t="n">
        <v>0</v>
      </c>
      <c r="AN44" s="232" t="n">
        <v>0</v>
      </c>
      <c r="AO44" s="225" t="n">
        <v>0</v>
      </c>
      <c r="AP44" s="224" t="n">
        <v>0</v>
      </c>
      <c r="AQ44" s="233" t="n">
        <v>1</v>
      </c>
      <c r="AR44" s="224" t="n">
        <v>0</v>
      </c>
      <c r="AS44" s="224" t="n">
        <v>0</v>
      </c>
      <c r="AT44" s="224" t="n">
        <v>0</v>
      </c>
      <c r="AU44" s="224" t="n">
        <v>0</v>
      </c>
      <c r="AV44" s="224" t="n">
        <v>0</v>
      </c>
      <c r="AW44" s="224" t="n">
        <v>0</v>
      </c>
      <c r="AX44" s="224" t="n">
        <v>-175230.57</v>
      </c>
      <c r="AY44" s="224" t="n">
        <v>0</v>
      </c>
      <c r="AZ44" s="224" t="n">
        <v>175230.57</v>
      </c>
      <c r="BA44" s="224" t="n">
        <v>0</v>
      </c>
      <c r="BB44" s="224" t="s">
        <v>381</v>
      </c>
      <c r="BC44" s="224" t="s">
        <v>381</v>
      </c>
      <c r="BD44" s="224" t="n">
        <v>0</v>
      </c>
      <c r="BE44" s="224" t="n">
        <v>0</v>
      </c>
      <c r="BF44" s="224" t="n">
        <v>0</v>
      </c>
      <c r="BG44" s="224" t="n">
        <v>0</v>
      </c>
      <c r="BH44" s="224" t="n">
        <v>-175230.57</v>
      </c>
      <c r="BI44" s="224" t="n">
        <v>0</v>
      </c>
      <c r="BJ44" s="224" t="n">
        <v>175230.57</v>
      </c>
      <c r="BK44" s="224" t="n">
        <v>0</v>
      </c>
      <c r="BL44" s="238" t="n">
        <v>0</v>
      </c>
      <c r="BM44" s="224" t="s">
        <v>386</v>
      </c>
      <c r="BN44" s="224" t="n">
        <v>0</v>
      </c>
      <c r="BO44" s="234" t="b">
        <f aca="false">FALSE()</f>
        <v>0</v>
      </c>
      <c r="BP44" s="234" t="n">
        <v>0</v>
      </c>
      <c r="BQ44" s="225" t="s">
        <v>481</v>
      </c>
      <c r="BR44" s="225" t="n">
        <v>1247944</v>
      </c>
      <c r="BS44" s="236" t="n">
        <v>77</v>
      </c>
      <c r="BT44" s="225" t="n">
        <v>0</v>
      </c>
      <c r="BU44" s="237" t="n">
        <v>0</v>
      </c>
      <c r="BV44" s="225" t="n">
        <v>60</v>
      </c>
      <c r="BW44" s="238" t="n">
        <v>0</v>
      </c>
      <c r="BX44" s="238" t="n">
        <v>0</v>
      </c>
      <c r="BY44" s="234" t="n">
        <v>0</v>
      </c>
      <c r="BZ44" s="234" t="n">
        <v>0</v>
      </c>
      <c r="CA44" s="234" t="n">
        <v>0</v>
      </c>
      <c r="CB44" s="234" t="n">
        <v>175230.57</v>
      </c>
      <c r="CC44" s="234" t="n">
        <v>0</v>
      </c>
      <c r="CD44" s="234" t="n">
        <v>0</v>
      </c>
      <c r="CE44" s="234" t="n">
        <v>0</v>
      </c>
      <c r="CF44" s="234" t="n">
        <v>0</v>
      </c>
      <c r="CG44" s="234" t="n">
        <v>0</v>
      </c>
      <c r="CH44" s="234" t="n">
        <v>0</v>
      </c>
      <c r="CI44" s="234" t="n">
        <v>0</v>
      </c>
      <c r="CJ44" s="234" t="n">
        <v>0</v>
      </c>
      <c r="CK44" s="225" t="n">
        <v>0</v>
      </c>
      <c r="CL44" s="225" t="n">
        <v>0</v>
      </c>
    </row>
    <row r="45" customFormat="false" ht="15.75" hidden="false" customHeight="false" outlineLevel="3" collapsed="false">
      <c r="A45" s="52" t="s">
        <v>488</v>
      </c>
      <c r="B45" s="52" t="s">
        <v>475</v>
      </c>
      <c r="C45" s="52" t="s">
        <v>460</v>
      </c>
      <c r="D45" s="52" t="s">
        <v>461</v>
      </c>
      <c r="E45" s="52" t="s">
        <v>493</v>
      </c>
      <c r="F45" s="52" t="s">
        <v>381</v>
      </c>
      <c r="G45" s="52" t="s">
        <v>477</v>
      </c>
      <c r="H45" s="276" t="s">
        <v>486</v>
      </c>
      <c r="I45" s="221" t="s">
        <v>384</v>
      </c>
      <c r="J45" s="222" t="n">
        <v>1000</v>
      </c>
      <c r="K45" s="223" t="n">
        <v>1000</v>
      </c>
      <c r="L45" s="225" t="n">
        <v>0</v>
      </c>
      <c r="M45" s="225" t="n">
        <v>0</v>
      </c>
      <c r="N45" s="225" t="n">
        <v>1</v>
      </c>
      <c r="O45" s="224" t="n">
        <v>0</v>
      </c>
      <c r="P45" s="226" t="n">
        <v>0</v>
      </c>
      <c r="Q45" s="226" t="n">
        <v>0</v>
      </c>
      <c r="R45" s="227" t="n">
        <v>0</v>
      </c>
      <c r="S45" s="228" t="n">
        <v>1</v>
      </c>
      <c r="T45" s="227" t="s">
        <v>397</v>
      </c>
      <c r="U45" s="229" t="n">
        <v>0</v>
      </c>
      <c r="V45" s="224" t="s">
        <v>385</v>
      </c>
      <c r="W45" s="224" t="n">
        <v>0</v>
      </c>
      <c r="X45" s="224" t="n">
        <v>0</v>
      </c>
      <c r="Y45" s="224" t="n">
        <v>0</v>
      </c>
      <c r="Z45" s="224" t="n">
        <v>0</v>
      </c>
      <c r="AA45" s="224" t="n">
        <v>0</v>
      </c>
      <c r="AB45" s="224" t="n">
        <v>0</v>
      </c>
      <c r="AC45" s="229" t="n">
        <v>0</v>
      </c>
      <c r="AD45" s="224" t="n">
        <v>0</v>
      </c>
      <c r="AE45" s="224" t="n">
        <v>0</v>
      </c>
      <c r="AF45" s="224" t="n">
        <v>0</v>
      </c>
      <c r="AG45" s="224" t="n">
        <v>0</v>
      </c>
      <c r="AH45" s="230" t="n">
        <v>0</v>
      </c>
      <c r="AI45" s="224" t="n">
        <v>0</v>
      </c>
      <c r="AJ45" s="224" t="n">
        <v>0</v>
      </c>
      <c r="AK45" s="231" t="n">
        <v>0</v>
      </c>
      <c r="AL45" s="232" t="n">
        <v>0</v>
      </c>
      <c r="AM45" s="224" t="n">
        <v>1360000</v>
      </c>
      <c r="AN45" s="232" t="n">
        <v>0</v>
      </c>
      <c r="AO45" s="225" t="n">
        <v>0</v>
      </c>
      <c r="AP45" s="224" t="n">
        <v>0</v>
      </c>
      <c r="AQ45" s="233" t="n">
        <v>1</v>
      </c>
      <c r="AR45" s="224" t="n">
        <v>0</v>
      </c>
      <c r="AS45" s="224" t="n">
        <v>0</v>
      </c>
      <c r="AT45" s="224" t="n">
        <v>0</v>
      </c>
      <c r="AU45" s="224" t="n">
        <v>0</v>
      </c>
      <c r="AV45" s="224" t="n">
        <v>0</v>
      </c>
      <c r="AW45" s="224" t="n">
        <v>0</v>
      </c>
      <c r="AX45" s="224" t="n">
        <v>-1360000</v>
      </c>
      <c r="AY45" s="224" t="n">
        <v>0</v>
      </c>
      <c r="AZ45" s="224" t="n">
        <v>1360000</v>
      </c>
      <c r="BA45" s="224" t="n">
        <v>0</v>
      </c>
      <c r="BB45" s="224" t="s">
        <v>381</v>
      </c>
      <c r="BC45" s="224" t="s">
        <v>381</v>
      </c>
      <c r="BD45" s="224" t="n">
        <v>0</v>
      </c>
      <c r="BE45" s="224" t="n">
        <v>0</v>
      </c>
      <c r="BF45" s="224" t="n">
        <v>0</v>
      </c>
      <c r="BG45" s="224" t="n">
        <v>0</v>
      </c>
      <c r="BH45" s="224" t="n">
        <v>-1360000</v>
      </c>
      <c r="BI45" s="224" t="n">
        <v>0</v>
      </c>
      <c r="BJ45" s="224" t="n">
        <v>1360000</v>
      </c>
      <c r="BK45" s="224" t="n">
        <v>0</v>
      </c>
      <c r="BL45" s="238" t="n">
        <v>0</v>
      </c>
      <c r="BM45" s="224" t="s">
        <v>386</v>
      </c>
      <c r="BN45" s="224" t="n">
        <v>0</v>
      </c>
      <c r="BO45" s="234" t="b">
        <f aca="false">FALSE()</f>
        <v>0</v>
      </c>
      <c r="BP45" s="234" t="n">
        <v>0</v>
      </c>
      <c r="BQ45" s="225" t="n">
        <v>1000</v>
      </c>
      <c r="BR45" s="225" t="n">
        <v>2360000</v>
      </c>
      <c r="BS45" s="236" t="n">
        <v>77</v>
      </c>
      <c r="BT45" s="225" t="n">
        <v>0</v>
      </c>
      <c r="BU45" s="237" t="n">
        <v>0</v>
      </c>
      <c r="BV45" s="225" t="n">
        <v>61</v>
      </c>
      <c r="BW45" s="238" t="n">
        <v>0</v>
      </c>
      <c r="BX45" s="238" t="n">
        <v>0</v>
      </c>
      <c r="BY45" s="234" t="n">
        <v>0</v>
      </c>
      <c r="BZ45" s="234" t="n">
        <v>0</v>
      </c>
      <c r="CA45" s="234" t="n">
        <v>0</v>
      </c>
      <c r="CB45" s="234" t="n">
        <v>0</v>
      </c>
      <c r="CC45" s="234" t="n">
        <v>0</v>
      </c>
      <c r="CD45" s="234" t="n">
        <v>0</v>
      </c>
      <c r="CE45" s="234" t="n">
        <v>0</v>
      </c>
      <c r="CF45" s="234" t="n">
        <v>0</v>
      </c>
      <c r="CG45" s="234" t="n">
        <v>0</v>
      </c>
      <c r="CH45" s="234" t="n">
        <v>0</v>
      </c>
      <c r="CI45" s="234" t="n">
        <v>0</v>
      </c>
      <c r="CJ45" s="234" t="n">
        <v>0</v>
      </c>
      <c r="CK45" s="225" t="n">
        <v>0</v>
      </c>
      <c r="CL45" s="225" t="n">
        <v>0</v>
      </c>
    </row>
    <row r="46" customFormat="false" ht="15.75" hidden="false" customHeight="false" outlineLevel="3" collapsed="false">
      <c r="A46" s="52" t="s">
        <v>488</v>
      </c>
      <c r="B46" s="52" t="s">
        <v>475</v>
      </c>
      <c r="C46" s="52" t="s">
        <v>460</v>
      </c>
      <c r="D46" s="52" t="s">
        <v>461</v>
      </c>
      <c r="E46" s="52" t="s">
        <v>494</v>
      </c>
      <c r="F46" s="52" t="s">
        <v>381</v>
      </c>
      <c r="G46" s="52" t="s">
        <v>484</v>
      </c>
      <c r="H46" s="276" t="s">
        <v>486</v>
      </c>
      <c r="I46" s="221" t="s">
        <v>384</v>
      </c>
      <c r="J46" s="222" t="n">
        <v>172031</v>
      </c>
      <c r="K46" s="223" t="n">
        <v>172031</v>
      </c>
      <c r="L46" s="225" t="n">
        <v>0</v>
      </c>
      <c r="M46" s="225" t="n">
        <v>0.5</v>
      </c>
      <c r="N46" s="225" t="n">
        <v>1</v>
      </c>
      <c r="O46" s="224" t="n">
        <v>0</v>
      </c>
      <c r="P46" s="226" t="n">
        <v>0</v>
      </c>
      <c r="Q46" s="226" t="n">
        <v>0</v>
      </c>
      <c r="R46" s="227" t="n">
        <v>0</v>
      </c>
      <c r="S46" s="228" t="n">
        <v>1</v>
      </c>
      <c r="T46" s="227" t="s">
        <v>397</v>
      </c>
      <c r="U46" s="229" t="n">
        <v>0</v>
      </c>
      <c r="V46" s="224" t="s">
        <v>385</v>
      </c>
      <c r="W46" s="224" t="n">
        <v>0</v>
      </c>
      <c r="X46" s="224" t="n">
        <v>0</v>
      </c>
      <c r="Y46" s="224" t="n">
        <v>0</v>
      </c>
      <c r="Z46" s="224" t="n">
        <v>0</v>
      </c>
      <c r="AA46" s="224" t="n">
        <v>0</v>
      </c>
      <c r="AB46" s="224" t="n">
        <v>0</v>
      </c>
      <c r="AC46" s="229" t="n">
        <v>0</v>
      </c>
      <c r="AD46" s="224" t="n">
        <v>0</v>
      </c>
      <c r="AE46" s="224" t="n">
        <v>0</v>
      </c>
      <c r="AF46" s="224" t="n">
        <v>0</v>
      </c>
      <c r="AG46" s="224" t="n">
        <v>0</v>
      </c>
      <c r="AH46" s="230" t="n">
        <v>0</v>
      </c>
      <c r="AI46" s="224" t="n">
        <v>0</v>
      </c>
      <c r="AJ46" s="224" t="n">
        <v>0</v>
      </c>
      <c r="AK46" s="231" t="n">
        <v>0</v>
      </c>
      <c r="AL46" s="232" t="n">
        <v>0</v>
      </c>
      <c r="AM46" s="224" t="n">
        <v>23507915</v>
      </c>
      <c r="AN46" s="232" t="n">
        <v>0</v>
      </c>
      <c r="AO46" s="225" t="n">
        <v>0</v>
      </c>
      <c r="AP46" s="224" t="n">
        <v>0</v>
      </c>
      <c r="AQ46" s="233" t="n">
        <v>1</v>
      </c>
      <c r="AR46" s="224" t="n">
        <v>0</v>
      </c>
      <c r="AS46" s="224" t="n">
        <v>0</v>
      </c>
      <c r="AT46" s="224" t="n">
        <v>0</v>
      </c>
      <c r="AU46" s="224" t="n">
        <v>0</v>
      </c>
      <c r="AV46" s="224" t="n">
        <v>0</v>
      </c>
      <c r="AW46" s="224" t="n">
        <v>0</v>
      </c>
      <c r="AX46" s="224" t="n">
        <v>-23507915</v>
      </c>
      <c r="AY46" s="224" t="n">
        <v>0</v>
      </c>
      <c r="AZ46" s="224" t="n">
        <v>23507915</v>
      </c>
      <c r="BA46" s="224" t="n">
        <v>0</v>
      </c>
      <c r="BB46" s="224" t="s">
        <v>381</v>
      </c>
      <c r="BC46" s="224" t="s">
        <v>381</v>
      </c>
      <c r="BD46" s="224" t="n">
        <v>0</v>
      </c>
      <c r="BE46" s="224" t="n">
        <v>0</v>
      </c>
      <c r="BF46" s="224" t="n">
        <v>0</v>
      </c>
      <c r="BG46" s="224" t="n">
        <v>0</v>
      </c>
      <c r="BH46" s="224" t="n">
        <v>-23507915</v>
      </c>
      <c r="BI46" s="224" t="n">
        <v>0</v>
      </c>
      <c r="BJ46" s="224" t="n">
        <v>23507915</v>
      </c>
      <c r="BK46" s="224" t="n">
        <v>0</v>
      </c>
      <c r="BL46" s="238" t="n">
        <v>0</v>
      </c>
      <c r="BM46" s="224" t="s">
        <v>386</v>
      </c>
      <c r="BN46" s="224" t="n">
        <v>0</v>
      </c>
      <c r="BO46" s="234" t="b">
        <f aca="false">FALSE()</f>
        <v>0</v>
      </c>
      <c r="BP46" s="234" t="n">
        <v>0</v>
      </c>
      <c r="BQ46" s="226" t="n">
        <v>0</v>
      </c>
      <c r="BR46" s="225" t="n">
        <v>10687838</v>
      </c>
      <c r="BS46" s="236" t="n">
        <v>77</v>
      </c>
      <c r="BT46" s="225" t="n">
        <v>0</v>
      </c>
      <c r="BU46" s="237" t="n">
        <v>0</v>
      </c>
      <c r="BV46" s="225" t="n">
        <v>64</v>
      </c>
      <c r="BW46" s="238" t="n">
        <v>0</v>
      </c>
      <c r="BX46" s="238" t="n">
        <v>0</v>
      </c>
      <c r="BY46" s="234" t="n">
        <v>0</v>
      </c>
      <c r="BZ46" s="234" t="n">
        <v>0</v>
      </c>
      <c r="CA46" s="234" t="n">
        <v>0</v>
      </c>
      <c r="CB46" s="234" t="n">
        <v>0</v>
      </c>
      <c r="CC46" s="234" t="n">
        <v>0</v>
      </c>
      <c r="CD46" s="234" t="n">
        <v>0</v>
      </c>
      <c r="CE46" s="234" t="n">
        <v>0</v>
      </c>
      <c r="CF46" s="234" t="n">
        <v>0</v>
      </c>
      <c r="CG46" s="234" t="n">
        <v>0</v>
      </c>
      <c r="CH46" s="234" t="n">
        <v>0</v>
      </c>
      <c r="CI46" s="234" t="n">
        <v>0</v>
      </c>
      <c r="CJ46" s="234" t="n">
        <v>0</v>
      </c>
      <c r="CK46" s="225" t="n">
        <v>0.5</v>
      </c>
      <c r="CL46" s="225" t="n">
        <v>0</v>
      </c>
    </row>
    <row r="47" customFormat="false" ht="15.75" hidden="false" customHeight="false" outlineLevel="3" collapsed="false">
      <c r="A47" s="52" t="s">
        <v>488</v>
      </c>
      <c r="B47" s="52" t="s">
        <v>475</v>
      </c>
      <c r="C47" s="52" t="s">
        <v>460</v>
      </c>
      <c r="D47" s="52" t="s">
        <v>461</v>
      </c>
      <c r="E47" s="52" t="s">
        <v>495</v>
      </c>
      <c r="F47" s="52" t="s">
        <v>381</v>
      </c>
      <c r="G47" s="276" t="s">
        <v>496</v>
      </c>
      <c r="H47" s="276" t="s">
        <v>486</v>
      </c>
      <c r="I47" s="221" t="s">
        <v>384</v>
      </c>
      <c r="J47" s="222" t="n">
        <v>1</v>
      </c>
      <c r="K47" s="223" t="n">
        <v>1</v>
      </c>
      <c r="L47" s="225" t="n">
        <v>0</v>
      </c>
      <c r="M47" s="225" t="n">
        <v>0</v>
      </c>
      <c r="N47" s="225" t="n">
        <v>1</v>
      </c>
      <c r="O47" s="224" t="n">
        <v>0</v>
      </c>
      <c r="P47" s="226" t="n">
        <v>0</v>
      </c>
      <c r="Q47" s="226" t="n">
        <v>0</v>
      </c>
      <c r="R47" s="227" t="n">
        <v>0</v>
      </c>
      <c r="S47" s="228" t="n">
        <v>1</v>
      </c>
      <c r="T47" s="227" t="s">
        <v>497</v>
      </c>
      <c r="U47" s="229" t="n">
        <v>0</v>
      </c>
      <c r="V47" s="224" t="s">
        <v>385</v>
      </c>
      <c r="W47" s="224" t="n">
        <v>0</v>
      </c>
      <c r="X47" s="224" t="n">
        <v>0</v>
      </c>
      <c r="Y47" s="224" t="n">
        <v>0</v>
      </c>
      <c r="Z47" s="224" t="n">
        <v>0</v>
      </c>
      <c r="AA47" s="224" t="n">
        <v>0</v>
      </c>
      <c r="AB47" s="224" t="n">
        <v>0</v>
      </c>
      <c r="AC47" s="229" t="n">
        <v>0</v>
      </c>
      <c r="AD47" s="224" t="n">
        <v>0</v>
      </c>
      <c r="AE47" s="224" t="n">
        <v>0</v>
      </c>
      <c r="AF47" s="224" t="n">
        <v>0</v>
      </c>
      <c r="AG47" s="224" t="n">
        <v>0</v>
      </c>
      <c r="AH47" s="230" t="n">
        <v>0</v>
      </c>
      <c r="AI47" s="224" t="n">
        <v>0</v>
      </c>
      <c r="AJ47" s="224" t="n">
        <v>0</v>
      </c>
      <c r="AK47" s="231" t="n">
        <v>0</v>
      </c>
      <c r="AL47" s="232" t="n">
        <v>0</v>
      </c>
      <c r="AM47" s="224" t="n">
        <v>10372212</v>
      </c>
      <c r="AN47" s="232" t="n">
        <v>0</v>
      </c>
      <c r="AO47" s="225" t="n">
        <v>0</v>
      </c>
      <c r="AP47" s="224" t="n">
        <v>0</v>
      </c>
      <c r="AQ47" s="233" t="n">
        <v>1</v>
      </c>
      <c r="AR47" s="224" t="n">
        <v>0</v>
      </c>
      <c r="AS47" s="224" t="n">
        <v>0</v>
      </c>
      <c r="AT47" s="224" t="n">
        <v>0</v>
      </c>
      <c r="AU47" s="224" t="n">
        <v>0</v>
      </c>
      <c r="AV47" s="224" t="n">
        <v>0</v>
      </c>
      <c r="AW47" s="224" t="n">
        <v>0</v>
      </c>
      <c r="AX47" s="224" t="n">
        <v>-10372212</v>
      </c>
      <c r="AY47" s="224" t="n">
        <v>0</v>
      </c>
      <c r="AZ47" s="224" t="n">
        <v>10372212</v>
      </c>
      <c r="BA47" s="224" t="n">
        <v>0</v>
      </c>
      <c r="BB47" s="224" t="s">
        <v>381</v>
      </c>
      <c r="BC47" s="224" t="s">
        <v>381</v>
      </c>
      <c r="BD47" s="224" t="n">
        <v>0</v>
      </c>
      <c r="BE47" s="224" t="n">
        <v>0</v>
      </c>
      <c r="BF47" s="224" t="n">
        <v>0</v>
      </c>
      <c r="BG47" s="224" t="n">
        <v>0</v>
      </c>
      <c r="BH47" s="224" t="n">
        <v>-10372212</v>
      </c>
      <c r="BI47" s="224" t="n">
        <v>0</v>
      </c>
      <c r="BJ47" s="224" t="n">
        <v>10372212</v>
      </c>
      <c r="BK47" s="224" t="n">
        <v>0</v>
      </c>
      <c r="BL47" s="224" t="n">
        <v>0</v>
      </c>
      <c r="BM47" s="224" t="s">
        <v>386</v>
      </c>
      <c r="BN47" s="224" t="n">
        <v>0</v>
      </c>
      <c r="BO47" s="234" t="b">
        <f aca="false">FALSE()</f>
        <v>0</v>
      </c>
      <c r="BP47" s="234" t="n">
        <v>0</v>
      </c>
      <c r="BQ47" s="226" t="n">
        <v>159431</v>
      </c>
      <c r="BR47" s="225" t="n">
        <v>10372212</v>
      </c>
      <c r="BS47" s="236" t="n">
        <v>77</v>
      </c>
      <c r="BT47" s="225" t="n">
        <v>0</v>
      </c>
      <c r="BU47" s="237" t="n">
        <v>0</v>
      </c>
      <c r="BV47" s="225" t="n">
        <v>66</v>
      </c>
      <c r="BW47" s="238" t="n">
        <v>0</v>
      </c>
      <c r="BX47" s="238" t="n">
        <v>0</v>
      </c>
      <c r="BY47" s="234" t="n">
        <v>0</v>
      </c>
      <c r="BZ47" s="234" t="n">
        <v>0</v>
      </c>
      <c r="CA47" s="234" t="n">
        <v>0</v>
      </c>
      <c r="CB47" s="234" t="n">
        <v>0</v>
      </c>
      <c r="CC47" s="234" t="n">
        <v>0</v>
      </c>
      <c r="CD47" s="234" t="n">
        <v>0</v>
      </c>
      <c r="CE47" s="234" t="n">
        <v>0</v>
      </c>
      <c r="CF47" s="234" t="n">
        <v>0</v>
      </c>
      <c r="CG47" s="234" t="n">
        <v>0</v>
      </c>
      <c r="CH47" s="234" t="n">
        <v>0</v>
      </c>
      <c r="CI47" s="234" t="n">
        <v>0</v>
      </c>
      <c r="CJ47" s="234" t="n">
        <v>0</v>
      </c>
      <c r="CK47" s="225" t="n">
        <v>0</v>
      </c>
      <c r="CL47" s="225" t="n">
        <v>0</v>
      </c>
    </row>
    <row r="48" customFormat="false" ht="20.1" hidden="false" customHeight="true" outlineLevel="2" collapsed="false">
      <c r="A48" s="240" t="s">
        <v>498</v>
      </c>
      <c r="B48" s="240"/>
      <c r="C48" s="240"/>
      <c r="D48" s="240"/>
      <c r="E48" s="240"/>
      <c r="F48" s="240"/>
      <c r="G48" s="277"/>
      <c r="H48" s="277"/>
      <c r="I48" s="241"/>
      <c r="J48" s="242"/>
      <c r="K48" s="243"/>
      <c r="L48" s="245"/>
      <c r="M48" s="245"/>
      <c r="N48" s="245"/>
      <c r="O48" s="244"/>
      <c r="P48" s="246"/>
      <c r="Q48" s="246"/>
      <c r="R48" s="247" t="n">
        <v>0</v>
      </c>
      <c r="S48" s="248" t="n">
        <v>4</v>
      </c>
      <c r="T48" s="247" t="n">
        <v>0</v>
      </c>
      <c r="U48" s="249" t="n">
        <v>0</v>
      </c>
      <c r="V48" s="244"/>
      <c r="W48" s="244" t="n">
        <v>0</v>
      </c>
      <c r="X48" s="244" t="n">
        <v>0</v>
      </c>
      <c r="Y48" s="244" t="n">
        <v>0</v>
      </c>
      <c r="Z48" s="244" t="n">
        <v>0</v>
      </c>
      <c r="AA48" s="244" t="n">
        <v>0</v>
      </c>
      <c r="AB48" s="244" t="n">
        <v>0</v>
      </c>
      <c r="AC48" s="249" t="n">
        <v>0</v>
      </c>
      <c r="AD48" s="244" t="n">
        <v>0</v>
      </c>
      <c r="AE48" s="244" t="n">
        <v>0</v>
      </c>
      <c r="AF48" s="244" t="n">
        <v>0</v>
      </c>
      <c r="AG48" s="244" t="n">
        <v>0</v>
      </c>
      <c r="AH48" s="250" t="n">
        <v>179755.5</v>
      </c>
      <c r="AI48" s="244" t="n">
        <v>0</v>
      </c>
      <c r="AJ48" s="244" t="n">
        <v>-179755.5</v>
      </c>
      <c r="AK48" s="251" t="n">
        <v>0</v>
      </c>
      <c r="AL48" s="252"/>
      <c r="AM48" s="244" t="n">
        <v>36488070.5</v>
      </c>
      <c r="AN48" s="252"/>
      <c r="AO48" s="245"/>
      <c r="AP48" s="244" t="n">
        <v>0</v>
      </c>
      <c r="AQ48" s="253"/>
      <c r="AR48" s="244"/>
      <c r="AS48" s="244"/>
      <c r="AT48" s="244" t="n">
        <v>179755.5</v>
      </c>
      <c r="AU48" s="244" t="n">
        <v>0</v>
      </c>
      <c r="AV48" s="244" t="n">
        <v>-179755.5</v>
      </c>
      <c r="AW48" s="244" t="n">
        <v>0</v>
      </c>
      <c r="AX48" s="244" t="n">
        <v>-35713301.07</v>
      </c>
      <c r="AY48" s="244" t="n">
        <v>0</v>
      </c>
      <c r="AZ48" s="244" t="n">
        <v>35713301.07</v>
      </c>
      <c r="BA48" s="244" t="n">
        <v>0</v>
      </c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44"/>
      <c r="BP48" s="244"/>
      <c r="BQ48" s="246"/>
      <c r="BR48" s="245"/>
      <c r="BS48" s="255"/>
      <c r="BT48" s="245"/>
      <c r="BU48" s="256"/>
      <c r="BV48" s="245"/>
      <c r="BW48" s="257"/>
      <c r="BX48" s="257"/>
      <c r="BY48" s="244"/>
      <c r="BZ48" s="244"/>
      <c r="CA48" s="244" t="n">
        <v>-950000</v>
      </c>
      <c r="CB48" s="244"/>
      <c r="CC48" s="244"/>
      <c r="CD48" s="244"/>
      <c r="CE48" s="244"/>
      <c r="CF48" s="244"/>
      <c r="CG48" s="244"/>
      <c r="CH48" s="244"/>
      <c r="CI48" s="244"/>
      <c r="CJ48" s="244"/>
      <c r="CK48" s="245"/>
      <c r="CL48" s="245"/>
    </row>
    <row r="49" customFormat="false" ht="15.75" hidden="false" customHeight="false" outlineLevel="3" collapsed="false">
      <c r="A49" s="52" t="s">
        <v>438</v>
      </c>
      <c r="B49" s="52" t="s">
        <v>475</v>
      </c>
      <c r="C49" s="52" t="s">
        <v>460</v>
      </c>
      <c r="D49" s="52" t="s">
        <v>461</v>
      </c>
      <c r="E49" s="52" t="s">
        <v>499</v>
      </c>
      <c r="F49" s="52" t="s">
        <v>500</v>
      </c>
      <c r="G49" s="52" t="s">
        <v>484</v>
      </c>
      <c r="H49" s="52" t="s">
        <v>396</v>
      </c>
      <c r="I49" s="221" t="s">
        <v>384</v>
      </c>
      <c r="J49" s="223" t="n">
        <v>0</v>
      </c>
      <c r="K49" s="223" t="n">
        <v>0</v>
      </c>
      <c r="L49" s="225" t="n">
        <v>0</v>
      </c>
      <c r="M49" s="225" t="n">
        <v>0</v>
      </c>
      <c r="N49" s="225" t="n">
        <v>1</v>
      </c>
      <c r="O49" s="224" t="n">
        <v>3.9</v>
      </c>
      <c r="P49" s="226" t="n">
        <v>3.7</v>
      </c>
      <c r="Q49" s="226" t="n">
        <v>0.2</v>
      </c>
      <c r="R49" s="227" t="s">
        <v>501</v>
      </c>
      <c r="S49" s="228" t="n">
        <v>0.5</v>
      </c>
      <c r="T49" s="227" t="s">
        <v>397</v>
      </c>
      <c r="U49" s="229" t="n">
        <v>0</v>
      </c>
      <c r="V49" s="224" t="s">
        <v>385</v>
      </c>
      <c r="W49" s="224" t="n">
        <v>0</v>
      </c>
      <c r="X49" s="224" t="n">
        <v>0</v>
      </c>
      <c r="Y49" s="224" t="n">
        <v>0</v>
      </c>
      <c r="Z49" s="224" t="n">
        <v>0</v>
      </c>
      <c r="AA49" s="224" t="n">
        <v>0</v>
      </c>
      <c r="AB49" s="224" t="n">
        <v>0</v>
      </c>
      <c r="AC49" s="229" t="n">
        <v>0</v>
      </c>
      <c r="AD49" s="224" t="n">
        <v>0</v>
      </c>
      <c r="AE49" s="224" t="n">
        <v>0</v>
      </c>
      <c r="AF49" s="224" t="n">
        <v>0</v>
      </c>
      <c r="AG49" s="224" t="n">
        <v>0</v>
      </c>
      <c r="AH49" s="230" t="n">
        <v>0</v>
      </c>
      <c r="AI49" s="224" t="n">
        <v>0</v>
      </c>
      <c r="AJ49" s="224" t="n">
        <v>0</v>
      </c>
      <c r="AK49" s="231" t="n">
        <v>0</v>
      </c>
      <c r="AL49" s="232" t="n">
        <v>0</v>
      </c>
      <c r="AM49" s="224" t="n">
        <v>269509.5</v>
      </c>
      <c r="AN49" s="225" t="n">
        <v>0</v>
      </c>
      <c r="AO49" s="232" t="n">
        <v>0</v>
      </c>
      <c r="AP49" s="224" t="n">
        <v>385548.3125</v>
      </c>
      <c r="AQ49" s="233" t="n">
        <v>1</v>
      </c>
      <c r="AR49" s="224" t="n">
        <v>0</v>
      </c>
      <c r="AS49" s="224" t="n">
        <v>3.9</v>
      </c>
      <c r="AT49" s="224" t="n">
        <v>0</v>
      </c>
      <c r="AU49" s="224" t="n">
        <v>0</v>
      </c>
      <c r="AV49" s="224" t="n">
        <v>0</v>
      </c>
      <c r="AW49" s="224" t="n">
        <v>0</v>
      </c>
      <c r="AX49" s="224" t="n">
        <v>65035.12</v>
      </c>
      <c r="AY49" s="224" t="n">
        <v>0</v>
      </c>
      <c r="AZ49" s="224" t="n">
        <v>-65035.12</v>
      </c>
      <c r="BA49" s="224" t="n">
        <v>0</v>
      </c>
      <c r="BB49" s="224" t="n">
        <v>3.9</v>
      </c>
      <c r="BC49" s="224" t="n">
        <v>3.7</v>
      </c>
      <c r="BD49" s="224" t="n">
        <v>0</v>
      </c>
      <c r="BE49" s="224" t="n">
        <v>0</v>
      </c>
      <c r="BF49" s="224" t="n">
        <v>0</v>
      </c>
      <c r="BG49" s="224" t="n">
        <v>0</v>
      </c>
      <c r="BH49" s="224" t="n">
        <v>65035.12</v>
      </c>
      <c r="BI49" s="224" t="n">
        <v>0</v>
      </c>
      <c r="BJ49" s="224" t="n">
        <v>-65035.12</v>
      </c>
      <c r="BK49" s="224" t="n">
        <v>0</v>
      </c>
      <c r="BL49" s="224" t="n">
        <v>385548.3125</v>
      </c>
      <c r="BM49" s="224" t="s">
        <v>398</v>
      </c>
      <c r="BN49" s="224" t="n">
        <v>0</v>
      </c>
      <c r="BO49" s="234" t="b">
        <f aca="false">FALSE()</f>
        <v>0</v>
      </c>
      <c r="BP49" s="234" t="n">
        <v>0</v>
      </c>
      <c r="BQ49" s="226" t="n">
        <v>0</v>
      </c>
      <c r="BR49" s="225" t="n">
        <v>0</v>
      </c>
      <c r="BS49" s="236" t="n">
        <v>76</v>
      </c>
      <c r="BT49" s="225" t="n">
        <v>0</v>
      </c>
      <c r="BU49" s="237" t="n">
        <v>0</v>
      </c>
      <c r="BV49" s="225" t="n">
        <v>13</v>
      </c>
      <c r="BW49" s="238" t="n">
        <v>3.9</v>
      </c>
      <c r="BX49" s="238" t="n">
        <v>0</v>
      </c>
      <c r="BY49" s="234" t="n">
        <v>0</v>
      </c>
      <c r="BZ49" s="234" t="n">
        <v>0</v>
      </c>
      <c r="CA49" s="234" t="n">
        <v>0</v>
      </c>
      <c r="CB49" s="234" t="n">
        <v>-334544.62</v>
      </c>
      <c r="CC49" s="234" t="n">
        <v>0</v>
      </c>
      <c r="CD49" s="234" t="n">
        <v>0</v>
      </c>
      <c r="CE49" s="234" t="n">
        <v>0</v>
      </c>
      <c r="CF49" s="234" t="n">
        <v>0</v>
      </c>
      <c r="CG49" s="234" t="n">
        <v>0</v>
      </c>
      <c r="CH49" s="234" t="n">
        <v>0</v>
      </c>
      <c r="CI49" s="234" t="n">
        <v>0</v>
      </c>
      <c r="CJ49" s="234" t="n">
        <v>0</v>
      </c>
      <c r="CK49" s="225" t="n">
        <v>0</v>
      </c>
      <c r="CL49" s="225" t="n">
        <v>0</v>
      </c>
    </row>
    <row r="50" customFormat="false" ht="15.75" hidden="false" customHeight="false" outlineLevel="3" collapsed="false">
      <c r="A50" s="52" t="s">
        <v>438</v>
      </c>
      <c r="B50" s="52" t="s">
        <v>475</v>
      </c>
      <c r="C50" s="52" t="s">
        <v>460</v>
      </c>
      <c r="D50" s="52" t="s">
        <v>461</v>
      </c>
      <c r="E50" s="52" t="s">
        <v>502</v>
      </c>
      <c r="F50" s="52" t="s">
        <v>457</v>
      </c>
      <c r="G50" s="52" t="s">
        <v>484</v>
      </c>
      <c r="H50" s="52" t="s">
        <v>396</v>
      </c>
      <c r="I50" s="221" t="s">
        <v>384</v>
      </c>
      <c r="J50" s="223" t="n">
        <v>0</v>
      </c>
      <c r="K50" s="223" t="n">
        <v>0</v>
      </c>
      <c r="L50" s="225" t="n">
        <v>0</v>
      </c>
      <c r="M50" s="225" t="n">
        <v>0</v>
      </c>
      <c r="N50" s="225" t="n">
        <v>1</v>
      </c>
      <c r="O50" s="224" t="n">
        <v>5.4</v>
      </c>
      <c r="P50" s="226" t="n">
        <v>5.25</v>
      </c>
      <c r="Q50" s="226" t="n">
        <v>0.15</v>
      </c>
      <c r="R50" s="227" t="s">
        <v>408</v>
      </c>
      <c r="S50" s="228" t="n">
        <v>0.6</v>
      </c>
      <c r="T50" s="227" t="s">
        <v>397</v>
      </c>
      <c r="U50" s="229" t="n">
        <v>0</v>
      </c>
      <c r="V50" s="224" t="s">
        <v>385</v>
      </c>
      <c r="W50" s="224" t="n">
        <v>0</v>
      </c>
      <c r="X50" s="224" t="n">
        <v>0</v>
      </c>
      <c r="Y50" s="224" t="n">
        <v>0</v>
      </c>
      <c r="Z50" s="224" t="n">
        <v>0</v>
      </c>
      <c r="AA50" s="224" t="n">
        <v>0</v>
      </c>
      <c r="AB50" s="224" t="n">
        <v>0</v>
      </c>
      <c r="AC50" s="229" t="n">
        <v>0</v>
      </c>
      <c r="AD50" s="224" t="n">
        <v>0</v>
      </c>
      <c r="AE50" s="224" t="n">
        <v>0</v>
      </c>
      <c r="AF50" s="224" t="n">
        <v>0</v>
      </c>
      <c r="AG50" s="224" t="n">
        <v>0</v>
      </c>
      <c r="AH50" s="230" t="n">
        <v>0</v>
      </c>
      <c r="AI50" s="224" t="n">
        <v>0</v>
      </c>
      <c r="AJ50" s="224" t="n">
        <v>0</v>
      </c>
      <c r="AK50" s="231" t="n">
        <v>0</v>
      </c>
      <c r="AL50" s="232" t="n">
        <v>0</v>
      </c>
      <c r="AM50" s="224" t="n">
        <v>79809.9750000001</v>
      </c>
      <c r="AN50" s="225" t="n">
        <v>0</v>
      </c>
      <c r="AO50" s="232" t="n">
        <v>0</v>
      </c>
      <c r="AP50" s="224" t="n">
        <v>403753.416</v>
      </c>
      <c r="AQ50" s="233" t="n">
        <v>1</v>
      </c>
      <c r="AR50" s="224" t="n">
        <v>0</v>
      </c>
      <c r="AS50" s="224" t="n">
        <v>5.4</v>
      </c>
      <c r="AT50" s="224" t="n">
        <v>0</v>
      </c>
      <c r="AU50" s="224" t="n">
        <v>0</v>
      </c>
      <c r="AV50" s="224" t="n">
        <v>0</v>
      </c>
      <c r="AW50" s="224" t="n">
        <v>0</v>
      </c>
      <c r="AX50" s="224" t="n">
        <v>1259.32500000036</v>
      </c>
      <c r="AY50" s="224" t="n">
        <v>0</v>
      </c>
      <c r="AZ50" s="224" t="n">
        <v>-1259.32500000036</v>
      </c>
      <c r="BA50" s="224" t="n">
        <v>0</v>
      </c>
      <c r="BB50" s="224" t="n">
        <v>5.4</v>
      </c>
      <c r="BC50" s="224" t="n">
        <v>5.25</v>
      </c>
      <c r="BD50" s="224" t="n">
        <v>0</v>
      </c>
      <c r="BE50" s="224" t="n">
        <v>0</v>
      </c>
      <c r="BF50" s="224" t="n">
        <v>0</v>
      </c>
      <c r="BG50" s="224" t="n">
        <v>0</v>
      </c>
      <c r="BH50" s="224" t="n">
        <v>1259.32500000036</v>
      </c>
      <c r="BI50" s="224" t="n">
        <v>0</v>
      </c>
      <c r="BJ50" s="224" t="n">
        <v>-1259.32500000036</v>
      </c>
      <c r="BK50" s="224" t="n">
        <v>0</v>
      </c>
      <c r="BL50" s="224" t="n">
        <v>403753.416</v>
      </c>
      <c r="BM50" s="224" t="s">
        <v>398</v>
      </c>
      <c r="BN50" s="224" t="n">
        <v>0</v>
      </c>
      <c r="BO50" s="234" t="b">
        <f aca="false">FALSE()</f>
        <v>0</v>
      </c>
      <c r="BP50" s="234" t="n">
        <v>0</v>
      </c>
      <c r="BQ50" s="226" t="n">
        <v>0</v>
      </c>
      <c r="BR50" s="225" t="n">
        <v>532660</v>
      </c>
      <c r="BS50" s="236" t="n">
        <v>76</v>
      </c>
      <c r="BT50" s="225" t="n">
        <v>0</v>
      </c>
      <c r="BU50" s="237" t="n">
        <v>0</v>
      </c>
      <c r="BV50" s="225" t="n">
        <v>14</v>
      </c>
      <c r="BW50" s="238" t="n">
        <v>5.4</v>
      </c>
      <c r="BX50" s="238" t="n">
        <v>0</v>
      </c>
      <c r="BY50" s="234" t="n">
        <v>0</v>
      </c>
      <c r="BZ50" s="234" t="n">
        <v>0</v>
      </c>
      <c r="CA50" s="234" t="n">
        <v>0</v>
      </c>
      <c r="CB50" s="234" t="n">
        <v>-81069.3</v>
      </c>
      <c r="CC50" s="234" t="n">
        <v>0</v>
      </c>
      <c r="CD50" s="234" t="n">
        <v>0</v>
      </c>
      <c r="CE50" s="234" t="n">
        <v>0</v>
      </c>
      <c r="CF50" s="234" t="n">
        <v>0</v>
      </c>
      <c r="CG50" s="234" t="n">
        <v>0</v>
      </c>
      <c r="CH50" s="234" t="n">
        <v>0</v>
      </c>
      <c r="CI50" s="234" t="n">
        <v>0</v>
      </c>
      <c r="CJ50" s="234" t="n">
        <v>0</v>
      </c>
      <c r="CK50" s="225" t="n">
        <v>0</v>
      </c>
      <c r="CL50" s="225" t="n">
        <v>0</v>
      </c>
    </row>
    <row r="51" customFormat="false" ht="15.75" hidden="false" customHeight="false" outlineLevel="3" collapsed="false">
      <c r="A51" s="52" t="s">
        <v>438</v>
      </c>
      <c r="B51" s="52" t="s">
        <v>475</v>
      </c>
      <c r="C51" s="52" t="s">
        <v>503</v>
      </c>
      <c r="D51" s="52" t="s">
        <v>504</v>
      </c>
      <c r="E51" s="52" t="s">
        <v>505</v>
      </c>
      <c r="F51" s="52" t="s">
        <v>506</v>
      </c>
      <c r="G51" s="52" t="s">
        <v>507</v>
      </c>
      <c r="H51" s="52" t="s">
        <v>396</v>
      </c>
      <c r="I51" s="221" t="s">
        <v>384</v>
      </c>
      <c r="J51" s="223" t="n">
        <v>1342889</v>
      </c>
      <c r="K51" s="223" t="n">
        <v>1342889</v>
      </c>
      <c r="L51" s="225" t="n">
        <v>0</v>
      </c>
      <c r="M51" s="225" t="n">
        <v>0.03</v>
      </c>
      <c r="N51" s="225" t="n">
        <v>1</v>
      </c>
      <c r="O51" s="224" t="n">
        <v>7.72</v>
      </c>
      <c r="P51" s="226" t="n">
        <v>7.25</v>
      </c>
      <c r="Q51" s="226" t="n">
        <v>0.47</v>
      </c>
      <c r="R51" s="227" t="n">
        <v>0</v>
      </c>
      <c r="S51" s="228" t="n">
        <v>1</v>
      </c>
      <c r="T51" s="227" t="n">
        <v>0</v>
      </c>
      <c r="U51" s="229" t="n">
        <v>10367103.08</v>
      </c>
      <c r="V51" s="224" t="s">
        <v>385</v>
      </c>
      <c r="W51" s="224" t="n">
        <v>311013.0924</v>
      </c>
      <c r="X51" s="224" t="n">
        <v>0</v>
      </c>
      <c r="Y51" s="224" t="n">
        <v>311013.0924</v>
      </c>
      <c r="Z51" s="224" t="n">
        <v>0</v>
      </c>
      <c r="AA51" s="224" t="n">
        <v>0</v>
      </c>
      <c r="AB51" s="224" t="n">
        <v>0</v>
      </c>
      <c r="AC51" s="229" t="n">
        <v>9735945.25</v>
      </c>
      <c r="AD51" s="224" t="n">
        <v>631157.83</v>
      </c>
      <c r="AE51" s="224" t="n">
        <v>0</v>
      </c>
      <c r="AF51" s="224" t="n">
        <v>-631157.83</v>
      </c>
      <c r="AG51" s="224" t="n">
        <v>0</v>
      </c>
      <c r="AH51" s="230" t="n">
        <v>-18773588.22</v>
      </c>
      <c r="AI51" s="224" t="n">
        <v>0</v>
      </c>
      <c r="AJ51" s="224" t="n">
        <v>18773588.22</v>
      </c>
      <c r="AK51" s="231" t="n">
        <v>0</v>
      </c>
      <c r="AL51" s="232" t="n">
        <v>0</v>
      </c>
      <c r="AM51" s="224" t="n">
        <v>23102683.5</v>
      </c>
      <c r="AN51" s="225" t="n">
        <v>0</v>
      </c>
      <c r="AO51" s="232" t="n">
        <v>0</v>
      </c>
      <c r="AP51" s="224" t="n">
        <v>0</v>
      </c>
      <c r="AQ51" s="233" t="n">
        <v>1</v>
      </c>
      <c r="AR51" s="224" t="n">
        <v>10367103.08</v>
      </c>
      <c r="AS51" s="224" t="n">
        <v>7.72</v>
      </c>
      <c r="AT51" s="224" t="n">
        <v>-308864.47</v>
      </c>
      <c r="AU51" s="224" t="n">
        <v>0</v>
      </c>
      <c r="AV51" s="224" t="n">
        <v>308864.47</v>
      </c>
      <c r="AW51" s="224" t="n">
        <v>0</v>
      </c>
      <c r="AX51" s="224" t="n">
        <v>-12735580.42</v>
      </c>
      <c r="AY51" s="224" t="n">
        <v>0</v>
      </c>
      <c r="AZ51" s="224" t="n">
        <v>12735580.42</v>
      </c>
      <c r="BA51" s="224" t="n">
        <v>0</v>
      </c>
      <c r="BB51" s="224" t="n">
        <v>7.72</v>
      </c>
      <c r="BC51" s="224" t="n">
        <v>7.25</v>
      </c>
      <c r="BD51" s="224" t="n">
        <v>-940022.3</v>
      </c>
      <c r="BE51" s="224" t="n">
        <v>0</v>
      </c>
      <c r="BF51" s="224" t="n">
        <v>940022.3</v>
      </c>
      <c r="BG51" s="224" t="n">
        <v>0</v>
      </c>
      <c r="BH51" s="224" t="n">
        <v>-13366738.25</v>
      </c>
      <c r="BI51" s="224" t="n">
        <v>0</v>
      </c>
      <c r="BJ51" s="224" t="n">
        <v>13366738.25</v>
      </c>
      <c r="BK51" s="224" t="n">
        <v>0</v>
      </c>
      <c r="BL51" s="224" t="n">
        <v>0</v>
      </c>
      <c r="BM51" s="224" t="s">
        <v>398</v>
      </c>
      <c r="BN51" s="224" t="n">
        <v>0</v>
      </c>
      <c r="BO51" s="234" t="b">
        <f aca="false">FALSE()</f>
        <v>0</v>
      </c>
      <c r="BP51" s="234" t="n">
        <v>19404746.05</v>
      </c>
      <c r="BQ51" s="226" t="n">
        <v>0</v>
      </c>
      <c r="BR51" s="225" t="n">
        <v>30000000</v>
      </c>
      <c r="BS51" s="236" t="n">
        <v>76</v>
      </c>
      <c r="BT51" s="225" t="n">
        <v>631157.83</v>
      </c>
      <c r="BU51" s="237" t="n">
        <v>1342889</v>
      </c>
      <c r="BV51" s="225" t="n">
        <v>37</v>
      </c>
      <c r="BW51" s="238" t="n">
        <v>7.72</v>
      </c>
      <c r="BX51" s="238" t="n">
        <v>0</v>
      </c>
      <c r="BY51" s="234" t="n">
        <v>0</v>
      </c>
      <c r="BZ51" s="234" t="n">
        <v>0</v>
      </c>
      <c r="CA51" s="234" t="n">
        <v>0</v>
      </c>
      <c r="CB51" s="234" t="n">
        <v>0</v>
      </c>
      <c r="CC51" s="234" t="n">
        <v>0</v>
      </c>
      <c r="CD51" s="234" t="n">
        <v>0</v>
      </c>
      <c r="CE51" s="234" t="n">
        <v>0</v>
      </c>
      <c r="CF51" s="234" t="n">
        <v>0</v>
      </c>
      <c r="CG51" s="234" t="n">
        <v>-19404746.05</v>
      </c>
      <c r="CH51" s="234" t="n">
        <v>0</v>
      </c>
      <c r="CI51" s="234" t="n">
        <v>19404746.05</v>
      </c>
      <c r="CJ51" s="234" t="n">
        <v>0</v>
      </c>
      <c r="CK51" s="225" t="n">
        <v>0.03</v>
      </c>
      <c r="CL51" s="225" t="n">
        <v>0</v>
      </c>
    </row>
    <row r="52" customFormat="false" ht="20.1" hidden="false" customHeight="true" outlineLevel="2" collapsed="false">
      <c r="A52" s="240" t="s">
        <v>445</v>
      </c>
      <c r="B52" s="240"/>
      <c r="C52" s="240"/>
      <c r="D52" s="240"/>
      <c r="E52" s="240"/>
      <c r="F52" s="240"/>
      <c r="G52" s="240"/>
      <c r="H52" s="240"/>
      <c r="I52" s="241"/>
      <c r="J52" s="243"/>
      <c r="K52" s="243"/>
      <c r="L52" s="245"/>
      <c r="M52" s="245"/>
      <c r="N52" s="245"/>
      <c r="O52" s="244"/>
      <c r="P52" s="246"/>
      <c r="Q52" s="246"/>
      <c r="R52" s="247" t="n">
        <v>0</v>
      </c>
      <c r="S52" s="248" t="n">
        <v>2.1</v>
      </c>
      <c r="T52" s="247" t="n">
        <v>0</v>
      </c>
      <c r="U52" s="249" t="n">
        <v>10367103.08</v>
      </c>
      <c r="V52" s="244"/>
      <c r="W52" s="244" t="n">
        <v>311013.0924</v>
      </c>
      <c r="X52" s="244" t="n">
        <v>0</v>
      </c>
      <c r="Y52" s="244" t="n">
        <v>311013.0924</v>
      </c>
      <c r="Z52" s="244" t="n">
        <v>0</v>
      </c>
      <c r="AA52" s="244" t="n">
        <v>0</v>
      </c>
      <c r="AB52" s="244" t="n">
        <v>0</v>
      </c>
      <c r="AC52" s="249" t="n">
        <v>9735945.25</v>
      </c>
      <c r="AD52" s="244" t="n">
        <v>631157.83</v>
      </c>
      <c r="AE52" s="244" t="n">
        <v>0</v>
      </c>
      <c r="AF52" s="244" t="n">
        <v>-631157.83</v>
      </c>
      <c r="AG52" s="244" t="n">
        <v>0</v>
      </c>
      <c r="AH52" s="250" t="n">
        <v>-18773588.22</v>
      </c>
      <c r="AI52" s="244" t="n">
        <v>0</v>
      </c>
      <c r="AJ52" s="244" t="n">
        <v>18773588.22</v>
      </c>
      <c r="AK52" s="251" t="n">
        <v>0</v>
      </c>
      <c r="AL52" s="252"/>
      <c r="AM52" s="244" t="n">
        <v>23452002.975</v>
      </c>
      <c r="AN52" s="245"/>
      <c r="AO52" s="252"/>
      <c r="AP52" s="244" t="n">
        <v>789301.7285</v>
      </c>
      <c r="AQ52" s="253"/>
      <c r="AR52" s="244"/>
      <c r="AS52" s="244"/>
      <c r="AT52" s="244" t="n">
        <v>-308864.47</v>
      </c>
      <c r="AU52" s="244" t="n">
        <v>0</v>
      </c>
      <c r="AV52" s="244" t="n">
        <v>308864.47</v>
      </c>
      <c r="AW52" s="244" t="n">
        <v>0</v>
      </c>
      <c r="AX52" s="244" t="n">
        <v>-12669285.975</v>
      </c>
      <c r="AY52" s="244" t="n">
        <v>0</v>
      </c>
      <c r="AZ52" s="244" t="n">
        <v>12669285.975</v>
      </c>
      <c r="BA52" s="244" t="n">
        <v>0</v>
      </c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4"/>
      <c r="BM52" s="244"/>
      <c r="BN52" s="244"/>
      <c r="BO52" s="244"/>
      <c r="BP52" s="244"/>
      <c r="BQ52" s="246"/>
      <c r="BR52" s="245"/>
      <c r="BS52" s="255"/>
      <c r="BT52" s="245"/>
      <c r="BU52" s="256"/>
      <c r="BV52" s="245"/>
      <c r="BW52" s="257"/>
      <c r="BX52" s="257"/>
      <c r="BY52" s="244"/>
      <c r="BZ52" s="244"/>
      <c r="CA52" s="244" t="n">
        <v>0</v>
      </c>
      <c r="CB52" s="244"/>
      <c r="CC52" s="244"/>
      <c r="CD52" s="244"/>
      <c r="CE52" s="244"/>
      <c r="CF52" s="244"/>
      <c r="CG52" s="244"/>
      <c r="CH52" s="244"/>
      <c r="CI52" s="244"/>
      <c r="CJ52" s="244"/>
      <c r="CK52" s="245"/>
      <c r="CL52" s="245"/>
    </row>
    <row r="53" customFormat="false" ht="15.75" hidden="false" customHeight="false" outlineLevel="3" collapsed="false">
      <c r="A53" s="52" t="s">
        <v>508</v>
      </c>
      <c r="B53" s="52" t="s">
        <v>475</v>
      </c>
      <c r="C53" s="52" t="s">
        <v>509</v>
      </c>
      <c r="D53" s="52" t="s">
        <v>510</v>
      </c>
      <c r="E53" s="52" t="s">
        <v>511</v>
      </c>
      <c r="F53" s="52" t="s">
        <v>381</v>
      </c>
      <c r="G53" s="52" t="s">
        <v>484</v>
      </c>
      <c r="H53" s="52" t="s">
        <v>383</v>
      </c>
      <c r="I53" s="221" t="s">
        <v>463</v>
      </c>
      <c r="J53" s="223" t="n">
        <v>1</v>
      </c>
      <c r="K53" s="223" t="n">
        <v>1</v>
      </c>
      <c r="L53" s="225" t="n">
        <v>0</v>
      </c>
      <c r="M53" s="225" t="n">
        <v>0</v>
      </c>
      <c r="N53" s="225" t="n">
        <v>0</v>
      </c>
      <c r="O53" s="224" t="n">
        <v>0</v>
      </c>
      <c r="P53" s="225" t="n">
        <v>0</v>
      </c>
      <c r="Q53" s="225" t="n">
        <v>0</v>
      </c>
      <c r="R53" s="227" t="n">
        <v>0</v>
      </c>
      <c r="S53" s="273" t="n">
        <v>1</v>
      </c>
      <c r="T53" s="227" t="s">
        <v>397</v>
      </c>
      <c r="U53" s="229" t="n">
        <v>0</v>
      </c>
      <c r="V53" s="224" t="s">
        <v>385</v>
      </c>
      <c r="W53" s="224" t="n">
        <v>0</v>
      </c>
      <c r="X53" s="224" t="n">
        <v>0</v>
      </c>
      <c r="Y53" s="224" t="n">
        <v>0</v>
      </c>
      <c r="Z53" s="224" t="n">
        <v>0</v>
      </c>
      <c r="AA53" s="224" t="n">
        <v>0</v>
      </c>
      <c r="AB53" s="224" t="n">
        <v>0</v>
      </c>
      <c r="AC53" s="229" t="n">
        <v>0</v>
      </c>
      <c r="AD53" s="224" t="n">
        <v>0</v>
      </c>
      <c r="AE53" s="224" t="n">
        <v>0</v>
      </c>
      <c r="AF53" s="224" t="n">
        <v>0</v>
      </c>
      <c r="AG53" s="224" t="n">
        <v>0</v>
      </c>
      <c r="AH53" s="230" t="n">
        <v>0</v>
      </c>
      <c r="AI53" s="224" t="n">
        <v>0</v>
      </c>
      <c r="AJ53" s="224" t="n">
        <v>0</v>
      </c>
      <c r="AK53" s="231" t="n">
        <v>0</v>
      </c>
      <c r="AL53" s="232" t="n">
        <v>0</v>
      </c>
      <c r="AM53" s="224" t="n">
        <v>0</v>
      </c>
      <c r="AN53" s="225" t="n">
        <v>0</v>
      </c>
      <c r="AO53" s="232" t="n">
        <v>0</v>
      </c>
      <c r="AP53" s="224" t="n">
        <v>0</v>
      </c>
      <c r="AQ53" s="233" t="n">
        <v>1</v>
      </c>
      <c r="AR53" s="224" t="n">
        <v>0</v>
      </c>
      <c r="AS53" s="224" t="n">
        <v>0</v>
      </c>
      <c r="AT53" s="224" t="n">
        <v>0</v>
      </c>
      <c r="AU53" s="224" t="n">
        <v>0</v>
      </c>
      <c r="AV53" s="224" t="n">
        <v>0</v>
      </c>
      <c r="AW53" s="224" t="n">
        <v>0</v>
      </c>
      <c r="AX53" s="224" t="n">
        <v>0</v>
      </c>
      <c r="AY53" s="224" t="n">
        <v>0</v>
      </c>
      <c r="AZ53" s="224" t="n">
        <v>0</v>
      </c>
      <c r="BA53" s="224" t="n">
        <v>0</v>
      </c>
      <c r="BB53" s="224" t="s">
        <v>381</v>
      </c>
      <c r="BC53" s="224" t="s">
        <v>381</v>
      </c>
      <c r="BD53" s="224" t="n">
        <v>0</v>
      </c>
      <c r="BE53" s="224" t="n">
        <v>0</v>
      </c>
      <c r="BF53" s="224" t="n">
        <v>0</v>
      </c>
      <c r="BG53" s="224" t="n">
        <v>0</v>
      </c>
      <c r="BH53" s="224" t="n">
        <v>0</v>
      </c>
      <c r="BI53" s="224" t="n">
        <v>0</v>
      </c>
      <c r="BJ53" s="224" t="n">
        <v>0</v>
      </c>
      <c r="BK53" s="224" t="n">
        <v>0</v>
      </c>
      <c r="BL53" s="224" t="n">
        <v>0</v>
      </c>
      <c r="BM53" s="224" t="s">
        <v>398</v>
      </c>
      <c r="BN53" s="224" t="n">
        <v>0</v>
      </c>
      <c r="BO53" s="234" t="b">
        <f aca="false">FALSE()</f>
        <v>0</v>
      </c>
      <c r="BP53" s="234" t="n">
        <v>0</v>
      </c>
      <c r="BQ53" s="226" t="n">
        <v>0</v>
      </c>
      <c r="BR53" s="225" t="n">
        <v>19785000</v>
      </c>
      <c r="BS53" s="236" t="n">
        <v>84</v>
      </c>
      <c r="BT53" s="225" t="n">
        <v>0</v>
      </c>
      <c r="BU53" s="237" t="n">
        <v>0</v>
      </c>
      <c r="BV53" s="225" t="n">
        <v>267</v>
      </c>
      <c r="BW53" s="238" t="n">
        <v>0</v>
      </c>
      <c r="BX53" s="238" t="n">
        <v>0</v>
      </c>
      <c r="BY53" s="234" t="n">
        <v>0</v>
      </c>
      <c r="BZ53" s="234" t="n">
        <v>0</v>
      </c>
      <c r="CA53" s="234" t="n">
        <v>0</v>
      </c>
      <c r="CB53" s="234" t="n">
        <v>0</v>
      </c>
      <c r="CC53" s="234" t="n">
        <v>0</v>
      </c>
      <c r="CD53" s="234" t="n">
        <v>0</v>
      </c>
      <c r="CE53" s="234" t="n">
        <v>0</v>
      </c>
      <c r="CF53" s="234" t="n">
        <v>0</v>
      </c>
      <c r="CG53" s="234" t="n">
        <v>0</v>
      </c>
      <c r="CH53" s="234" t="n">
        <v>0</v>
      </c>
      <c r="CI53" s="234" t="n">
        <v>0</v>
      </c>
      <c r="CJ53" s="234" t="n">
        <v>0</v>
      </c>
      <c r="CK53" s="225" t="n">
        <v>0</v>
      </c>
      <c r="CL53" s="225" t="n">
        <v>0</v>
      </c>
    </row>
    <row r="54" customFormat="false" ht="15.75" hidden="false" customHeight="false" outlineLevel="3" collapsed="false">
      <c r="A54" s="52" t="s">
        <v>508</v>
      </c>
      <c r="B54" s="52" t="s">
        <v>475</v>
      </c>
      <c r="C54" s="52" t="s">
        <v>460</v>
      </c>
      <c r="D54" s="52" t="s">
        <v>461</v>
      </c>
      <c r="E54" s="52" t="s">
        <v>512</v>
      </c>
      <c r="F54" s="52" t="s">
        <v>381</v>
      </c>
      <c r="G54" s="52" t="s">
        <v>484</v>
      </c>
      <c r="H54" s="52" t="s">
        <v>383</v>
      </c>
      <c r="I54" s="221" t="s">
        <v>463</v>
      </c>
      <c r="J54" s="223" t="n">
        <v>1</v>
      </c>
      <c r="K54" s="223" t="n">
        <v>1</v>
      </c>
      <c r="L54" s="225" t="n">
        <v>0</v>
      </c>
      <c r="M54" s="225" t="n">
        <v>0</v>
      </c>
      <c r="N54" s="225" t="n">
        <v>0</v>
      </c>
      <c r="O54" s="224" t="n">
        <v>0</v>
      </c>
      <c r="P54" s="225" t="n">
        <v>0</v>
      </c>
      <c r="Q54" s="225" t="n">
        <v>0</v>
      </c>
      <c r="R54" s="227" t="s">
        <v>413</v>
      </c>
      <c r="S54" s="273" t="n">
        <v>0.75</v>
      </c>
      <c r="T54" s="227" t="s">
        <v>397</v>
      </c>
      <c r="U54" s="229" t="n">
        <v>0</v>
      </c>
      <c r="V54" s="224" t="s">
        <v>385</v>
      </c>
      <c r="W54" s="224" t="n">
        <v>0</v>
      </c>
      <c r="X54" s="224" t="n">
        <v>0</v>
      </c>
      <c r="Y54" s="224" t="n">
        <v>0</v>
      </c>
      <c r="Z54" s="224" t="n">
        <v>0</v>
      </c>
      <c r="AA54" s="224" t="n">
        <v>0</v>
      </c>
      <c r="AB54" s="224" t="n">
        <v>0</v>
      </c>
      <c r="AC54" s="229" t="n">
        <v>0</v>
      </c>
      <c r="AD54" s="224" t="n">
        <v>0</v>
      </c>
      <c r="AE54" s="224" t="n">
        <v>0</v>
      </c>
      <c r="AF54" s="224" t="n">
        <v>0</v>
      </c>
      <c r="AG54" s="224" t="n">
        <v>0</v>
      </c>
      <c r="AH54" s="230" t="n">
        <v>0</v>
      </c>
      <c r="AI54" s="224" t="n">
        <v>0</v>
      </c>
      <c r="AJ54" s="224" t="n">
        <v>0</v>
      </c>
      <c r="AK54" s="231" t="n">
        <v>0</v>
      </c>
      <c r="AL54" s="232" t="n">
        <v>0</v>
      </c>
      <c r="AM54" s="224" t="n">
        <v>2013591.65998389</v>
      </c>
      <c r="AN54" s="225" t="n">
        <v>0</v>
      </c>
      <c r="AO54" s="232" t="n">
        <v>0</v>
      </c>
      <c r="AP54" s="224" t="n">
        <v>0</v>
      </c>
      <c r="AQ54" s="233" t="n">
        <v>1</v>
      </c>
      <c r="AR54" s="224" t="n">
        <v>0</v>
      </c>
      <c r="AS54" s="224" t="n">
        <v>0</v>
      </c>
      <c r="AT54" s="224" t="n">
        <v>0</v>
      </c>
      <c r="AU54" s="224" t="n">
        <v>0</v>
      </c>
      <c r="AV54" s="224" t="n">
        <v>0</v>
      </c>
      <c r="AW54" s="224" t="n">
        <v>0</v>
      </c>
      <c r="AX54" s="224" t="n">
        <v>-2013591.65998389</v>
      </c>
      <c r="AY54" s="224" t="n">
        <v>0</v>
      </c>
      <c r="AZ54" s="224" t="n">
        <v>2013591.65998389</v>
      </c>
      <c r="BA54" s="224" t="n">
        <v>0</v>
      </c>
      <c r="BB54" s="224" t="s">
        <v>381</v>
      </c>
      <c r="BC54" s="224" t="s">
        <v>381</v>
      </c>
      <c r="BD54" s="224" t="n">
        <v>0</v>
      </c>
      <c r="BE54" s="224" t="n">
        <v>0</v>
      </c>
      <c r="BF54" s="224" t="n">
        <v>0</v>
      </c>
      <c r="BG54" s="224" t="n">
        <v>0</v>
      </c>
      <c r="BH54" s="224" t="n">
        <v>-2013591.65998389</v>
      </c>
      <c r="BI54" s="224" t="n">
        <v>0</v>
      </c>
      <c r="BJ54" s="224" t="n">
        <v>2013591.65998389</v>
      </c>
      <c r="BK54" s="224" t="n">
        <v>0</v>
      </c>
      <c r="BL54" s="224" t="n">
        <v>0</v>
      </c>
      <c r="BM54" s="224" t="s">
        <v>398</v>
      </c>
      <c r="BN54" s="224" t="n">
        <v>0</v>
      </c>
      <c r="BO54" s="234" t="b">
        <f aca="false">FALSE()</f>
        <v>0</v>
      </c>
      <c r="BP54" s="234" t="n">
        <v>0</v>
      </c>
      <c r="BQ54" s="226" t="n">
        <v>0</v>
      </c>
      <c r="BR54" s="225" t="n">
        <v>0</v>
      </c>
      <c r="BS54" s="236" t="n">
        <v>84</v>
      </c>
      <c r="BT54" s="225" t="n">
        <v>0</v>
      </c>
      <c r="BU54" s="237" t="n">
        <v>0</v>
      </c>
      <c r="BV54" s="225" t="n">
        <v>268</v>
      </c>
      <c r="BW54" s="238" t="n">
        <v>0</v>
      </c>
      <c r="BX54" s="238" t="n">
        <v>0</v>
      </c>
      <c r="BY54" s="234" t="n">
        <v>0</v>
      </c>
      <c r="BZ54" s="234" t="n">
        <v>0</v>
      </c>
      <c r="CA54" s="234" t="n">
        <v>0</v>
      </c>
      <c r="CB54" s="234" t="n">
        <v>0</v>
      </c>
      <c r="CC54" s="234" t="n">
        <v>0</v>
      </c>
      <c r="CD54" s="234" t="n">
        <v>0</v>
      </c>
      <c r="CE54" s="234" t="n">
        <v>0</v>
      </c>
      <c r="CF54" s="234" t="n">
        <v>0</v>
      </c>
      <c r="CG54" s="234" t="n">
        <v>0</v>
      </c>
      <c r="CH54" s="234" t="n">
        <v>0</v>
      </c>
      <c r="CI54" s="234" t="n">
        <v>0</v>
      </c>
      <c r="CJ54" s="234" t="n">
        <v>0</v>
      </c>
      <c r="CK54" s="225" t="n">
        <v>0</v>
      </c>
      <c r="CL54" s="225" t="n">
        <v>0</v>
      </c>
    </row>
    <row r="55" customFormat="false" ht="15.75" hidden="false" customHeight="false" outlineLevel="3" collapsed="false">
      <c r="A55" s="52" t="s">
        <v>508</v>
      </c>
      <c r="B55" s="52" t="s">
        <v>475</v>
      </c>
      <c r="C55" s="52" t="s">
        <v>513</v>
      </c>
      <c r="D55" s="52" t="s">
        <v>514</v>
      </c>
      <c r="E55" s="52" t="s">
        <v>515</v>
      </c>
      <c r="F55" s="52" t="s">
        <v>381</v>
      </c>
      <c r="G55" s="52" t="s">
        <v>516</v>
      </c>
      <c r="H55" s="52" t="s">
        <v>383</v>
      </c>
      <c r="I55" s="221" t="s">
        <v>463</v>
      </c>
      <c r="J55" s="223" t="n">
        <v>1</v>
      </c>
      <c r="K55" s="223" t="n">
        <v>1</v>
      </c>
      <c r="L55" s="225" t="n">
        <v>0</v>
      </c>
      <c r="M55" s="225" t="n">
        <v>0</v>
      </c>
      <c r="N55" s="225" t="n">
        <v>0</v>
      </c>
      <c r="O55" s="224" t="n">
        <v>0</v>
      </c>
      <c r="P55" s="225" t="n">
        <v>0</v>
      </c>
      <c r="Q55" s="225" t="n">
        <v>0</v>
      </c>
      <c r="R55" s="227" t="n">
        <v>0</v>
      </c>
      <c r="S55" s="273" t="n">
        <v>1</v>
      </c>
      <c r="T55" s="227" t="s">
        <v>397</v>
      </c>
      <c r="U55" s="229" t="n">
        <v>0</v>
      </c>
      <c r="V55" s="224" t="s">
        <v>385</v>
      </c>
      <c r="W55" s="224" t="n">
        <v>0</v>
      </c>
      <c r="X55" s="224" t="n">
        <v>0</v>
      </c>
      <c r="Y55" s="224" t="n">
        <v>0</v>
      </c>
      <c r="Z55" s="224" t="n">
        <v>0</v>
      </c>
      <c r="AA55" s="224" t="n">
        <v>0</v>
      </c>
      <c r="AB55" s="224" t="n">
        <v>0</v>
      </c>
      <c r="AC55" s="229" t="n">
        <v>0</v>
      </c>
      <c r="AD55" s="224" t="n">
        <v>0</v>
      </c>
      <c r="AE55" s="224" t="n">
        <v>0</v>
      </c>
      <c r="AF55" s="224" t="n">
        <v>0</v>
      </c>
      <c r="AG55" s="224" t="n">
        <v>0</v>
      </c>
      <c r="AH55" s="230" t="n">
        <v>0</v>
      </c>
      <c r="AI55" s="224" t="n">
        <v>0</v>
      </c>
      <c r="AJ55" s="224" t="n">
        <v>0</v>
      </c>
      <c r="AK55" s="231" t="n">
        <v>0</v>
      </c>
      <c r="AL55" s="232" t="n">
        <v>0</v>
      </c>
      <c r="AM55" s="224" t="n">
        <v>93746588.676478</v>
      </c>
      <c r="AN55" s="225" t="n">
        <v>0</v>
      </c>
      <c r="AO55" s="232" t="n">
        <v>0</v>
      </c>
      <c r="AP55" s="224" t="n">
        <v>0</v>
      </c>
      <c r="AQ55" s="233" t="n">
        <v>1</v>
      </c>
      <c r="AR55" s="224" t="n">
        <v>0</v>
      </c>
      <c r="AS55" s="224" t="n">
        <v>0</v>
      </c>
      <c r="AT55" s="224" t="n">
        <v>0</v>
      </c>
      <c r="AU55" s="224" t="n">
        <v>0</v>
      </c>
      <c r="AV55" s="224" t="n">
        <v>0</v>
      </c>
      <c r="AW55" s="224" t="n">
        <v>0</v>
      </c>
      <c r="AX55" s="224" t="n">
        <v>-93746588.676478</v>
      </c>
      <c r="AY55" s="224" t="n">
        <v>0</v>
      </c>
      <c r="AZ55" s="224" t="n">
        <v>93746588.676478</v>
      </c>
      <c r="BA55" s="224" t="n">
        <v>0</v>
      </c>
      <c r="BB55" s="224" t="s">
        <v>381</v>
      </c>
      <c r="BC55" s="224" t="s">
        <v>381</v>
      </c>
      <c r="BD55" s="224" t="n">
        <v>0</v>
      </c>
      <c r="BE55" s="224" t="n">
        <v>0</v>
      </c>
      <c r="BF55" s="224" t="n">
        <v>0</v>
      </c>
      <c r="BG55" s="224" t="n">
        <v>0</v>
      </c>
      <c r="BH55" s="224" t="n">
        <v>-93746588.676478</v>
      </c>
      <c r="BI55" s="224" t="n">
        <v>0</v>
      </c>
      <c r="BJ55" s="224" t="n">
        <v>93746588.676478</v>
      </c>
      <c r="BK55" s="224" t="n">
        <v>0</v>
      </c>
      <c r="BL55" s="224" t="n">
        <v>0</v>
      </c>
      <c r="BM55" s="224" t="s">
        <v>386</v>
      </c>
      <c r="BN55" s="224" t="n">
        <v>0</v>
      </c>
      <c r="BO55" s="234" t="b">
        <f aca="false">FALSE()</f>
        <v>0</v>
      </c>
      <c r="BP55" s="234" t="n">
        <v>0</v>
      </c>
      <c r="BQ55" s="226" t="n">
        <v>0</v>
      </c>
      <c r="BR55" s="225" t="n">
        <v>0</v>
      </c>
      <c r="BS55" s="236" t="n">
        <v>84</v>
      </c>
      <c r="BT55" s="225" t="n">
        <v>0</v>
      </c>
      <c r="BU55" s="237" t="n">
        <v>0</v>
      </c>
      <c r="BV55" s="225" t="n">
        <v>283</v>
      </c>
      <c r="BW55" s="238" t="n">
        <v>0</v>
      </c>
      <c r="BX55" s="238" t="n">
        <v>0</v>
      </c>
      <c r="BY55" s="234" t="n">
        <v>0</v>
      </c>
      <c r="BZ55" s="234" t="n">
        <v>0</v>
      </c>
      <c r="CA55" s="234" t="n">
        <v>0</v>
      </c>
      <c r="CB55" s="234" t="n">
        <v>0</v>
      </c>
      <c r="CC55" s="234" t="n">
        <v>0</v>
      </c>
      <c r="CD55" s="234" t="n">
        <v>0</v>
      </c>
      <c r="CE55" s="234" t="n">
        <v>0</v>
      </c>
      <c r="CF55" s="234" t="n">
        <v>0</v>
      </c>
      <c r="CG55" s="234" t="n">
        <v>0</v>
      </c>
      <c r="CH55" s="234" t="n">
        <v>0</v>
      </c>
      <c r="CI55" s="234" t="n">
        <v>0</v>
      </c>
      <c r="CJ55" s="234" t="n">
        <v>0</v>
      </c>
      <c r="CK55" s="225" t="n">
        <v>0</v>
      </c>
      <c r="CL55" s="225" t="n">
        <v>0</v>
      </c>
    </row>
    <row r="56" customFormat="false" ht="20.1" hidden="false" customHeight="true" outlineLevel="2" collapsed="false">
      <c r="A56" s="240" t="s">
        <v>517</v>
      </c>
      <c r="B56" s="240"/>
      <c r="C56" s="240"/>
      <c r="D56" s="240"/>
      <c r="E56" s="240"/>
      <c r="F56" s="240"/>
      <c r="G56" s="240"/>
      <c r="H56" s="240"/>
      <c r="I56" s="241"/>
      <c r="J56" s="243"/>
      <c r="K56" s="243"/>
      <c r="L56" s="245"/>
      <c r="M56" s="245"/>
      <c r="N56" s="245"/>
      <c r="O56" s="244"/>
      <c r="P56" s="245"/>
      <c r="Q56" s="245"/>
      <c r="R56" s="247" t="n">
        <v>0</v>
      </c>
      <c r="S56" s="274" t="n">
        <v>2.75</v>
      </c>
      <c r="T56" s="247" t="n">
        <v>0</v>
      </c>
      <c r="U56" s="249" t="n">
        <v>0</v>
      </c>
      <c r="V56" s="244"/>
      <c r="W56" s="244" t="n">
        <v>0</v>
      </c>
      <c r="X56" s="244" t="n">
        <v>0</v>
      </c>
      <c r="Y56" s="244" t="n">
        <v>0</v>
      </c>
      <c r="Z56" s="244" t="n">
        <v>0</v>
      </c>
      <c r="AA56" s="244" t="n">
        <v>0</v>
      </c>
      <c r="AB56" s="244" t="n">
        <v>0</v>
      </c>
      <c r="AC56" s="249" t="n">
        <v>0</v>
      </c>
      <c r="AD56" s="244" t="n">
        <v>0</v>
      </c>
      <c r="AE56" s="244" t="n">
        <v>0</v>
      </c>
      <c r="AF56" s="244" t="n">
        <v>0</v>
      </c>
      <c r="AG56" s="244" t="n">
        <v>0</v>
      </c>
      <c r="AH56" s="250" t="n">
        <v>0</v>
      </c>
      <c r="AI56" s="244" t="n">
        <v>0</v>
      </c>
      <c r="AJ56" s="244" t="n">
        <v>0</v>
      </c>
      <c r="AK56" s="251" t="n">
        <v>0</v>
      </c>
      <c r="AL56" s="252"/>
      <c r="AM56" s="244" t="n">
        <v>95760180.3364619</v>
      </c>
      <c r="AN56" s="245"/>
      <c r="AO56" s="252"/>
      <c r="AP56" s="244" t="n">
        <v>0</v>
      </c>
      <c r="AQ56" s="253"/>
      <c r="AR56" s="244"/>
      <c r="AS56" s="244"/>
      <c r="AT56" s="244" t="n">
        <v>0</v>
      </c>
      <c r="AU56" s="244" t="n">
        <v>0</v>
      </c>
      <c r="AV56" s="244" t="n">
        <v>0</v>
      </c>
      <c r="AW56" s="244" t="n">
        <v>0</v>
      </c>
      <c r="AX56" s="244" t="n">
        <v>-95760180.3364619</v>
      </c>
      <c r="AY56" s="244" t="n">
        <v>0</v>
      </c>
      <c r="AZ56" s="244" t="n">
        <v>95760180.3364619</v>
      </c>
      <c r="BA56" s="244" t="n">
        <v>0</v>
      </c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6"/>
      <c r="BR56" s="245"/>
      <c r="BS56" s="255"/>
      <c r="BT56" s="245"/>
      <c r="BU56" s="256"/>
      <c r="BV56" s="245"/>
      <c r="BW56" s="257"/>
      <c r="BX56" s="257"/>
      <c r="BY56" s="244"/>
      <c r="BZ56" s="244"/>
      <c r="CA56" s="244" t="n">
        <v>0</v>
      </c>
      <c r="CB56" s="244"/>
      <c r="CC56" s="244"/>
      <c r="CD56" s="244"/>
      <c r="CE56" s="244"/>
      <c r="CF56" s="244"/>
      <c r="CG56" s="244"/>
      <c r="CH56" s="244"/>
      <c r="CI56" s="244"/>
      <c r="CJ56" s="244"/>
      <c r="CK56" s="245"/>
      <c r="CL56" s="245"/>
    </row>
    <row r="57" customFormat="false" ht="15.75" hidden="false" customHeight="false" outlineLevel="3" collapsed="false">
      <c r="A57" s="52" t="s">
        <v>518</v>
      </c>
      <c r="B57" s="52" t="s">
        <v>475</v>
      </c>
      <c r="C57" s="52" t="s">
        <v>460</v>
      </c>
      <c r="D57" s="52" t="s">
        <v>461</v>
      </c>
      <c r="E57" s="52" t="s">
        <v>519</v>
      </c>
      <c r="F57" s="52" t="s">
        <v>381</v>
      </c>
      <c r="G57" s="52" t="s">
        <v>484</v>
      </c>
      <c r="H57" s="52" t="s">
        <v>383</v>
      </c>
      <c r="I57" s="221" t="s">
        <v>463</v>
      </c>
      <c r="J57" s="223" t="n">
        <v>1</v>
      </c>
      <c r="K57" s="223" t="n">
        <v>1</v>
      </c>
      <c r="L57" s="225" t="n">
        <v>0</v>
      </c>
      <c r="M57" s="225" t="n">
        <v>0</v>
      </c>
      <c r="N57" s="225" t="n">
        <v>0</v>
      </c>
      <c r="O57" s="224" t="n">
        <v>0</v>
      </c>
      <c r="P57" s="225" t="n">
        <v>0</v>
      </c>
      <c r="Q57" s="225" t="n">
        <v>0</v>
      </c>
      <c r="R57" s="227" t="n">
        <v>0</v>
      </c>
      <c r="S57" s="273" t="n">
        <v>1</v>
      </c>
      <c r="T57" s="227" t="s">
        <v>397</v>
      </c>
      <c r="U57" s="229" t="n">
        <v>0</v>
      </c>
      <c r="V57" s="224" t="s">
        <v>385</v>
      </c>
      <c r="W57" s="224" t="n">
        <v>0</v>
      </c>
      <c r="X57" s="224" t="n">
        <v>0</v>
      </c>
      <c r="Y57" s="224" t="n">
        <v>0</v>
      </c>
      <c r="Z57" s="224" t="n">
        <v>0</v>
      </c>
      <c r="AA57" s="224" t="n">
        <v>0</v>
      </c>
      <c r="AB57" s="224" t="n">
        <v>0</v>
      </c>
      <c r="AC57" s="229" t="n">
        <v>0</v>
      </c>
      <c r="AD57" s="224" t="n">
        <v>0</v>
      </c>
      <c r="AE57" s="224" t="n">
        <v>0</v>
      </c>
      <c r="AF57" s="224" t="n">
        <v>0</v>
      </c>
      <c r="AG57" s="224" t="n">
        <v>0</v>
      </c>
      <c r="AH57" s="230" t="n">
        <v>0</v>
      </c>
      <c r="AI57" s="224" t="n">
        <v>0</v>
      </c>
      <c r="AJ57" s="224" t="n">
        <v>0</v>
      </c>
      <c r="AK57" s="231" t="n">
        <v>0</v>
      </c>
      <c r="AL57" s="232" t="n">
        <v>0</v>
      </c>
      <c r="AM57" s="224" t="n">
        <v>1165662.43</v>
      </c>
      <c r="AN57" s="225" t="n">
        <v>0</v>
      </c>
      <c r="AO57" s="232" t="n">
        <v>0</v>
      </c>
      <c r="AP57" s="224" t="n">
        <v>0</v>
      </c>
      <c r="AQ57" s="233" t="n">
        <v>1</v>
      </c>
      <c r="AR57" s="224" t="n">
        <v>0</v>
      </c>
      <c r="AS57" s="224" t="n">
        <v>0</v>
      </c>
      <c r="AT57" s="224" t="n">
        <v>0</v>
      </c>
      <c r="AU57" s="224" t="n">
        <v>0</v>
      </c>
      <c r="AV57" s="224" t="n">
        <v>0</v>
      </c>
      <c r="AW57" s="224" t="n">
        <v>0</v>
      </c>
      <c r="AX57" s="224" t="n">
        <v>-1165662.43</v>
      </c>
      <c r="AY57" s="224" t="n">
        <v>0</v>
      </c>
      <c r="AZ57" s="224" t="n">
        <v>1165662.43</v>
      </c>
      <c r="BA57" s="224" t="n">
        <v>0</v>
      </c>
      <c r="BB57" s="224" t="s">
        <v>381</v>
      </c>
      <c r="BC57" s="224" t="s">
        <v>381</v>
      </c>
      <c r="BD57" s="224" t="n">
        <v>0</v>
      </c>
      <c r="BE57" s="224" t="n">
        <v>0</v>
      </c>
      <c r="BF57" s="224" t="n">
        <v>0</v>
      </c>
      <c r="BG57" s="224" t="n">
        <v>0</v>
      </c>
      <c r="BH57" s="224" t="n">
        <v>-1165662.43</v>
      </c>
      <c r="BI57" s="224" t="n">
        <v>0</v>
      </c>
      <c r="BJ57" s="224" t="n">
        <v>1165662.43</v>
      </c>
      <c r="BK57" s="224" t="n">
        <v>0</v>
      </c>
      <c r="BL57" s="224" t="n">
        <v>0</v>
      </c>
      <c r="BM57" s="224" t="s">
        <v>386</v>
      </c>
      <c r="BN57" s="224" t="n">
        <v>0</v>
      </c>
      <c r="BO57" s="234" t="b">
        <f aca="false">FALSE()</f>
        <v>0</v>
      </c>
      <c r="BP57" s="234" t="n">
        <v>0</v>
      </c>
      <c r="BQ57" s="226" t="n">
        <v>0</v>
      </c>
      <c r="BR57" s="225" t="n">
        <v>0</v>
      </c>
      <c r="BS57" s="236" t="n">
        <v>86</v>
      </c>
      <c r="BT57" s="225" t="n">
        <v>0</v>
      </c>
      <c r="BU57" s="237" t="n">
        <v>0</v>
      </c>
      <c r="BV57" s="225" t="n">
        <v>276</v>
      </c>
      <c r="BW57" s="238" t="n">
        <v>0</v>
      </c>
      <c r="BX57" s="238" t="n">
        <v>0</v>
      </c>
      <c r="BY57" s="234" t="n">
        <v>0</v>
      </c>
      <c r="BZ57" s="234" t="n">
        <v>0</v>
      </c>
      <c r="CA57" s="234" t="n">
        <v>0</v>
      </c>
      <c r="CB57" s="234" t="n">
        <v>0</v>
      </c>
      <c r="CC57" s="234" t="n">
        <v>0</v>
      </c>
      <c r="CD57" s="234" t="n">
        <v>0</v>
      </c>
      <c r="CE57" s="234" t="n">
        <v>0</v>
      </c>
      <c r="CF57" s="234" t="n">
        <v>0</v>
      </c>
      <c r="CG57" s="234" t="n">
        <v>0</v>
      </c>
      <c r="CH57" s="234" t="n">
        <v>0</v>
      </c>
      <c r="CI57" s="234" t="n">
        <v>0</v>
      </c>
      <c r="CJ57" s="234" t="n">
        <v>0</v>
      </c>
      <c r="CK57" s="225" t="n">
        <v>0</v>
      </c>
      <c r="CL57" s="225" t="n">
        <v>0</v>
      </c>
    </row>
    <row r="58" customFormat="false" ht="15.75" hidden="false" customHeight="false" outlineLevel="3" collapsed="false">
      <c r="A58" s="52" t="s">
        <v>518</v>
      </c>
      <c r="B58" s="52" t="s">
        <v>475</v>
      </c>
      <c r="C58" s="52" t="s">
        <v>460</v>
      </c>
      <c r="D58" s="52" t="s">
        <v>461</v>
      </c>
      <c r="E58" s="52" t="s">
        <v>520</v>
      </c>
      <c r="F58" s="52" t="s">
        <v>381</v>
      </c>
      <c r="G58" s="52" t="s">
        <v>484</v>
      </c>
      <c r="H58" s="52" t="s">
        <v>383</v>
      </c>
      <c r="I58" s="221" t="s">
        <v>463</v>
      </c>
      <c r="J58" s="223" t="n">
        <v>1</v>
      </c>
      <c r="K58" s="223" t="n">
        <v>1</v>
      </c>
      <c r="L58" s="225" t="n">
        <v>0</v>
      </c>
      <c r="M58" s="225" t="n">
        <v>0</v>
      </c>
      <c r="N58" s="225" t="n">
        <v>0</v>
      </c>
      <c r="O58" s="224" t="n">
        <v>0</v>
      </c>
      <c r="P58" s="225" t="n">
        <v>0</v>
      </c>
      <c r="Q58" s="225" t="n">
        <v>0</v>
      </c>
      <c r="R58" s="227" t="n">
        <v>0</v>
      </c>
      <c r="S58" s="228" t="n">
        <v>1</v>
      </c>
      <c r="T58" s="227" t="s">
        <v>397</v>
      </c>
      <c r="U58" s="229" t="n">
        <v>0</v>
      </c>
      <c r="V58" s="224" t="s">
        <v>385</v>
      </c>
      <c r="W58" s="224" t="n">
        <v>0</v>
      </c>
      <c r="X58" s="224" t="n">
        <v>0</v>
      </c>
      <c r="Y58" s="224" t="n">
        <v>0</v>
      </c>
      <c r="Z58" s="224" t="n">
        <v>0</v>
      </c>
      <c r="AA58" s="224" t="n">
        <v>0</v>
      </c>
      <c r="AB58" s="224" t="n">
        <v>0</v>
      </c>
      <c r="AC58" s="229" t="n">
        <v>0</v>
      </c>
      <c r="AD58" s="224" t="n">
        <v>0</v>
      </c>
      <c r="AE58" s="224" t="n">
        <v>0</v>
      </c>
      <c r="AF58" s="224" t="n">
        <v>0</v>
      </c>
      <c r="AG58" s="224" t="n">
        <v>0</v>
      </c>
      <c r="AH58" s="230" t="n">
        <v>0</v>
      </c>
      <c r="AI58" s="224" t="n">
        <v>0</v>
      </c>
      <c r="AJ58" s="224" t="n">
        <v>0</v>
      </c>
      <c r="AK58" s="231" t="n">
        <v>0</v>
      </c>
      <c r="AL58" s="232" t="n">
        <v>0</v>
      </c>
      <c r="AM58" s="224" t="n">
        <v>429210</v>
      </c>
      <c r="AN58" s="225" t="n">
        <v>0</v>
      </c>
      <c r="AO58" s="232" t="n">
        <v>0</v>
      </c>
      <c r="AP58" s="224" t="n">
        <v>0</v>
      </c>
      <c r="AQ58" s="233" t="n">
        <v>1</v>
      </c>
      <c r="AR58" s="224" t="n">
        <v>0</v>
      </c>
      <c r="AS58" s="224" t="n">
        <v>0</v>
      </c>
      <c r="AT58" s="224" t="n">
        <v>0</v>
      </c>
      <c r="AU58" s="224" t="n">
        <v>0</v>
      </c>
      <c r="AV58" s="224" t="n">
        <v>0</v>
      </c>
      <c r="AW58" s="224" t="n">
        <v>0</v>
      </c>
      <c r="AX58" s="224" t="n">
        <v>670790</v>
      </c>
      <c r="AY58" s="224" t="n">
        <v>0</v>
      </c>
      <c r="AZ58" s="224" t="n">
        <v>-670790</v>
      </c>
      <c r="BA58" s="224" t="n">
        <v>0</v>
      </c>
      <c r="BB58" s="224" t="s">
        <v>381</v>
      </c>
      <c r="BC58" s="224" t="s">
        <v>381</v>
      </c>
      <c r="BD58" s="224" t="n">
        <v>0</v>
      </c>
      <c r="BE58" s="224" t="n">
        <v>0</v>
      </c>
      <c r="BF58" s="224" t="n">
        <v>0</v>
      </c>
      <c r="BG58" s="224" t="n">
        <v>0</v>
      </c>
      <c r="BH58" s="224" t="n">
        <v>670790</v>
      </c>
      <c r="BI58" s="224" t="n">
        <v>0</v>
      </c>
      <c r="BJ58" s="224" t="n">
        <v>-670790</v>
      </c>
      <c r="BK58" s="224" t="n">
        <v>0</v>
      </c>
      <c r="BL58" s="224" t="n">
        <v>0</v>
      </c>
      <c r="BM58" s="224" t="s">
        <v>386</v>
      </c>
      <c r="BN58" s="224" t="n">
        <v>0</v>
      </c>
      <c r="BO58" s="234" t="b">
        <f aca="false">FALSE()</f>
        <v>0</v>
      </c>
      <c r="BP58" s="234" t="n">
        <v>0</v>
      </c>
      <c r="BQ58" s="226" t="n">
        <v>0</v>
      </c>
      <c r="BR58" s="225" t="n">
        <v>0</v>
      </c>
      <c r="BS58" s="236" t="n">
        <v>86</v>
      </c>
      <c r="BT58" s="225" t="n">
        <v>0</v>
      </c>
      <c r="BU58" s="237" t="n">
        <v>0</v>
      </c>
      <c r="BV58" s="225" t="n">
        <v>290</v>
      </c>
      <c r="BW58" s="238" t="n">
        <v>0</v>
      </c>
      <c r="BX58" s="238" t="n">
        <v>0</v>
      </c>
      <c r="BY58" s="234" t="n">
        <v>0</v>
      </c>
      <c r="BZ58" s="234" t="n">
        <v>0</v>
      </c>
      <c r="CA58" s="234" t="n">
        <v>0</v>
      </c>
      <c r="CB58" s="234" t="n">
        <v>-1100000</v>
      </c>
      <c r="CC58" s="234" t="n">
        <v>0</v>
      </c>
      <c r="CD58" s="234" t="n">
        <v>0</v>
      </c>
      <c r="CE58" s="234" t="n">
        <v>0</v>
      </c>
      <c r="CF58" s="234" t="n">
        <v>0</v>
      </c>
      <c r="CG58" s="234" t="n">
        <v>0</v>
      </c>
      <c r="CH58" s="234" t="n">
        <v>0</v>
      </c>
      <c r="CI58" s="234" t="n">
        <v>0</v>
      </c>
      <c r="CJ58" s="234" t="n">
        <v>0</v>
      </c>
      <c r="CK58" s="225" t="n">
        <v>0</v>
      </c>
      <c r="CL58" s="225" t="n">
        <v>0</v>
      </c>
    </row>
    <row r="59" customFormat="false" ht="15.75" hidden="false" customHeight="false" outlineLevel="3" collapsed="false">
      <c r="A59" s="52" t="s">
        <v>518</v>
      </c>
      <c r="B59" s="52" t="s">
        <v>475</v>
      </c>
      <c r="C59" s="52" t="s">
        <v>460</v>
      </c>
      <c r="D59" s="52" t="s">
        <v>461</v>
      </c>
      <c r="E59" s="52" t="s">
        <v>521</v>
      </c>
      <c r="F59" s="52" t="s">
        <v>381</v>
      </c>
      <c r="G59" s="52" t="s">
        <v>484</v>
      </c>
      <c r="H59" s="52" t="s">
        <v>383</v>
      </c>
      <c r="I59" s="221" t="s">
        <v>463</v>
      </c>
      <c r="J59" s="223" t="n">
        <v>1</v>
      </c>
      <c r="K59" s="223" t="n">
        <v>1</v>
      </c>
      <c r="L59" s="225" t="n">
        <v>0</v>
      </c>
      <c r="M59" s="225" t="n">
        <v>0</v>
      </c>
      <c r="N59" s="225" t="n">
        <v>0</v>
      </c>
      <c r="O59" s="224" t="n">
        <v>0</v>
      </c>
      <c r="P59" s="225" t="n">
        <v>0</v>
      </c>
      <c r="Q59" s="225" t="n">
        <v>0</v>
      </c>
      <c r="R59" s="227" t="n">
        <v>0</v>
      </c>
      <c r="S59" s="228" t="n">
        <v>1</v>
      </c>
      <c r="T59" s="227" t="s">
        <v>397</v>
      </c>
      <c r="U59" s="229" t="n">
        <v>0</v>
      </c>
      <c r="V59" s="224" t="s">
        <v>385</v>
      </c>
      <c r="W59" s="224" t="n">
        <v>0</v>
      </c>
      <c r="X59" s="224" t="n">
        <v>0</v>
      </c>
      <c r="Y59" s="224" t="n">
        <v>0</v>
      </c>
      <c r="Z59" s="224" t="n">
        <v>0</v>
      </c>
      <c r="AA59" s="224" t="n">
        <v>0</v>
      </c>
      <c r="AB59" s="224" t="n">
        <v>0</v>
      </c>
      <c r="AC59" s="229" t="n">
        <v>0</v>
      </c>
      <c r="AD59" s="224" t="n">
        <v>0</v>
      </c>
      <c r="AE59" s="224" t="n">
        <v>0</v>
      </c>
      <c r="AF59" s="224" t="n">
        <v>0</v>
      </c>
      <c r="AG59" s="224" t="n">
        <v>0</v>
      </c>
      <c r="AH59" s="230" t="n">
        <v>0</v>
      </c>
      <c r="AI59" s="224" t="n">
        <v>0</v>
      </c>
      <c r="AJ59" s="224" t="n">
        <v>0</v>
      </c>
      <c r="AK59" s="231" t="n">
        <v>0</v>
      </c>
      <c r="AL59" s="232" t="n">
        <v>0</v>
      </c>
      <c r="AM59" s="224" t="n">
        <v>470790</v>
      </c>
      <c r="AN59" s="225" t="n">
        <v>0</v>
      </c>
      <c r="AO59" s="232" t="n">
        <v>0</v>
      </c>
      <c r="AP59" s="224" t="n">
        <v>0</v>
      </c>
      <c r="AQ59" s="233" t="n">
        <v>1</v>
      </c>
      <c r="AR59" s="224" t="n">
        <v>0</v>
      </c>
      <c r="AS59" s="224" t="n">
        <v>0</v>
      </c>
      <c r="AT59" s="224" t="n">
        <v>0</v>
      </c>
      <c r="AU59" s="224" t="n">
        <v>0</v>
      </c>
      <c r="AV59" s="224" t="n">
        <v>0</v>
      </c>
      <c r="AW59" s="224" t="n">
        <v>0</v>
      </c>
      <c r="AX59" s="224" t="n">
        <v>-470790</v>
      </c>
      <c r="AY59" s="224" t="n">
        <v>0</v>
      </c>
      <c r="AZ59" s="224" t="n">
        <v>470790</v>
      </c>
      <c r="BA59" s="224" t="n">
        <v>0</v>
      </c>
      <c r="BB59" s="224" t="s">
        <v>381</v>
      </c>
      <c r="BC59" s="224" t="s">
        <v>381</v>
      </c>
      <c r="BD59" s="224" t="n">
        <v>0</v>
      </c>
      <c r="BE59" s="224" t="n">
        <v>0</v>
      </c>
      <c r="BF59" s="224" t="n">
        <v>0</v>
      </c>
      <c r="BG59" s="224" t="n">
        <v>0</v>
      </c>
      <c r="BH59" s="224" t="n">
        <v>-470790</v>
      </c>
      <c r="BI59" s="224" t="n">
        <v>0</v>
      </c>
      <c r="BJ59" s="224" t="n">
        <v>470790</v>
      </c>
      <c r="BK59" s="224" t="n">
        <v>0</v>
      </c>
      <c r="BL59" s="224" t="n">
        <v>0</v>
      </c>
      <c r="BM59" s="224" t="s">
        <v>386</v>
      </c>
      <c r="BN59" s="224" t="n">
        <v>0</v>
      </c>
      <c r="BO59" s="234" t="b">
        <f aca="false">FALSE()</f>
        <v>0</v>
      </c>
      <c r="BP59" s="234" t="n">
        <v>0</v>
      </c>
      <c r="BQ59" s="226" t="n">
        <v>0</v>
      </c>
      <c r="BR59" s="225" t="n">
        <v>0</v>
      </c>
      <c r="BS59" s="236" t="n">
        <v>86</v>
      </c>
      <c r="BT59" s="225" t="n">
        <v>0</v>
      </c>
      <c r="BU59" s="237" t="n">
        <v>0</v>
      </c>
      <c r="BV59" s="225" t="n">
        <v>292</v>
      </c>
      <c r="BW59" s="238" t="n">
        <v>0</v>
      </c>
      <c r="BX59" s="238" t="n">
        <v>0</v>
      </c>
      <c r="BY59" s="234" t="n">
        <v>0</v>
      </c>
      <c r="BZ59" s="234" t="n">
        <v>0</v>
      </c>
      <c r="CA59" s="234" t="n">
        <v>0</v>
      </c>
      <c r="CB59" s="234" t="n">
        <v>0</v>
      </c>
      <c r="CC59" s="234" t="n">
        <v>0</v>
      </c>
      <c r="CD59" s="234" t="n">
        <v>0</v>
      </c>
      <c r="CE59" s="234" t="n">
        <v>0</v>
      </c>
      <c r="CF59" s="234" t="n">
        <v>0</v>
      </c>
      <c r="CG59" s="234" t="n">
        <v>0</v>
      </c>
      <c r="CH59" s="234" t="n">
        <v>0</v>
      </c>
      <c r="CI59" s="234" t="n">
        <v>0</v>
      </c>
      <c r="CJ59" s="234" t="n">
        <v>0</v>
      </c>
      <c r="CK59" s="225" t="n">
        <v>0</v>
      </c>
      <c r="CL59" s="225" t="n">
        <v>0</v>
      </c>
    </row>
    <row r="60" customFormat="false" ht="15.75" hidden="false" customHeight="false" outlineLevel="3" collapsed="false">
      <c r="A60" s="52" t="s">
        <v>518</v>
      </c>
      <c r="B60" s="52" t="s">
        <v>475</v>
      </c>
      <c r="C60" s="52" t="s">
        <v>432</v>
      </c>
      <c r="D60" s="52" t="s">
        <v>433</v>
      </c>
      <c r="E60" s="52" t="s">
        <v>522</v>
      </c>
      <c r="F60" s="52" t="s">
        <v>381</v>
      </c>
      <c r="G60" s="52" t="s">
        <v>484</v>
      </c>
      <c r="H60" s="52" t="s">
        <v>383</v>
      </c>
      <c r="I60" s="221" t="s">
        <v>463</v>
      </c>
      <c r="J60" s="223" t="n">
        <v>1</v>
      </c>
      <c r="K60" s="223" t="n">
        <v>1</v>
      </c>
      <c r="L60" s="225" t="n">
        <v>0</v>
      </c>
      <c r="M60" s="225" t="n">
        <v>0</v>
      </c>
      <c r="N60" s="225" t="n">
        <v>0</v>
      </c>
      <c r="O60" s="224" t="n">
        <v>7121810</v>
      </c>
      <c r="P60" s="225" t="n">
        <v>7121810</v>
      </c>
      <c r="Q60" s="225" t="n">
        <v>0</v>
      </c>
      <c r="R60" s="227" t="s">
        <v>413</v>
      </c>
      <c r="S60" s="228" t="n">
        <v>0.5</v>
      </c>
      <c r="T60" s="227" t="s">
        <v>397</v>
      </c>
      <c r="U60" s="229" t="n">
        <v>7121810</v>
      </c>
      <c r="V60" s="224" t="s">
        <v>385</v>
      </c>
      <c r="W60" s="224" t="n">
        <v>0</v>
      </c>
      <c r="X60" s="224" t="n">
        <v>0</v>
      </c>
      <c r="Y60" s="224" t="n">
        <v>0</v>
      </c>
      <c r="Z60" s="224" t="n">
        <v>0</v>
      </c>
      <c r="AA60" s="224" t="n">
        <v>0</v>
      </c>
      <c r="AB60" s="224" t="n">
        <v>0</v>
      </c>
      <c r="AC60" s="229" t="n">
        <v>7121810</v>
      </c>
      <c r="AD60" s="224" t="n">
        <v>0</v>
      </c>
      <c r="AE60" s="224" t="n">
        <v>0</v>
      </c>
      <c r="AF60" s="224" t="n">
        <v>0</v>
      </c>
      <c r="AG60" s="224" t="n">
        <v>0</v>
      </c>
      <c r="AH60" s="230" t="n">
        <v>0</v>
      </c>
      <c r="AI60" s="224" t="n">
        <v>0</v>
      </c>
      <c r="AJ60" s="224" t="n">
        <v>0</v>
      </c>
      <c r="AK60" s="231" t="n">
        <v>0</v>
      </c>
      <c r="AL60" s="232" t="n">
        <v>0</v>
      </c>
      <c r="AM60" s="224" t="n">
        <v>7121810</v>
      </c>
      <c r="AN60" s="225" t="n">
        <v>0</v>
      </c>
      <c r="AO60" s="232" t="n">
        <v>0</v>
      </c>
      <c r="AP60" s="224" t="n">
        <v>7121810</v>
      </c>
      <c r="AQ60" s="233" t="n">
        <v>1</v>
      </c>
      <c r="AR60" s="224" t="n">
        <v>0</v>
      </c>
      <c r="AS60" s="224" t="n">
        <v>7121810</v>
      </c>
      <c r="AT60" s="224" t="n">
        <v>0</v>
      </c>
      <c r="AU60" s="224" t="n">
        <v>0</v>
      </c>
      <c r="AV60" s="224" t="n">
        <v>0</v>
      </c>
      <c r="AW60" s="224" t="n">
        <v>0</v>
      </c>
      <c r="AX60" s="224" t="n">
        <v>0</v>
      </c>
      <c r="AY60" s="224" t="n">
        <v>0</v>
      </c>
      <c r="AZ60" s="224" t="n">
        <v>0</v>
      </c>
      <c r="BA60" s="224" t="n">
        <v>0</v>
      </c>
      <c r="BB60" s="224" t="s">
        <v>381</v>
      </c>
      <c r="BC60" s="224" t="s">
        <v>381</v>
      </c>
      <c r="BD60" s="224" t="n">
        <v>0</v>
      </c>
      <c r="BE60" s="224" t="n">
        <v>0</v>
      </c>
      <c r="BF60" s="224" t="n">
        <v>0</v>
      </c>
      <c r="BG60" s="224" t="n">
        <v>0</v>
      </c>
      <c r="BH60" s="224" t="n">
        <v>0</v>
      </c>
      <c r="BI60" s="224" t="n">
        <v>0</v>
      </c>
      <c r="BJ60" s="224" t="n">
        <v>0</v>
      </c>
      <c r="BK60" s="224" t="n">
        <v>0</v>
      </c>
      <c r="BL60" s="224" t="n">
        <v>7121810</v>
      </c>
      <c r="BM60" s="224" t="s">
        <v>386</v>
      </c>
      <c r="BN60" s="224" t="n">
        <v>0</v>
      </c>
      <c r="BO60" s="234" t="b">
        <f aca="false">FALSE()</f>
        <v>0</v>
      </c>
      <c r="BP60" s="234" t="n">
        <v>0</v>
      </c>
      <c r="BQ60" s="226" t="n">
        <v>0</v>
      </c>
      <c r="BR60" s="225" t="n">
        <v>7500000</v>
      </c>
      <c r="BS60" s="236" t="n">
        <v>86</v>
      </c>
      <c r="BT60" s="225" t="n">
        <v>0</v>
      </c>
      <c r="BU60" s="237" t="n">
        <v>0</v>
      </c>
      <c r="BV60" s="225" t="n">
        <v>293</v>
      </c>
      <c r="BW60" s="238" t="n">
        <v>0</v>
      </c>
      <c r="BX60" s="238" t="n">
        <v>0</v>
      </c>
      <c r="BY60" s="234" t="n">
        <v>0</v>
      </c>
      <c r="BZ60" s="234" t="n">
        <v>0</v>
      </c>
      <c r="CA60" s="234" t="n">
        <v>0</v>
      </c>
      <c r="CB60" s="234" t="n">
        <v>0</v>
      </c>
      <c r="CC60" s="234" t="n">
        <v>0</v>
      </c>
      <c r="CD60" s="234" t="n">
        <v>0</v>
      </c>
      <c r="CE60" s="234" t="n">
        <v>0</v>
      </c>
      <c r="CF60" s="234" t="n">
        <v>0</v>
      </c>
      <c r="CG60" s="234" t="n">
        <v>0</v>
      </c>
      <c r="CH60" s="234" t="n">
        <v>0</v>
      </c>
      <c r="CI60" s="234" t="n">
        <v>0</v>
      </c>
      <c r="CJ60" s="234" t="n">
        <v>0</v>
      </c>
      <c r="CK60" s="225" t="n">
        <v>0</v>
      </c>
      <c r="CL60" s="225" t="n">
        <v>0</v>
      </c>
    </row>
    <row r="61" customFormat="false" ht="20.1" hidden="false" customHeight="true" outlineLevel="2" collapsed="false">
      <c r="A61" s="240" t="s">
        <v>523</v>
      </c>
      <c r="B61" s="240"/>
      <c r="C61" s="240"/>
      <c r="D61" s="240"/>
      <c r="E61" s="240"/>
      <c r="F61" s="240"/>
      <c r="G61" s="240"/>
      <c r="H61" s="240"/>
      <c r="I61" s="241"/>
      <c r="J61" s="243"/>
      <c r="K61" s="243"/>
      <c r="L61" s="245"/>
      <c r="M61" s="245"/>
      <c r="N61" s="245"/>
      <c r="O61" s="244"/>
      <c r="P61" s="245"/>
      <c r="Q61" s="245"/>
      <c r="R61" s="247" t="n">
        <v>0</v>
      </c>
      <c r="S61" s="248" t="n">
        <v>3.5</v>
      </c>
      <c r="T61" s="247" t="n">
        <v>0</v>
      </c>
      <c r="U61" s="249" t="n">
        <v>7121810</v>
      </c>
      <c r="V61" s="244"/>
      <c r="W61" s="244" t="n">
        <v>0</v>
      </c>
      <c r="X61" s="244" t="n">
        <v>0</v>
      </c>
      <c r="Y61" s="244" t="n">
        <v>0</v>
      </c>
      <c r="Z61" s="244" t="n">
        <v>0</v>
      </c>
      <c r="AA61" s="244" t="n">
        <v>0</v>
      </c>
      <c r="AB61" s="244" t="n">
        <v>0</v>
      </c>
      <c r="AC61" s="249" t="n">
        <v>7121810</v>
      </c>
      <c r="AD61" s="244" t="n">
        <v>0</v>
      </c>
      <c r="AE61" s="244" t="n">
        <v>0</v>
      </c>
      <c r="AF61" s="244" t="n">
        <v>0</v>
      </c>
      <c r="AG61" s="244" t="n">
        <v>0</v>
      </c>
      <c r="AH61" s="250" t="n">
        <v>0</v>
      </c>
      <c r="AI61" s="244" t="n">
        <v>0</v>
      </c>
      <c r="AJ61" s="244" t="n">
        <v>0</v>
      </c>
      <c r="AK61" s="251" t="n">
        <v>0</v>
      </c>
      <c r="AL61" s="252"/>
      <c r="AM61" s="244" t="n">
        <v>9187472.43</v>
      </c>
      <c r="AN61" s="245"/>
      <c r="AO61" s="252"/>
      <c r="AP61" s="244" t="n">
        <v>7121810</v>
      </c>
      <c r="AQ61" s="253"/>
      <c r="AR61" s="244"/>
      <c r="AS61" s="244"/>
      <c r="AT61" s="244" t="n">
        <v>0</v>
      </c>
      <c r="AU61" s="244" t="n">
        <v>0</v>
      </c>
      <c r="AV61" s="244" t="n">
        <v>0</v>
      </c>
      <c r="AW61" s="244" t="n">
        <v>0</v>
      </c>
      <c r="AX61" s="244" t="n">
        <v>-965662.43</v>
      </c>
      <c r="AY61" s="244" t="n">
        <v>0</v>
      </c>
      <c r="AZ61" s="244" t="n">
        <v>965662.43</v>
      </c>
      <c r="BA61" s="244" t="n">
        <v>0</v>
      </c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4"/>
      <c r="BN61" s="244"/>
      <c r="BO61" s="244"/>
      <c r="BP61" s="244"/>
      <c r="BQ61" s="246"/>
      <c r="BR61" s="245"/>
      <c r="BS61" s="255"/>
      <c r="BT61" s="245"/>
      <c r="BU61" s="256"/>
      <c r="BV61" s="245"/>
      <c r="BW61" s="257"/>
      <c r="BX61" s="257"/>
      <c r="BY61" s="244"/>
      <c r="BZ61" s="244"/>
      <c r="CA61" s="244" t="n">
        <v>0</v>
      </c>
      <c r="CB61" s="244"/>
      <c r="CC61" s="244"/>
      <c r="CD61" s="244"/>
      <c r="CE61" s="244"/>
      <c r="CF61" s="244"/>
      <c r="CG61" s="244"/>
      <c r="CH61" s="244"/>
      <c r="CI61" s="244"/>
      <c r="CJ61" s="244"/>
      <c r="CK61" s="245"/>
      <c r="CL61" s="245"/>
    </row>
    <row r="62" customFormat="false" ht="15.75" hidden="false" customHeight="false" outlineLevel="3" collapsed="false">
      <c r="A62" s="52" t="s">
        <v>524</v>
      </c>
      <c r="B62" s="52" t="s">
        <v>475</v>
      </c>
      <c r="C62" s="52" t="s">
        <v>454</v>
      </c>
      <c r="D62" s="52" t="s">
        <v>455</v>
      </c>
      <c r="E62" s="52" t="s">
        <v>525</v>
      </c>
      <c r="F62" s="52"/>
      <c r="G62" s="52" t="s">
        <v>477</v>
      </c>
      <c r="H62" s="52" t="s">
        <v>428</v>
      </c>
      <c r="I62" s="221" t="s">
        <v>428</v>
      </c>
      <c r="J62" s="222" t="n">
        <v>11904760</v>
      </c>
      <c r="K62" s="223" t="n">
        <v>11904760</v>
      </c>
      <c r="L62" s="225" t="n">
        <v>0</v>
      </c>
      <c r="M62" s="225" t="n">
        <v>0</v>
      </c>
      <c r="N62" s="225" t="n">
        <v>1</v>
      </c>
      <c r="O62" s="224" t="n">
        <v>0.850500136080022</v>
      </c>
      <c r="P62" s="225" t="n">
        <v>0.850500136080022</v>
      </c>
      <c r="Q62" s="225" t="n">
        <v>0</v>
      </c>
      <c r="R62" s="227" t="s">
        <v>413</v>
      </c>
      <c r="S62" s="228" t="n">
        <v>0.75</v>
      </c>
      <c r="T62" s="227" t="s">
        <v>497</v>
      </c>
      <c r="U62" s="229" t="n">
        <v>10125000</v>
      </c>
      <c r="V62" s="224" t="s">
        <v>385</v>
      </c>
      <c r="W62" s="224" t="n">
        <v>0</v>
      </c>
      <c r="X62" s="224" t="n">
        <v>0</v>
      </c>
      <c r="Y62" s="224" t="n">
        <v>0</v>
      </c>
      <c r="Z62" s="224" t="n">
        <v>0</v>
      </c>
      <c r="AA62" s="224" t="n">
        <v>0</v>
      </c>
      <c r="AB62" s="224" t="n">
        <v>0</v>
      </c>
      <c r="AC62" s="229" t="n">
        <v>10125000</v>
      </c>
      <c r="AD62" s="224" t="n">
        <v>0</v>
      </c>
      <c r="AE62" s="224" t="n">
        <v>0</v>
      </c>
      <c r="AF62" s="224" t="n">
        <v>0</v>
      </c>
      <c r="AG62" s="224" t="n">
        <v>0</v>
      </c>
      <c r="AH62" s="230" t="n">
        <v>0</v>
      </c>
      <c r="AI62" s="224" t="n">
        <v>0</v>
      </c>
      <c r="AJ62" s="224" t="n">
        <v>0</v>
      </c>
      <c r="AK62" s="231" t="n">
        <v>0</v>
      </c>
      <c r="AL62" s="232" t="n">
        <v>0</v>
      </c>
      <c r="AM62" s="224" t="n">
        <v>23513434.5</v>
      </c>
      <c r="AN62" s="232" t="n">
        <v>0</v>
      </c>
      <c r="AO62" s="232" t="n">
        <v>0</v>
      </c>
      <c r="AP62" s="224" t="n">
        <v>10125000</v>
      </c>
      <c r="AQ62" s="233" t="n">
        <v>1</v>
      </c>
      <c r="AR62" s="224" t="n">
        <v>10125000</v>
      </c>
      <c r="AS62" s="224" t="n">
        <v>0.850500136080022</v>
      </c>
      <c r="AT62" s="224" t="n">
        <v>0</v>
      </c>
      <c r="AU62" s="224" t="n">
        <v>0</v>
      </c>
      <c r="AV62" s="224" t="n">
        <v>0</v>
      </c>
      <c r="AW62" s="224" t="n">
        <v>0</v>
      </c>
      <c r="AX62" s="224" t="n">
        <v>-13388434.5</v>
      </c>
      <c r="AY62" s="224" t="n">
        <v>0</v>
      </c>
      <c r="AZ62" s="224" t="n">
        <v>13388434.5</v>
      </c>
      <c r="BA62" s="224" t="n">
        <v>0</v>
      </c>
      <c r="BB62" s="224" t="s">
        <v>381</v>
      </c>
      <c r="BC62" s="224" t="s">
        <v>381</v>
      </c>
      <c r="BD62" s="224" t="n">
        <v>0</v>
      </c>
      <c r="BE62" s="224" t="n">
        <v>0</v>
      </c>
      <c r="BF62" s="224" t="n">
        <v>0</v>
      </c>
      <c r="BG62" s="224" t="n">
        <v>0</v>
      </c>
      <c r="BH62" s="224" t="n">
        <v>-13388434.5</v>
      </c>
      <c r="BI62" s="224" t="n">
        <v>0</v>
      </c>
      <c r="BJ62" s="224" t="n">
        <v>13388434.5</v>
      </c>
      <c r="BK62" s="224" t="n">
        <v>0</v>
      </c>
      <c r="BL62" s="224" t="n">
        <v>10125000</v>
      </c>
      <c r="BM62" s="224" t="s">
        <v>386</v>
      </c>
      <c r="BN62" s="224" t="n">
        <v>0</v>
      </c>
      <c r="BO62" s="234" t="b">
        <f aca="false">FALSE()</f>
        <v>0</v>
      </c>
      <c r="BP62" s="234" t="n">
        <v>0</v>
      </c>
      <c r="BQ62" s="225" t="n">
        <v>7875000</v>
      </c>
      <c r="BR62" s="225" t="n">
        <v>3546849</v>
      </c>
      <c r="BS62" s="236" t="n">
        <v>79</v>
      </c>
      <c r="BT62" s="225" t="n">
        <v>0</v>
      </c>
      <c r="BU62" s="237" t="n">
        <v>0</v>
      </c>
      <c r="BV62" s="225" t="n">
        <v>170</v>
      </c>
      <c r="BW62" s="238" t="n">
        <v>0</v>
      </c>
      <c r="BX62" s="238" t="n">
        <v>0</v>
      </c>
      <c r="BY62" s="234" t="n">
        <v>0</v>
      </c>
      <c r="BZ62" s="234" t="n">
        <v>0</v>
      </c>
      <c r="CA62" s="234" t="n">
        <v>0</v>
      </c>
      <c r="CB62" s="234" t="n">
        <v>0</v>
      </c>
      <c r="CC62" s="234" t="n">
        <v>0</v>
      </c>
      <c r="CD62" s="234" t="n">
        <v>0</v>
      </c>
      <c r="CE62" s="234" t="n">
        <v>0</v>
      </c>
      <c r="CF62" s="234" t="n">
        <v>0</v>
      </c>
      <c r="CG62" s="234" t="n">
        <v>0</v>
      </c>
      <c r="CH62" s="234" t="n">
        <v>0</v>
      </c>
      <c r="CI62" s="234" t="n">
        <v>0</v>
      </c>
      <c r="CJ62" s="234" t="n">
        <v>0</v>
      </c>
      <c r="CK62" s="225" t="n">
        <v>0</v>
      </c>
      <c r="CL62" s="225" t="n">
        <v>0</v>
      </c>
    </row>
    <row r="63" customFormat="false" ht="15.75" hidden="false" customHeight="false" outlineLevel="3" collapsed="false">
      <c r="A63" s="52" t="s">
        <v>524</v>
      </c>
      <c r="B63" s="52" t="s">
        <v>475</v>
      </c>
      <c r="C63" s="52" t="s">
        <v>460</v>
      </c>
      <c r="D63" s="52" t="s">
        <v>461</v>
      </c>
      <c r="E63" s="52" t="s">
        <v>526</v>
      </c>
      <c r="F63" s="52"/>
      <c r="G63" s="52" t="s">
        <v>484</v>
      </c>
      <c r="H63" s="52" t="s">
        <v>428</v>
      </c>
      <c r="I63" s="221" t="s">
        <v>428</v>
      </c>
      <c r="J63" s="222" t="n">
        <v>20344</v>
      </c>
      <c r="K63" s="223" t="n">
        <v>20344</v>
      </c>
      <c r="L63" s="225" t="n">
        <v>0</v>
      </c>
      <c r="M63" s="225" t="n">
        <v>0</v>
      </c>
      <c r="N63" s="225" t="n">
        <v>1</v>
      </c>
      <c r="O63" s="224" t="n">
        <v>0</v>
      </c>
      <c r="P63" s="225" t="n">
        <v>0</v>
      </c>
      <c r="Q63" s="225" t="n">
        <v>0</v>
      </c>
      <c r="R63" s="227" t="n">
        <v>0</v>
      </c>
      <c r="S63" s="228" t="n">
        <v>1</v>
      </c>
      <c r="T63" s="227" t="s">
        <v>397</v>
      </c>
      <c r="U63" s="229" t="n">
        <v>0</v>
      </c>
      <c r="V63" s="224" t="s">
        <v>385</v>
      </c>
      <c r="W63" s="224" t="n">
        <v>0</v>
      </c>
      <c r="X63" s="224" t="n">
        <v>0</v>
      </c>
      <c r="Y63" s="224" t="n">
        <v>0</v>
      </c>
      <c r="Z63" s="224" t="n">
        <v>0</v>
      </c>
      <c r="AA63" s="224" t="n">
        <v>0</v>
      </c>
      <c r="AB63" s="224" t="n">
        <v>0</v>
      </c>
      <c r="AC63" s="229" t="n">
        <v>0</v>
      </c>
      <c r="AD63" s="224" t="n">
        <v>0</v>
      </c>
      <c r="AE63" s="224" t="n">
        <v>0</v>
      </c>
      <c r="AF63" s="224" t="n">
        <v>0</v>
      </c>
      <c r="AG63" s="224" t="n">
        <v>0</v>
      </c>
      <c r="AH63" s="230" t="n">
        <v>0</v>
      </c>
      <c r="AI63" s="224" t="n">
        <v>0</v>
      </c>
      <c r="AJ63" s="224" t="n">
        <v>0</v>
      </c>
      <c r="AK63" s="231" t="n">
        <v>0</v>
      </c>
      <c r="AL63" s="232" t="n">
        <v>0</v>
      </c>
      <c r="AM63" s="224" t="n">
        <v>3486752</v>
      </c>
      <c r="AN63" s="232" t="n">
        <v>0</v>
      </c>
      <c r="AO63" s="232" t="n">
        <v>0</v>
      </c>
      <c r="AP63" s="224" t="n">
        <v>0</v>
      </c>
      <c r="AQ63" s="233" t="n">
        <v>1</v>
      </c>
      <c r="AR63" s="224" t="n">
        <v>0</v>
      </c>
      <c r="AS63" s="224" t="n">
        <v>0</v>
      </c>
      <c r="AT63" s="224" t="n">
        <v>0</v>
      </c>
      <c r="AU63" s="224" t="n">
        <v>0</v>
      </c>
      <c r="AV63" s="224" t="n">
        <v>0</v>
      </c>
      <c r="AW63" s="224" t="n">
        <v>0</v>
      </c>
      <c r="AX63" s="224" t="n">
        <v>-3486752</v>
      </c>
      <c r="AY63" s="224" t="n">
        <v>0</v>
      </c>
      <c r="AZ63" s="224" t="n">
        <v>3486752</v>
      </c>
      <c r="BA63" s="224" t="n">
        <v>0</v>
      </c>
      <c r="BB63" s="224" t="s">
        <v>381</v>
      </c>
      <c r="BC63" s="224" t="s">
        <v>381</v>
      </c>
      <c r="BD63" s="224" t="n">
        <v>0</v>
      </c>
      <c r="BE63" s="224" t="n">
        <v>0</v>
      </c>
      <c r="BF63" s="224" t="n">
        <v>0</v>
      </c>
      <c r="BG63" s="224" t="n">
        <v>0</v>
      </c>
      <c r="BH63" s="224" t="n">
        <v>-3486752</v>
      </c>
      <c r="BI63" s="224" t="n">
        <v>0</v>
      </c>
      <c r="BJ63" s="224" t="n">
        <v>3486752</v>
      </c>
      <c r="BK63" s="224" t="n">
        <v>0</v>
      </c>
      <c r="BL63" s="224" t="n">
        <v>0</v>
      </c>
      <c r="BM63" s="224" t="s">
        <v>386</v>
      </c>
      <c r="BN63" s="224" t="n">
        <v>0</v>
      </c>
      <c r="BO63" s="234" t="b">
        <f aca="false">FALSE()</f>
        <v>0</v>
      </c>
      <c r="BP63" s="234" t="n">
        <v>0</v>
      </c>
      <c r="BQ63" s="225" t="n">
        <v>20344</v>
      </c>
      <c r="BR63" s="225" t="n">
        <v>0</v>
      </c>
      <c r="BS63" s="236" t="n">
        <v>79</v>
      </c>
      <c r="BT63" s="225" t="n">
        <v>0</v>
      </c>
      <c r="BU63" s="237" t="n">
        <v>0</v>
      </c>
      <c r="BV63" s="225" t="n">
        <v>171</v>
      </c>
      <c r="BW63" s="238" t="n">
        <v>0</v>
      </c>
      <c r="BX63" s="238" t="n">
        <v>0</v>
      </c>
      <c r="BY63" s="234" t="n">
        <v>0</v>
      </c>
      <c r="BZ63" s="234" t="n">
        <v>0</v>
      </c>
      <c r="CA63" s="234" t="n">
        <v>0</v>
      </c>
      <c r="CB63" s="234" t="n">
        <v>0</v>
      </c>
      <c r="CC63" s="234" t="n">
        <v>0</v>
      </c>
      <c r="CD63" s="234" t="n">
        <v>0</v>
      </c>
      <c r="CE63" s="234" t="n">
        <v>0</v>
      </c>
      <c r="CF63" s="234" t="n">
        <v>0</v>
      </c>
      <c r="CG63" s="234" t="n">
        <v>0</v>
      </c>
      <c r="CH63" s="234" t="n">
        <v>0</v>
      </c>
      <c r="CI63" s="234" t="n">
        <v>0</v>
      </c>
      <c r="CJ63" s="234" t="n">
        <v>0</v>
      </c>
      <c r="CK63" s="225" t="n">
        <v>0</v>
      </c>
      <c r="CL63" s="225" t="n">
        <v>0</v>
      </c>
    </row>
    <row r="64" customFormat="false" ht="15.75" hidden="false" customHeight="false" outlineLevel="3" collapsed="false">
      <c r="A64" s="52" t="s">
        <v>524</v>
      </c>
      <c r="B64" s="52" t="s">
        <v>475</v>
      </c>
      <c r="C64" s="52" t="s">
        <v>460</v>
      </c>
      <c r="D64" s="52" t="s">
        <v>461</v>
      </c>
      <c r="E64" s="52" t="s">
        <v>527</v>
      </c>
      <c r="F64" s="52"/>
      <c r="G64" s="52" t="s">
        <v>484</v>
      </c>
      <c r="H64" s="52" t="s">
        <v>428</v>
      </c>
      <c r="I64" s="221" t="s">
        <v>428</v>
      </c>
      <c r="J64" s="222" t="n">
        <v>1</v>
      </c>
      <c r="K64" s="223" t="n">
        <v>1</v>
      </c>
      <c r="L64" s="225" t="n">
        <v>0</v>
      </c>
      <c r="M64" s="225" t="n">
        <v>0</v>
      </c>
      <c r="N64" s="225" t="n">
        <v>1</v>
      </c>
      <c r="O64" s="224" t="n">
        <v>0</v>
      </c>
      <c r="P64" s="225" t="n">
        <v>0</v>
      </c>
      <c r="Q64" s="225" t="n">
        <v>0</v>
      </c>
      <c r="R64" s="227" t="s">
        <v>413</v>
      </c>
      <c r="S64" s="228" t="n">
        <v>0.75</v>
      </c>
      <c r="T64" s="227" t="s">
        <v>397</v>
      </c>
      <c r="U64" s="229" t="n">
        <v>0</v>
      </c>
      <c r="V64" s="224" t="s">
        <v>385</v>
      </c>
      <c r="W64" s="224" t="n">
        <v>0</v>
      </c>
      <c r="X64" s="224" t="n">
        <v>0</v>
      </c>
      <c r="Y64" s="224" t="n">
        <v>0</v>
      </c>
      <c r="Z64" s="224" t="n">
        <v>0</v>
      </c>
      <c r="AA64" s="224" t="n">
        <v>0</v>
      </c>
      <c r="AB64" s="224" t="n">
        <v>0</v>
      </c>
      <c r="AC64" s="229" t="n">
        <v>0</v>
      </c>
      <c r="AD64" s="224" t="n">
        <v>0</v>
      </c>
      <c r="AE64" s="224" t="n">
        <v>0</v>
      </c>
      <c r="AF64" s="224" t="n">
        <v>0</v>
      </c>
      <c r="AG64" s="224" t="n">
        <v>0</v>
      </c>
      <c r="AH64" s="230" t="n">
        <v>0</v>
      </c>
      <c r="AI64" s="224" t="n">
        <v>0</v>
      </c>
      <c r="AJ64" s="224" t="n">
        <v>0</v>
      </c>
      <c r="AK64" s="231" t="n">
        <v>0</v>
      </c>
      <c r="AL64" s="232" t="n">
        <v>0</v>
      </c>
      <c r="AM64" s="224" t="n">
        <v>1374750</v>
      </c>
      <c r="AN64" s="232" t="n">
        <v>0</v>
      </c>
      <c r="AO64" s="232" t="n">
        <v>0</v>
      </c>
      <c r="AP64" s="224" t="n">
        <v>0</v>
      </c>
      <c r="AQ64" s="233" t="n">
        <v>1</v>
      </c>
      <c r="AR64" s="224" t="n">
        <v>0</v>
      </c>
      <c r="AS64" s="224" t="n">
        <v>0</v>
      </c>
      <c r="AT64" s="224" t="n">
        <v>0</v>
      </c>
      <c r="AU64" s="224" t="n">
        <v>0</v>
      </c>
      <c r="AV64" s="224" t="n">
        <v>0</v>
      </c>
      <c r="AW64" s="224" t="n">
        <v>0</v>
      </c>
      <c r="AX64" s="224" t="n">
        <v>-1374750</v>
      </c>
      <c r="AY64" s="224" t="n">
        <v>0</v>
      </c>
      <c r="AZ64" s="224" t="n">
        <v>1374750</v>
      </c>
      <c r="BA64" s="224" t="n">
        <v>0</v>
      </c>
      <c r="BB64" s="224" t="s">
        <v>381</v>
      </c>
      <c r="BC64" s="224" t="s">
        <v>381</v>
      </c>
      <c r="BD64" s="224" t="n">
        <v>0</v>
      </c>
      <c r="BE64" s="224" t="n">
        <v>0</v>
      </c>
      <c r="BF64" s="224" t="n">
        <v>0</v>
      </c>
      <c r="BG64" s="224" t="n">
        <v>0</v>
      </c>
      <c r="BH64" s="224" t="n">
        <v>-1374750</v>
      </c>
      <c r="BI64" s="224" t="n">
        <v>0</v>
      </c>
      <c r="BJ64" s="224" t="n">
        <v>1374750</v>
      </c>
      <c r="BK64" s="224" t="n">
        <v>0</v>
      </c>
      <c r="BL64" s="224" t="n">
        <v>0</v>
      </c>
      <c r="BM64" s="224" t="s">
        <v>398</v>
      </c>
      <c r="BN64" s="224" t="n">
        <v>0</v>
      </c>
      <c r="BO64" s="234" t="b">
        <f aca="false">FALSE()</f>
        <v>0</v>
      </c>
      <c r="BP64" s="234" t="n">
        <v>0</v>
      </c>
      <c r="BQ64" s="225" t="n">
        <v>0</v>
      </c>
      <c r="BR64" s="225" t="n">
        <v>0</v>
      </c>
      <c r="BS64" s="236" t="n">
        <v>79</v>
      </c>
      <c r="BT64" s="225" t="n">
        <v>0</v>
      </c>
      <c r="BU64" s="237" t="n">
        <v>0</v>
      </c>
      <c r="BV64" s="225" t="n">
        <v>172</v>
      </c>
      <c r="BW64" s="238" t="n">
        <v>0</v>
      </c>
      <c r="BX64" s="238" t="n">
        <v>0</v>
      </c>
      <c r="BY64" s="234" t="n">
        <v>0</v>
      </c>
      <c r="BZ64" s="234" t="n">
        <v>0</v>
      </c>
      <c r="CA64" s="234" t="n">
        <v>0</v>
      </c>
      <c r="CB64" s="234" t="n">
        <v>0</v>
      </c>
      <c r="CC64" s="234" t="n">
        <v>0</v>
      </c>
      <c r="CD64" s="234" t="n">
        <v>0</v>
      </c>
      <c r="CE64" s="234" t="n">
        <v>0</v>
      </c>
      <c r="CF64" s="234" t="n">
        <v>0</v>
      </c>
      <c r="CG64" s="234" t="n">
        <v>0</v>
      </c>
      <c r="CH64" s="234" t="n">
        <v>0</v>
      </c>
      <c r="CI64" s="234" t="n">
        <v>0</v>
      </c>
      <c r="CJ64" s="234" t="n">
        <v>0</v>
      </c>
      <c r="CK64" s="225" t="n">
        <v>0</v>
      </c>
      <c r="CL64" s="225" t="n">
        <v>0</v>
      </c>
    </row>
    <row r="65" customFormat="false" ht="20.1" hidden="false" customHeight="true" outlineLevel="2" collapsed="false">
      <c r="A65" s="240" t="s">
        <v>528</v>
      </c>
      <c r="B65" s="240"/>
      <c r="C65" s="240"/>
      <c r="D65" s="240"/>
      <c r="E65" s="240"/>
      <c r="F65" s="240"/>
      <c r="G65" s="240"/>
      <c r="H65" s="240"/>
      <c r="I65" s="241"/>
      <c r="J65" s="242"/>
      <c r="K65" s="243"/>
      <c r="L65" s="245"/>
      <c r="M65" s="245"/>
      <c r="N65" s="245"/>
      <c r="O65" s="244"/>
      <c r="P65" s="245"/>
      <c r="Q65" s="245"/>
      <c r="R65" s="247" t="n">
        <v>0</v>
      </c>
      <c r="S65" s="248" t="n">
        <v>2.5</v>
      </c>
      <c r="T65" s="247" t="n">
        <v>0</v>
      </c>
      <c r="U65" s="249" t="n">
        <v>10125000</v>
      </c>
      <c r="V65" s="244"/>
      <c r="W65" s="244" t="n">
        <v>0</v>
      </c>
      <c r="X65" s="244" t="n">
        <v>0</v>
      </c>
      <c r="Y65" s="244" t="n">
        <v>0</v>
      </c>
      <c r="Z65" s="244" t="n">
        <v>0</v>
      </c>
      <c r="AA65" s="244" t="n">
        <v>0</v>
      </c>
      <c r="AB65" s="244" t="n">
        <v>0</v>
      </c>
      <c r="AC65" s="249" t="n">
        <v>10125000</v>
      </c>
      <c r="AD65" s="244" t="n">
        <v>0</v>
      </c>
      <c r="AE65" s="244" t="n">
        <v>0</v>
      </c>
      <c r="AF65" s="244" t="n">
        <v>0</v>
      </c>
      <c r="AG65" s="244" t="n">
        <v>0</v>
      </c>
      <c r="AH65" s="250" t="n">
        <v>0</v>
      </c>
      <c r="AI65" s="244" t="n">
        <v>0</v>
      </c>
      <c r="AJ65" s="244" t="n">
        <v>0</v>
      </c>
      <c r="AK65" s="251" t="n">
        <v>0</v>
      </c>
      <c r="AL65" s="252"/>
      <c r="AM65" s="244" t="n">
        <v>28374936.5</v>
      </c>
      <c r="AN65" s="252"/>
      <c r="AO65" s="252"/>
      <c r="AP65" s="244" t="n">
        <v>10125000</v>
      </c>
      <c r="AQ65" s="253"/>
      <c r="AR65" s="244"/>
      <c r="AS65" s="244"/>
      <c r="AT65" s="244" t="n">
        <v>0</v>
      </c>
      <c r="AU65" s="244" t="n">
        <v>0</v>
      </c>
      <c r="AV65" s="244" t="n">
        <v>0</v>
      </c>
      <c r="AW65" s="244" t="n">
        <v>0</v>
      </c>
      <c r="AX65" s="244" t="n">
        <v>-18249936.5</v>
      </c>
      <c r="AY65" s="244" t="n">
        <v>0</v>
      </c>
      <c r="AZ65" s="244" t="n">
        <v>18249936.5</v>
      </c>
      <c r="BA65" s="244" t="n">
        <v>0</v>
      </c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44"/>
      <c r="BP65" s="244"/>
      <c r="BQ65" s="245"/>
      <c r="BR65" s="245"/>
      <c r="BS65" s="255"/>
      <c r="BT65" s="245"/>
      <c r="BU65" s="256"/>
      <c r="BV65" s="245"/>
      <c r="BW65" s="257"/>
      <c r="BX65" s="257"/>
      <c r="BY65" s="244"/>
      <c r="BZ65" s="244"/>
      <c r="CA65" s="244" t="n">
        <v>0</v>
      </c>
      <c r="CB65" s="244"/>
      <c r="CC65" s="244"/>
      <c r="CD65" s="244"/>
      <c r="CE65" s="244"/>
      <c r="CF65" s="244"/>
      <c r="CG65" s="244"/>
      <c r="CH65" s="244"/>
      <c r="CI65" s="244"/>
      <c r="CJ65" s="244"/>
      <c r="CK65" s="245"/>
      <c r="CL65" s="245"/>
    </row>
    <row r="66" customFormat="false" ht="15.75" hidden="false" customHeight="false" outlineLevel="3" collapsed="false">
      <c r="A66" s="52" t="s">
        <v>529</v>
      </c>
      <c r="B66" s="52" t="s">
        <v>475</v>
      </c>
      <c r="C66" s="52" t="s">
        <v>460</v>
      </c>
      <c r="D66" s="52" t="s">
        <v>461</v>
      </c>
      <c r="E66" s="52" t="s">
        <v>530</v>
      </c>
      <c r="F66" s="52" t="s">
        <v>531</v>
      </c>
      <c r="G66" s="52" t="s">
        <v>484</v>
      </c>
      <c r="H66" s="52" t="s">
        <v>428</v>
      </c>
      <c r="I66" s="221" t="s">
        <v>428</v>
      </c>
      <c r="J66" s="223" t="n">
        <v>1.562501E-007</v>
      </c>
      <c r="K66" s="223" t="n">
        <v>1.562501E-007</v>
      </c>
      <c r="L66" s="225" t="n">
        <v>0.0499802195107836</v>
      </c>
      <c r="M66" s="225" t="n">
        <v>0</v>
      </c>
      <c r="N66" s="225" t="n">
        <v>0.861646685087498</v>
      </c>
      <c r="O66" s="224" t="n">
        <v>2.94094197047359</v>
      </c>
      <c r="P66" s="225" t="n">
        <v>2.95110082719578</v>
      </c>
      <c r="Q66" s="225" t="n">
        <v>-0.0101588567221871</v>
      </c>
      <c r="R66" s="227" t="n">
        <v>0</v>
      </c>
      <c r="S66" s="228" t="n">
        <v>1</v>
      </c>
      <c r="T66" s="227" t="s">
        <v>397</v>
      </c>
      <c r="U66" s="229" t="n">
        <v>4.59522476980696E-007</v>
      </c>
      <c r="V66" s="224" t="s">
        <v>385</v>
      </c>
      <c r="W66" s="224" t="n">
        <v>0</v>
      </c>
      <c r="X66" s="224" t="n">
        <v>0</v>
      </c>
      <c r="Y66" s="224" t="n">
        <v>0</v>
      </c>
      <c r="Z66" s="224" t="n">
        <v>0</v>
      </c>
      <c r="AA66" s="224" t="n">
        <v>0</v>
      </c>
      <c r="AB66" s="224" t="n">
        <v>0</v>
      </c>
      <c r="AC66" s="229" t="n">
        <v>4.61109799359423E-007</v>
      </c>
      <c r="AD66" s="224" t="n">
        <v>-1.58732237872741E-009</v>
      </c>
      <c r="AE66" s="224" t="n">
        <v>0</v>
      </c>
      <c r="AF66" s="224" t="n">
        <v>1.58732237872741E-009</v>
      </c>
      <c r="AG66" s="224" t="n">
        <v>0</v>
      </c>
      <c r="AH66" s="230" t="n">
        <v>-2.72020075752338E-008</v>
      </c>
      <c r="AI66" s="224" t="n">
        <v>0</v>
      </c>
      <c r="AJ66" s="224" t="n">
        <v>2.72020075752338E-008</v>
      </c>
      <c r="AK66" s="231" t="n">
        <v>0</v>
      </c>
      <c r="AL66" s="232" t="n">
        <v>0</v>
      </c>
      <c r="AM66" s="224" t="n">
        <v>944689.407381863</v>
      </c>
      <c r="AN66" s="232" t="n">
        <v>0</v>
      </c>
      <c r="AO66" s="232" t="n">
        <v>4.76374272091496E-008</v>
      </c>
      <c r="AP66" s="224" t="n">
        <v>1711868.38818415</v>
      </c>
      <c r="AQ66" s="233" t="n">
        <v>1</v>
      </c>
      <c r="AR66" s="224" t="n">
        <v>8.21257522328499E-007</v>
      </c>
      <c r="AS66" s="224" t="n">
        <v>6.1</v>
      </c>
      <c r="AT66" s="224" t="n">
        <v>-1.25087910012729E-008</v>
      </c>
      <c r="AU66" s="224" t="n">
        <v>0</v>
      </c>
      <c r="AV66" s="224" t="n">
        <v>1.25087910012729E-008</v>
      </c>
      <c r="AW66" s="224" t="n">
        <v>0</v>
      </c>
      <c r="AX66" s="224" t="n">
        <v>-405169.447381403</v>
      </c>
      <c r="AY66" s="224" t="n">
        <v>0</v>
      </c>
      <c r="AZ66" s="224" t="n">
        <v>405169.447381403</v>
      </c>
      <c r="BA66" s="224" t="n">
        <v>0</v>
      </c>
      <c r="BB66" s="224" t="n">
        <v>4.3</v>
      </c>
      <c r="BC66" s="224" t="n">
        <v>4.2</v>
      </c>
      <c r="BD66" s="224" t="n">
        <v>-1.09214686225455E-008</v>
      </c>
      <c r="BE66" s="224" t="n">
        <v>0</v>
      </c>
      <c r="BF66" s="224" t="n">
        <v>1.09214686225455E-008</v>
      </c>
      <c r="BG66" s="224" t="n">
        <v>0</v>
      </c>
      <c r="BH66" s="224" t="n">
        <v>-405169.447381402</v>
      </c>
      <c r="BI66" s="224" t="n">
        <v>0</v>
      </c>
      <c r="BJ66" s="224" t="n">
        <v>405169.447381402</v>
      </c>
      <c r="BK66" s="224" t="n">
        <v>0</v>
      </c>
      <c r="BL66" s="224" t="n">
        <v>1711868.38818415</v>
      </c>
      <c r="BM66" s="224" t="s">
        <v>398</v>
      </c>
      <c r="BN66" s="224" t="n">
        <v>0</v>
      </c>
      <c r="BO66" s="234" t="b">
        <f aca="false">FALSE()</f>
        <v>0</v>
      </c>
      <c r="BP66" s="234" t="n">
        <v>2.56146851965064E-008</v>
      </c>
      <c r="BQ66" s="225" t="n">
        <v>0</v>
      </c>
      <c r="BR66" s="225" t="n">
        <v>0</v>
      </c>
      <c r="BS66" s="236" t="n">
        <v>80</v>
      </c>
      <c r="BT66" s="225" t="n">
        <v>0</v>
      </c>
      <c r="BU66" s="237" t="n">
        <v>1.3463238070959E-007</v>
      </c>
      <c r="BV66" s="225" t="n">
        <v>174</v>
      </c>
      <c r="BW66" s="238" t="n">
        <v>4.3</v>
      </c>
      <c r="BX66" s="238" t="n">
        <v>4.3</v>
      </c>
      <c r="BY66" s="234" t="n">
        <v>0</v>
      </c>
      <c r="BZ66" s="234" t="n">
        <v>0</v>
      </c>
      <c r="CA66" s="234" t="n">
        <v>0</v>
      </c>
      <c r="CB66" s="234" t="n">
        <v>-539519.96</v>
      </c>
      <c r="CC66" s="234" t="n">
        <v>0</v>
      </c>
      <c r="CD66" s="234" t="n">
        <v>0</v>
      </c>
      <c r="CE66" s="234" t="n">
        <v>0</v>
      </c>
      <c r="CF66" s="234" t="n">
        <v>0</v>
      </c>
      <c r="CG66" s="234" t="n">
        <v>-2.56146851965064E-008</v>
      </c>
      <c r="CH66" s="234" t="n">
        <v>0</v>
      </c>
      <c r="CI66" s="234" t="n">
        <v>2.56146851965064E-008</v>
      </c>
      <c r="CJ66" s="234" t="n">
        <v>0</v>
      </c>
      <c r="CK66" s="225" t="n">
        <v>0</v>
      </c>
      <c r="CL66" s="225" t="n">
        <v>0</v>
      </c>
    </row>
    <row r="67" customFormat="false" ht="15.75" hidden="false" customHeight="false" outlineLevel="3" collapsed="false">
      <c r="A67" s="52" t="s">
        <v>529</v>
      </c>
      <c r="B67" s="52" t="s">
        <v>475</v>
      </c>
      <c r="C67" s="52" t="s">
        <v>460</v>
      </c>
      <c r="D67" s="52" t="s">
        <v>461</v>
      </c>
      <c r="E67" s="52" t="s">
        <v>532</v>
      </c>
      <c r="F67" s="52" t="s">
        <v>426</v>
      </c>
      <c r="G67" s="52" t="s">
        <v>484</v>
      </c>
      <c r="H67" s="52" t="s">
        <v>428</v>
      </c>
      <c r="I67" s="221" t="s">
        <v>428</v>
      </c>
      <c r="J67" s="223" t="n">
        <v>7.8E-015</v>
      </c>
      <c r="K67" s="223" t="n">
        <v>7.8E-015</v>
      </c>
      <c r="L67" s="225" t="n">
        <v>0.0337813274219525</v>
      </c>
      <c r="M67" s="225" t="n">
        <v>0.5</v>
      </c>
      <c r="N67" s="225" t="n">
        <v>0.280455693261207</v>
      </c>
      <c r="O67" s="224" t="n">
        <v>1.30369633896851</v>
      </c>
      <c r="P67" s="225" t="n">
        <v>1.31014959828208</v>
      </c>
      <c r="Q67" s="225" t="n">
        <v>-0.00645325931356888</v>
      </c>
      <c r="R67" s="227" t="s">
        <v>408</v>
      </c>
      <c r="S67" s="228" t="n">
        <v>0.6</v>
      </c>
      <c r="T67" s="227" t="s">
        <v>397</v>
      </c>
      <c r="U67" s="229" t="n">
        <v>1.01688314439544E-014</v>
      </c>
      <c r="V67" s="224" t="s">
        <v>385</v>
      </c>
      <c r="W67" s="224" t="n">
        <v>1.7773879560429E-014</v>
      </c>
      <c r="X67" s="224" t="n">
        <v>0</v>
      </c>
      <c r="Y67" s="224" t="n">
        <v>1.7773879560429E-014</v>
      </c>
      <c r="Z67" s="224" t="n">
        <v>0</v>
      </c>
      <c r="AA67" s="224" t="n">
        <v>0</v>
      </c>
      <c r="AB67" s="224" t="n">
        <v>0</v>
      </c>
      <c r="AC67" s="229" t="n">
        <v>1.02191668666002E-014</v>
      </c>
      <c r="AD67" s="224" t="n">
        <v>-5.03354226458363E-017</v>
      </c>
      <c r="AE67" s="224" t="n">
        <v>0</v>
      </c>
      <c r="AF67" s="224" t="n">
        <v>5.03354226458363E-017</v>
      </c>
      <c r="AG67" s="224" t="n">
        <v>0</v>
      </c>
      <c r="AH67" s="230" t="n">
        <v>-2.65082274995372E-015</v>
      </c>
      <c r="AI67" s="224" t="n">
        <v>0</v>
      </c>
      <c r="AJ67" s="224" t="n">
        <v>2.65082274995372E-015</v>
      </c>
      <c r="AK67" s="231" t="n">
        <v>0</v>
      </c>
      <c r="AL67" s="232" t="n">
        <v>0</v>
      </c>
      <c r="AM67" s="224" t="n">
        <v>211764.863077662</v>
      </c>
      <c r="AN67" s="232" t="n">
        <v>0</v>
      </c>
      <c r="AO67" s="232" t="n">
        <v>4.28178325073247E-015</v>
      </c>
      <c r="AP67" s="224" t="n">
        <v>140980.707686113</v>
      </c>
      <c r="AQ67" s="233" t="n">
        <v>1</v>
      </c>
      <c r="AR67" s="224" t="n">
        <v>3.5547759120858E-014</v>
      </c>
      <c r="AS67" s="224" t="n">
        <v>16.25</v>
      </c>
      <c r="AT67" s="224" t="n">
        <v>-1.00350603490496E-015</v>
      </c>
      <c r="AU67" s="224" t="n">
        <v>0</v>
      </c>
      <c r="AV67" s="224" t="n">
        <v>1.00350603490496E-015</v>
      </c>
      <c r="AW67" s="224" t="n">
        <v>0</v>
      </c>
      <c r="AX67" s="224" t="n">
        <v>-149364.863077662</v>
      </c>
      <c r="AY67" s="224" t="n">
        <v>0</v>
      </c>
      <c r="AZ67" s="224" t="n">
        <v>149364.863077662</v>
      </c>
      <c r="BA67" s="224" t="n">
        <v>0</v>
      </c>
      <c r="BB67" s="224" t="n">
        <v>13.45</v>
      </c>
      <c r="BC67" s="224" t="n">
        <v>13.4</v>
      </c>
      <c r="BD67" s="224" t="n">
        <v>-9.53170612259124E-016</v>
      </c>
      <c r="BE67" s="224" t="n">
        <v>0</v>
      </c>
      <c r="BF67" s="224" t="n">
        <v>9.53170612259124E-016</v>
      </c>
      <c r="BG67" s="224" t="n">
        <v>0</v>
      </c>
      <c r="BH67" s="224" t="n">
        <v>-149364.863077662</v>
      </c>
      <c r="BI67" s="224" t="n">
        <v>0</v>
      </c>
      <c r="BJ67" s="224" t="n">
        <v>149364.863077662</v>
      </c>
      <c r="BK67" s="224" t="n">
        <v>0</v>
      </c>
      <c r="BL67" s="224" t="n">
        <v>140980.707686113</v>
      </c>
      <c r="BM67" s="224" t="s">
        <v>398</v>
      </c>
      <c r="BN67" s="224" t="n">
        <v>0</v>
      </c>
      <c r="BO67" s="234" t="b">
        <f aca="false">FALSE()</f>
        <v>0</v>
      </c>
      <c r="BP67" s="234" t="n">
        <v>2.60048732730789E-015</v>
      </c>
      <c r="BQ67" s="225" t="n">
        <v>0</v>
      </c>
      <c r="BR67" s="225" t="n">
        <v>0</v>
      </c>
      <c r="BS67" s="236" t="n">
        <v>80</v>
      </c>
      <c r="BT67" s="225" t="n">
        <v>0</v>
      </c>
      <c r="BU67" s="237" t="n">
        <v>2.18755440743742E-015</v>
      </c>
      <c r="BV67" s="225" t="n">
        <v>177</v>
      </c>
      <c r="BW67" s="238" t="n">
        <v>13.45</v>
      </c>
      <c r="BX67" s="238" t="n">
        <v>13.45</v>
      </c>
      <c r="BY67" s="234" t="n">
        <v>0</v>
      </c>
      <c r="BZ67" s="234" t="n">
        <v>0</v>
      </c>
      <c r="CA67" s="234" t="n">
        <v>0</v>
      </c>
      <c r="CB67" s="234" t="n">
        <v>-62400</v>
      </c>
      <c r="CC67" s="234" t="n">
        <v>0</v>
      </c>
      <c r="CD67" s="234" t="n">
        <v>0</v>
      </c>
      <c r="CE67" s="234" t="n">
        <v>0</v>
      </c>
      <c r="CF67" s="234" t="n">
        <v>0</v>
      </c>
      <c r="CG67" s="234" t="n">
        <v>-2.60048732730789E-015</v>
      </c>
      <c r="CH67" s="234" t="n">
        <v>0</v>
      </c>
      <c r="CI67" s="234" t="n">
        <v>2.60048732730789E-015</v>
      </c>
      <c r="CJ67" s="234" t="n">
        <v>0</v>
      </c>
      <c r="CK67" s="225" t="n">
        <v>0.5</v>
      </c>
      <c r="CL67" s="225" t="n">
        <v>0</v>
      </c>
    </row>
    <row r="68" customFormat="false" ht="20.1" hidden="false" customHeight="true" outlineLevel="2" collapsed="false">
      <c r="A68" s="240" t="s">
        <v>533</v>
      </c>
      <c r="B68" s="240"/>
      <c r="C68" s="240"/>
      <c r="D68" s="240"/>
      <c r="E68" s="240"/>
      <c r="F68" s="240"/>
      <c r="G68" s="240"/>
      <c r="H68" s="240"/>
      <c r="I68" s="241"/>
      <c r="J68" s="243"/>
      <c r="K68" s="243"/>
      <c r="L68" s="245"/>
      <c r="M68" s="245"/>
      <c r="N68" s="245"/>
      <c r="O68" s="244"/>
      <c r="P68" s="245"/>
      <c r="Q68" s="245"/>
      <c r="R68" s="247" t="n">
        <v>0</v>
      </c>
      <c r="S68" s="248" t="n">
        <v>1.6</v>
      </c>
      <c r="T68" s="247" t="n">
        <v>0</v>
      </c>
      <c r="U68" s="249" t="n">
        <v>4.59522487149527E-007</v>
      </c>
      <c r="V68" s="244"/>
      <c r="W68" s="244" t="n">
        <v>1.7773879560429E-014</v>
      </c>
      <c r="X68" s="244" t="n">
        <v>0</v>
      </c>
      <c r="Y68" s="244" t="n">
        <v>1.7773879560429E-014</v>
      </c>
      <c r="Z68" s="244" t="n">
        <v>0</v>
      </c>
      <c r="AA68" s="244" t="n">
        <v>0</v>
      </c>
      <c r="AB68" s="244" t="n">
        <v>0</v>
      </c>
      <c r="AC68" s="249" t="n">
        <v>4.6110980957859E-007</v>
      </c>
      <c r="AD68" s="244" t="n">
        <v>-1.58732242906284E-009</v>
      </c>
      <c r="AE68" s="244" t="n">
        <v>0</v>
      </c>
      <c r="AF68" s="244" t="n">
        <v>1.58732242906284E-009</v>
      </c>
      <c r="AG68" s="244" t="n">
        <v>0</v>
      </c>
      <c r="AH68" s="250" t="n">
        <v>-2.72020102260566E-008</v>
      </c>
      <c r="AI68" s="244" t="n">
        <v>0</v>
      </c>
      <c r="AJ68" s="244" t="n">
        <v>2.72020102260566E-008</v>
      </c>
      <c r="AK68" s="251" t="n">
        <v>0</v>
      </c>
      <c r="AL68" s="252"/>
      <c r="AM68" s="244" t="n">
        <v>1156454.27045953</v>
      </c>
      <c r="AN68" s="252"/>
      <c r="AO68" s="252"/>
      <c r="AP68" s="244" t="n">
        <v>1852849.09587026</v>
      </c>
      <c r="AQ68" s="253"/>
      <c r="AR68" s="244"/>
      <c r="AS68" s="244"/>
      <c r="AT68" s="244" t="n">
        <v>-1.2508792004779E-008</v>
      </c>
      <c r="AU68" s="244" t="n">
        <v>0</v>
      </c>
      <c r="AV68" s="244" t="n">
        <v>1.2508792004779E-008</v>
      </c>
      <c r="AW68" s="244" t="n">
        <v>0</v>
      </c>
      <c r="AX68" s="244" t="n">
        <v>-554534.310459066</v>
      </c>
      <c r="AY68" s="244" t="n">
        <v>0</v>
      </c>
      <c r="AZ68" s="244" t="n">
        <v>554534.310459066</v>
      </c>
      <c r="BA68" s="244" t="n">
        <v>0</v>
      </c>
      <c r="BB68" s="244"/>
      <c r="BC68" s="244"/>
      <c r="BD68" s="244"/>
      <c r="BE68" s="244"/>
      <c r="BF68" s="244"/>
      <c r="BG68" s="244"/>
      <c r="BH68" s="244"/>
      <c r="BI68" s="244"/>
      <c r="BJ68" s="244"/>
      <c r="BK68" s="244"/>
      <c r="BL68" s="244"/>
      <c r="BM68" s="244"/>
      <c r="BN68" s="244"/>
      <c r="BO68" s="244"/>
      <c r="BP68" s="244"/>
      <c r="BQ68" s="245"/>
      <c r="BR68" s="245"/>
      <c r="BS68" s="255"/>
      <c r="BT68" s="245"/>
      <c r="BU68" s="256"/>
      <c r="BV68" s="245"/>
      <c r="BW68" s="257"/>
      <c r="BX68" s="257"/>
      <c r="BY68" s="244"/>
      <c r="BZ68" s="244"/>
      <c r="CA68" s="244" t="n">
        <v>0</v>
      </c>
      <c r="CB68" s="244"/>
      <c r="CC68" s="244"/>
      <c r="CD68" s="244"/>
      <c r="CE68" s="244"/>
      <c r="CF68" s="244"/>
      <c r="CG68" s="244"/>
      <c r="CH68" s="244"/>
      <c r="CI68" s="244"/>
      <c r="CJ68" s="244"/>
      <c r="CK68" s="245"/>
      <c r="CL68" s="245"/>
    </row>
    <row r="69" customFormat="false" ht="15.75" hidden="false" customHeight="false" outlineLevel="3" collapsed="false">
      <c r="A69" s="52" t="s">
        <v>534</v>
      </c>
      <c r="B69" s="52" t="s">
        <v>475</v>
      </c>
      <c r="C69" s="52" t="s">
        <v>509</v>
      </c>
      <c r="D69" s="52" t="s">
        <v>510</v>
      </c>
      <c r="E69" s="52" t="s">
        <v>535</v>
      </c>
      <c r="F69" s="52" t="s">
        <v>381</v>
      </c>
      <c r="G69" s="276" t="s">
        <v>427</v>
      </c>
      <c r="H69" s="276" t="s">
        <v>486</v>
      </c>
      <c r="I69" s="221" t="s">
        <v>384</v>
      </c>
      <c r="J69" s="223" t="n">
        <v>1</v>
      </c>
      <c r="K69" s="223" t="n">
        <v>1</v>
      </c>
      <c r="L69" s="225" t="n">
        <v>0</v>
      </c>
      <c r="M69" s="225" t="n">
        <v>0.6</v>
      </c>
      <c r="N69" s="225" t="n">
        <v>1</v>
      </c>
      <c r="O69" s="224" t="n">
        <v>0</v>
      </c>
      <c r="P69" s="226" t="n">
        <v>0</v>
      </c>
      <c r="Q69" s="226" t="n">
        <v>0</v>
      </c>
      <c r="R69" s="227" t="n">
        <v>0</v>
      </c>
      <c r="S69" s="228" t="n">
        <v>1</v>
      </c>
      <c r="T69" s="227" t="s">
        <v>397</v>
      </c>
      <c r="U69" s="229" t="n">
        <v>0</v>
      </c>
      <c r="V69" s="224" t="s">
        <v>471</v>
      </c>
      <c r="W69" s="224" t="n">
        <v>0</v>
      </c>
      <c r="X69" s="224" t="n">
        <v>0</v>
      </c>
      <c r="Y69" s="224" t="n">
        <v>0</v>
      </c>
      <c r="Z69" s="224" t="n">
        <v>0</v>
      </c>
      <c r="AA69" s="224" t="n">
        <v>0</v>
      </c>
      <c r="AB69" s="224" t="n">
        <v>0</v>
      </c>
      <c r="AC69" s="229" t="n">
        <v>0</v>
      </c>
      <c r="AD69" s="224" t="n">
        <v>0</v>
      </c>
      <c r="AE69" s="224" t="n">
        <v>0</v>
      </c>
      <c r="AF69" s="224" t="n">
        <v>0</v>
      </c>
      <c r="AG69" s="224" t="n">
        <v>0</v>
      </c>
      <c r="AH69" s="230" t="n">
        <v>0</v>
      </c>
      <c r="AI69" s="224" t="n">
        <v>0</v>
      </c>
      <c r="AJ69" s="224" t="n">
        <v>0</v>
      </c>
      <c r="AK69" s="231" t="n">
        <v>0</v>
      </c>
      <c r="AL69" s="232" t="n">
        <v>0</v>
      </c>
      <c r="AM69" s="224" t="n">
        <v>0</v>
      </c>
      <c r="AN69" s="232" t="n">
        <v>0</v>
      </c>
      <c r="AO69" s="225" t="n">
        <v>0</v>
      </c>
      <c r="AP69" s="224" t="n">
        <v>0</v>
      </c>
      <c r="AQ69" s="233" t="n">
        <v>1</v>
      </c>
      <c r="AR69" s="224" t="n">
        <v>0</v>
      </c>
      <c r="AS69" s="224" t="n">
        <v>0</v>
      </c>
      <c r="AT69" s="224" t="n">
        <v>0</v>
      </c>
      <c r="AU69" s="224" t="n">
        <v>0</v>
      </c>
      <c r="AV69" s="224" t="n">
        <v>0</v>
      </c>
      <c r="AW69" s="224" t="n">
        <v>0</v>
      </c>
      <c r="AX69" s="224" t="n">
        <v>-5408696.79</v>
      </c>
      <c r="AY69" s="224" t="n">
        <v>0</v>
      </c>
      <c r="AZ69" s="224" t="n">
        <v>5408696.79</v>
      </c>
      <c r="BA69" s="224" t="n">
        <v>0</v>
      </c>
      <c r="BB69" s="224" t="s">
        <v>381</v>
      </c>
      <c r="BC69" s="224" t="s">
        <v>381</v>
      </c>
      <c r="BD69" s="224" t="n">
        <v>0</v>
      </c>
      <c r="BE69" s="224" t="n">
        <v>0</v>
      </c>
      <c r="BF69" s="224" t="n">
        <v>0</v>
      </c>
      <c r="BG69" s="224" t="n">
        <v>0</v>
      </c>
      <c r="BH69" s="224" t="n">
        <v>-5408696.79</v>
      </c>
      <c r="BI69" s="224" t="n">
        <v>0</v>
      </c>
      <c r="BJ69" s="224" t="n">
        <v>5408696.79</v>
      </c>
      <c r="BK69" s="224" t="n">
        <v>0</v>
      </c>
      <c r="BL69" s="238" t="n">
        <v>0</v>
      </c>
      <c r="BM69" s="224" t="s">
        <v>398</v>
      </c>
      <c r="BN69" s="224" t="n">
        <v>0</v>
      </c>
      <c r="BO69" s="234" t="b">
        <f aca="false">FALSE()</f>
        <v>0</v>
      </c>
      <c r="BP69" s="234" t="n">
        <v>0</v>
      </c>
      <c r="BQ69" s="226" t="n">
        <v>0</v>
      </c>
      <c r="BR69" s="225" t="n">
        <v>0</v>
      </c>
      <c r="BS69" s="236" t="n">
        <v>89</v>
      </c>
      <c r="BT69" s="225" t="n">
        <v>0</v>
      </c>
      <c r="BU69" s="237" t="n">
        <v>0</v>
      </c>
      <c r="BV69" s="225" t="n">
        <v>140</v>
      </c>
      <c r="BW69" s="238" t="n">
        <v>0</v>
      </c>
      <c r="BX69" s="238" t="n">
        <v>0</v>
      </c>
      <c r="BY69" s="234" t="n">
        <v>0</v>
      </c>
      <c r="BZ69" s="234" t="n">
        <v>0</v>
      </c>
      <c r="CA69" s="234" t="n">
        <v>0</v>
      </c>
      <c r="CB69" s="234" t="n">
        <v>0</v>
      </c>
      <c r="CC69" s="234" t="n">
        <v>0</v>
      </c>
      <c r="CD69" s="234" t="n">
        <v>0</v>
      </c>
      <c r="CE69" s="234" t="n">
        <v>0</v>
      </c>
      <c r="CF69" s="234" t="n">
        <v>0</v>
      </c>
      <c r="CG69" s="234" t="n">
        <v>0</v>
      </c>
      <c r="CH69" s="234" t="n">
        <v>0</v>
      </c>
      <c r="CI69" s="234" t="n">
        <v>0</v>
      </c>
      <c r="CJ69" s="234" t="n">
        <v>0</v>
      </c>
      <c r="CK69" s="225" t="n">
        <v>0.6</v>
      </c>
      <c r="CL69" s="225" t="n">
        <v>0</v>
      </c>
    </row>
    <row r="70" customFormat="false" ht="20.1" hidden="false" customHeight="true" outlineLevel="2" collapsed="false">
      <c r="A70" s="240" t="s">
        <v>536</v>
      </c>
      <c r="B70" s="240"/>
      <c r="C70" s="240"/>
      <c r="D70" s="240"/>
      <c r="E70" s="240"/>
      <c r="F70" s="240"/>
      <c r="G70" s="277"/>
      <c r="H70" s="277"/>
      <c r="I70" s="241"/>
      <c r="J70" s="243"/>
      <c r="K70" s="243"/>
      <c r="L70" s="245"/>
      <c r="M70" s="245"/>
      <c r="N70" s="245"/>
      <c r="O70" s="244"/>
      <c r="P70" s="246"/>
      <c r="Q70" s="246"/>
      <c r="R70" s="247" t="n">
        <v>0</v>
      </c>
      <c r="S70" s="248" t="n">
        <v>1</v>
      </c>
      <c r="T70" s="247" t="n">
        <v>0</v>
      </c>
      <c r="U70" s="249" t="n">
        <v>0</v>
      </c>
      <c r="V70" s="244"/>
      <c r="W70" s="244" t="n">
        <v>0</v>
      </c>
      <c r="X70" s="244" t="n">
        <v>0</v>
      </c>
      <c r="Y70" s="244" t="n">
        <v>0</v>
      </c>
      <c r="Z70" s="244" t="n">
        <v>0</v>
      </c>
      <c r="AA70" s="244" t="n">
        <v>0</v>
      </c>
      <c r="AB70" s="244" t="n">
        <v>0</v>
      </c>
      <c r="AC70" s="249" t="n">
        <v>0</v>
      </c>
      <c r="AD70" s="244" t="n">
        <v>0</v>
      </c>
      <c r="AE70" s="244" t="n">
        <v>0</v>
      </c>
      <c r="AF70" s="244" t="n">
        <v>0</v>
      </c>
      <c r="AG70" s="244" t="n">
        <v>0</v>
      </c>
      <c r="AH70" s="250" t="n">
        <v>0</v>
      </c>
      <c r="AI70" s="244" t="n">
        <v>0</v>
      </c>
      <c r="AJ70" s="244" t="n">
        <v>0</v>
      </c>
      <c r="AK70" s="251" t="n">
        <v>0</v>
      </c>
      <c r="AL70" s="252"/>
      <c r="AM70" s="244" t="n">
        <v>0</v>
      </c>
      <c r="AN70" s="252"/>
      <c r="AO70" s="245"/>
      <c r="AP70" s="244" t="n">
        <v>0</v>
      </c>
      <c r="AQ70" s="253"/>
      <c r="AR70" s="244"/>
      <c r="AS70" s="244"/>
      <c r="AT70" s="244" t="n">
        <v>0</v>
      </c>
      <c r="AU70" s="244" t="n">
        <v>0</v>
      </c>
      <c r="AV70" s="244" t="n">
        <v>0</v>
      </c>
      <c r="AW70" s="244" t="n">
        <v>0</v>
      </c>
      <c r="AX70" s="244" t="n">
        <v>-5408696.79</v>
      </c>
      <c r="AY70" s="244" t="n">
        <v>0</v>
      </c>
      <c r="AZ70" s="244" t="n">
        <v>5408696.79</v>
      </c>
      <c r="BA70" s="244" t="n">
        <v>0</v>
      </c>
      <c r="BB70" s="244"/>
      <c r="BC70" s="244"/>
      <c r="BD70" s="244"/>
      <c r="BE70" s="244"/>
      <c r="BF70" s="244"/>
      <c r="BG70" s="244"/>
      <c r="BH70" s="244"/>
      <c r="BI70" s="244"/>
      <c r="BJ70" s="244"/>
      <c r="BK70" s="244"/>
      <c r="BL70" s="257"/>
      <c r="BM70" s="244"/>
      <c r="BN70" s="244"/>
      <c r="BO70" s="244"/>
      <c r="BP70" s="244"/>
      <c r="BQ70" s="246"/>
      <c r="BR70" s="245"/>
      <c r="BS70" s="255"/>
      <c r="BT70" s="245"/>
      <c r="BU70" s="256"/>
      <c r="BV70" s="245"/>
      <c r="BW70" s="257"/>
      <c r="BX70" s="257"/>
      <c r="BY70" s="244"/>
      <c r="BZ70" s="244"/>
      <c r="CA70" s="244" t="n">
        <v>0</v>
      </c>
      <c r="CB70" s="244"/>
      <c r="CC70" s="244"/>
      <c r="CD70" s="244"/>
      <c r="CE70" s="244"/>
      <c r="CF70" s="244"/>
      <c r="CG70" s="244"/>
      <c r="CH70" s="244"/>
      <c r="CI70" s="244"/>
      <c r="CJ70" s="244"/>
      <c r="CK70" s="245"/>
      <c r="CL70" s="245"/>
    </row>
    <row r="71" customFormat="false" ht="15.75" hidden="false" customHeight="false" outlineLevel="3" collapsed="false">
      <c r="A71" s="52" t="s">
        <v>537</v>
      </c>
      <c r="B71" s="52" t="s">
        <v>475</v>
      </c>
      <c r="C71" s="52" t="s">
        <v>509</v>
      </c>
      <c r="D71" s="52" t="s">
        <v>510</v>
      </c>
      <c r="E71" s="52" t="s">
        <v>538</v>
      </c>
      <c r="F71" s="52" t="s">
        <v>469</v>
      </c>
      <c r="G71" s="52" t="s">
        <v>470</v>
      </c>
      <c r="H71" s="52" t="s">
        <v>396</v>
      </c>
      <c r="I71" s="221" t="s">
        <v>384</v>
      </c>
      <c r="J71" s="223" t="n">
        <v>4181754</v>
      </c>
      <c r="K71" s="223" t="n">
        <v>4181754</v>
      </c>
      <c r="L71" s="225" t="n">
        <v>0</v>
      </c>
      <c r="M71" s="225" t="n">
        <v>0.62</v>
      </c>
      <c r="N71" s="225" t="n">
        <v>1</v>
      </c>
      <c r="O71" s="224" t="n">
        <v>20.28</v>
      </c>
      <c r="P71" s="226" t="n">
        <v>19.45</v>
      </c>
      <c r="Q71" s="226" t="n">
        <v>0.830000000000002</v>
      </c>
      <c r="R71" s="227" t="s">
        <v>539</v>
      </c>
      <c r="S71" s="228" t="n">
        <v>1</v>
      </c>
      <c r="T71" s="227" t="s">
        <v>397</v>
      </c>
      <c r="U71" s="229" t="n">
        <v>84805971.12</v>
      </c>
      <c r="V71" s="224" t="s">
        <v>471</v>
      </c>
      <c r="W71" s="224" t="n">
        <v>52579702.0944</v>
      </c>
      <c r="X71" s="224" t="n">
        <v>0</v>
      </c>
      <c r="Y71" s="224" t="n">
        <v>52579702.0944</v>
      </c>
      <c r="Z71" s="224" t="n">
        <v>0</v>
      </c>
      <c r="AA71" s="224" t="n">
        <v>0</v>
      </c>
      <c r="AB71" s="224" t="n">
        <v>0</v>
      </c>
      <c r="AC71" s="229" t="n">
        <v>81335115.3</v>
      </c>
      <c r="AD71" s="224" t="n">
        <v>0</v>
      </c>
      <c r="AE71" s="224" t="n">
        <v>0</v>
      </c>
      <c r="AF71" s="224" t="n">
        <v>0</v>
      </c>
      <c r="AG71" s="224" t="n">
        <v>0</v>
      </c>
      <c r="AH71" s="230" t="n">
        <v>-0.0300000086426735</v>
      </c>
      <c r="AI71" s="224" t="n">
        <v>0</v>
      </c>
      <c r="AJ71" s="224" t="n">
        <v>0.0300000086426735</v>
      </c>
      <c r="AK71" s="231" t="n">
        <v>0</v>
      </c>
      <c r="AL71" s="232" t="n">
        <v>0</v>
      </c>
      <c r="AM71" s="224" t="n">
        <v>0</v>
      </c>
      <c r="AN71" s="225" t="n">
        <v>0</v>
      </c>
      <c r="AO71" s="232" t="n">
        <v>0</v>
      </c>
      <c r="AP71" s="224" t="n">
        <v>0</v>
      </c>
      <c r="AQ71" s="233" t="n">
        <v>1</v>
      </c>
      <c r="AR71" s="224" t="n">
        <v>84805971.12</v>
      </c>
      <c r="AS71" s="224" t="n">
        <v>20.28</v>
      </c>
      <c r="AT71" s="224" t="n">
        <v>0</v>
      </c>
      <c r="AU71" s="224" t="n">
        <v>0</v>
      </c>
      <c r="AV71" s="224" t="n">
        <v>0</v>
      </c>
      <c r="AW71" s="224" t="n">
        <v>0</v>
      </c>
      <c r="AX71" s="224" t="n">
        <v>-27734708.346</v>
      </c>
      <c r="AY71" s="224" t="n">
        <v>0</v>
      </c>
      <c r="AZ71" s="224" t="n">
        <v>27734708.346</v>
      </c>
      <c r="BA71" s="224" t="n">
        <v>0</v>
      </c>
      <c r="BB71" s="224" t="n">
        <v>20.28</v>
      </c>
      <c r="BC71" s="224" t="n">
        <v>19.45</v>
      </c>
      <c r="BD71" s="224" t="n">
        <v>0</v>
      </c>
      <c r="BE71" s="224" t="n">
        <v>0</v>
      </c>
      <c r="BF71" s="224" t="n">
        <v>0</v>
      </c>
      <c r="BG71" s="224" t="n">
        <v>0</v>
      </c>
      <c r="BH71" s="224" t="n">
        <v>-27734708.346</v>
      </c>
      <c r="BI71" s="224" t="n">
        <v>0</v>
      </c>
      <c r="BJ71" s="224" t="n">
        <v>27734708.346</v>
      </c>
      <c r="BK71" s="224" t="n">
        <v>0</v>
      </c>
      <c r="BL71" s="224" t="n">
        <v>0</v>
      </c>
      <c r="BM71" s="224" t="s">
        <v>398</v>
      </c>
      <c r="BN71" s="224" t="n">
        <v>0</v>
      </c>
      <c r="BO71" s="234" t="b">
        <f aca="false">FALSE()</f>
        <v>0</v>
      </c>
      <c r="BP71" s="234" t="n">
        <v>0.0300000086426735</v>
      </c>
      <c r="BQ71" s="226" t="n">
        <v>4350556</v>
      </c>
      <c r="BR71" s="225" t="n">
        <v>52562917</v>
      </c>
      <c r="BS71" s="236" t="n">
        <v>87</v>
      </c>
      <c r="BT71" s="225" t="n">
        <v>0</v>
      </c>
      <c r="BU71" s="237" t="n">
        <v>4181754</v>
      </c>
      <c r="BV71" s="225" t="n">
        <v>15</v>
      </c>
      <c r="BW71" s="238" t="n">
        <v>20.28</v>
      </c>
      <c r="BX71" s="238" t="n">
        <v>0</v>
      </c>
      <c r="BY71" s="234" t="n">
        <v>3470855.82</v>
      </c>
      <c r="BZ71" s="234" t="n">
        <v>-20825134.92</v>
      </c>
      <c r="CA71" s="234" t="n">
        <v>-16979807.028</v>
      </c>
      <c r="CB71" s="234" t="n">
        <v>62412368.706</v>
      </c>
      <c r="CC71" s="234" t="n">
        <v>0</v>
      </c>
      <c r="CD71" s="234" t="n">
        <v>0</v>
      </c>
      <c r="CE71" s="234" t="n">
        <v>0</v>
      </c>
      <c r="CF71" s="234" t="n">
        <v>0</v>
      </c>
      <c r="CG71" s="234" t="n">
        <v>-0.0300000086426735</v>
      </c>
      <c r="CH71" s="234" t="n">
        <v>0</v>
      </c>
      <c r="CI71" s="234" t="n">
        <v>0.0300000086426735</v>
      </c>
      <c r="CJ71" s="234" t="n">
        <v>0</v>
      </c>
      <c r="CK71" s="225" t="n">
        <v>0.62</v>
      </c>
      <c r="CL71" s="225" t="n">
        <v>0</v>
      </c>
    </row>
    <row r="72" customFormat="false" ht="15.75" hidden="false" customHeight="false" outlineLevel="3" collapsed="false">
      <c r="A72" s="52" t="s">
        <v>537</v>
      </c>
      <c r="B72" s="52" t="s">
        <v>475</v>
      </c>
      <c r="C72" s="52" t="s">
        <v>509</v>
      </c>
      <c r="D72" s="52" t="s">
        <v>510</v>
      </c>
      <c r="E72" s="52" t="s">
        <v>540</v>
      </c>
      <c r="F72" s="52" t="s">
        <v>469</v>
      </c>
      <c r="G72" s="52" t="s">
        <v>427</v>
      </c>
      <c r="H72" s="52" t="s">
        <v>383</v>
      </c>
      <c r="I72" s="221" t="s">
        <v>384</v>
      </c>
      <c r="J72" s="223" t="n">
        <v>-3486700</v>
      </c>
      <c r="K72" s="223" t="n">
        <v>-3332400</v>
      </c>
      <c r="L72" s="225" t="n">
        <v>0</v>
      </c>
      <c r="M72" s="225" t="n">
        <v>0.62</v>
      </c>
      <c r="N72" s="225" t="n">
        <v>1</v>
      </c>
      <c r="O72" s="224" t="n">
        <v>20.28</v>
      </c>
      <c r="P72" s="226" t="n">
        <v>19.45</v>
      </c>
      <c r="Q72" s="226" t="n">
        <v>0.830000000000002</v>
      </c>
      <c r="R72" s="227" t="s">
        <v>539</v>
      </c>
      <c r="S72" s="228" t="n">
        <v>1</v>
      </c>
      <c r="T72" s="227" t="s">
        <v>397</v>
      </c>
      <c r="U72" s="229" t="n">
        <v>17820980.32</v>
      </c>
      <c r="V72" s="224" t="s">
        <v>471</v>
      </c>
      <c r="W72" s="224" t="n">
        <v>-43840371.12</v>
      </c>
      <c r="X72" s="224" t="n">
        <v>0</v>
      </c>
      <c r="Y72" s="224" t="n">
        <v>-43840371.12</v>
      </c>
      <c r="Z72" s="224" t="n">
        <v>0</v>
      </c>
      <c r="AA72" s="224" t="n">
        <v>0</v>
      </c>
      <c r="AB72" s="224" t="n">
        <v>0</v>
      </c>
      <c r="AC72" s="229" t="n">
        <v>20679572.8</v>
      </c>
      <c r="AD72" s="224" t="n">
        <v>0</v>
      </c>
      <c r="AE72" s="224" t="n">
        <v>0</v>
      </c>
      <c r="AF72" s="224" t="n">
        <v>0</v>
      </c>
      <c r="AG72" s="224" t="n">
        <v>0</v>
      </c>
      <c r="AH72" s="230" t="n">
        <v>0</v>
      </c>
      <c r="AI72" s="224" t="n">
        <v>0</v>
      </c>
      <c r="AJ72" s="224" t="n">
        <v>0</v>
      </c>
      <c r="AK72" s="231" t="n">
        <v>0</v>
      </c>
      <c r="AL72" s="232" t="n">
        <v>0</v>
      </c>
      <c r="AM72" s="224" t="n">
        <v>0</v>
      </c>
      <c r="AN72" s="225" t="n">
        <v>0</v>
      </c>
      <c r="AO72" s="232" t="n">
        <v>0</v>
      </c>
      <c r="AP72" s="224" t="n">
        <v>0</v>
      </c>
      <c r="AQ72" s="233" t="n">
        <v>1</v>
      </c>
      <c r="AR72" s="224" t="n">
        <v>-70710276</v>
      </c>
      <c r="AS72" s="224" t="n">
        <v>20.28</v>
      </c>
      <c r="AT72" s="224" t="n">
        <v>0</v>
      </c>
      <c r="AU72" s="224" t="n">
        <v>0</v>
      </c>
      <c r="AV72" s="224" t="n">
        <v>0</v>
      </c>
      <c r="AW72" s="224" t="n">
        <v>0</v>
      </c>
      <c r="AX72" s="224" t="n">
        <v>0</v>
      </c>
      <c r="AY72" s="224" t="n">
        <v>0</v>
      </c>
      <c r="AZ72" s="224" t="n">
        <v>0</v>
      </c>
      <c r="BA72" s="224" t="n">
        <v>0</v>
      </c>
      <c r="BB72" s="224" t="n">
        <v>20.28</v>
      </c>
      <c r="BC72" s="224" t="n">
        <v>19.45</v>
      </c>
      <c r="BD72" s="224" t="n">
        <v>0</v>
      </c>
      <c r="BE72" s="224" t="n">
        <v>0</v>
      </c>
      <c r="BF72" s="224" t="n">
        <v>0</v>
      </c>
      <c r="BG72" s="224" t="n">
        <v>0</v>
      </c>
      <c r="BH72" s="224" t="n">
        <v>0</v>
      </c>
      <c r="BI72" s="224" t="n">
        <v>0</v>
      </c>
      <c r="BJ72" s="224" t="n">
        <v>0</v>
      </c>
      <c r="BK72" s="224" t="n">
        <v>0</v>
      </c>
      <c r="BL72" s="224" t="n">
        <v>0</v>
      </c>
      <c r="BM72" s="224" t="s">
        <v>398</v>
      </c>
      <c r="BN72" s="224" t="n">
        <v>0</v>
      </c>
      <c r="BO72" s="234" t="b">
        <f aca="false">FALSE()</f>
        <v>0</v>
      </c>
      <c r="BP72" s="234" t="n">
        <v>0</v>
      </c>
      <c r="BQ72" s="226" t="n">
        <v>0</v>
      </c>
      <c r="BR72" s="225" t="n">
        <v>0</v>
      </c>
      <c r="BS72" s="236" t="n">
        <v>87</v>
      </c>
      <c r="BT72" s="225" t="n">
        <v>0</v>
      </c>
      <c r="BU72" s="237" t="n">
        <v>-3486700</v>
      </c>
      <c r="BV72" s="225" t="n">
        <v>16</v>
      </c>
      <c r="BW72" s="238" t="n">
        <v>20.28</v>
      </c>
      <c r="BX72" s="238" t="n">
        <v>0</v>
      </c>
      <c r="BY72" s="234" t="n">
        <v>-2858592.48</v>
      </c>
      <c r="BZ72" s="234" t="n">
        <v>12107323.88</v>
      </c>
      <c r="CA72" s="234" t="n">
        <v>17820980.32</v>
      </c>
      <c r="CB72" s="234" t="n">
        <v>17820980.32</v>
      </c>
      <c r="CC72" s="234" t="n">
        <v>0</v>
      </c>
      <c r="CD72" s="234" t="n">
        <v>0</v>
      </c>
      <c r="CE72" s="234" t="n">
        <v>0</v>
      </c>
      <c r="CF72" s="234" t="n">
        <v>0</v>
      </c>
      <c r="CG72" s="234" t="n">
        <v>0</v>
      </c>
      <c r="CH72" s="234" t="n">
        <v>0</v>
      </c>
      <c r="CI72" s="234" t="n">
        <v>0</v>
      </c>
      <c r="CJ72" s="234" t="n">
        <v>0</v>
      </c>
      <c r="CK72" s="225" t="n">
        <v>0.62</v>
      </c>
      <c r="CL72" s="225" t="n">
        <v>0</v>
      </c>
    </row>
    <row r="73" customFormat="false" ht="20.1" hidden="false" customHeight="true" outlineLevel="2" collapsed="false">
      <c r="A73" s="240" t="s">
        <v>541</v>
      </c>
      <c r="B73" s="240"/>
      <c r="C73" s="240"/>
      <c r="D73" s="240"/>
      <c r="E73" s="240"/>
      <c r="F73" s="240"/>
      <c r="G73" s="240"/>
      <c r="H73" s="240"/>
      <c r="I73" s="241"/>
      <c r="J73" s="243"/>
      <c r="K73" s="243"/>
      <c r="L73" s="245"/>
      <c r="M73" s="245"/>
      <c r="N73" s="245"/>
      <c r="O73" s="244"/>
      <c r="P73" s="246"/>
      <c r="Q73" s="246"/>
      <c r="R73" s="247" t="n">
        <v>0</v>
      </c>
      <c r="S73" s="248" t="n">
        <v>2</v>
      </c>
      <c r="T73" s="247" t="n">
        <v>0</v>
      </c>
      <c r="U73" s="249" t="n">
        <v>102626951.44</v>
      </c>
      <c r="V73" s="244"/>
      <c r="W73" s="244" t="n">
        <v>8739330.97440001</v>
      </c>
      <c r="X73" s="244" t="n">
        <v>0</v>
      </c>
      <c r="Y73" s="244" t="n">
        <v>8739330.97440001</v>
      </c>
      <c r="Z73" s="244" t="n">
        <v>0</v>
      </c>
      <c r="AA73" s="244" t="n">
        <v>0</v>
      </c>
      <c r="AB73" s="244" t="n">
        <v>0</v>
      </c>
      <c r="AC73" s="249" t="n">
        <v>102014688.1</v>
      </c>
      <c r="AD73" s="244" t="n">
        <v>0</v>
      </c>
      <c r="AE73" s="244" t="n">
        <v>0</v>
      </c>
      <c r="AF73" s="244" t="n">
        <v>0</v>
      </c>
      <c r="AG73" s="244" t="n">
        <v>0</v>
      </c>
      <c r="AH73" s="250" t="n">
        <v>-0.0300000086426735</v>
      </c>
      <c r="AI73" s="244" t="n">
        <v>0</v>
      </c>
      <c r="AJ73" s="244" t="n">
        <v>0.0300000086426735</v>
      </c>
      <c r="AK73" s="251" t="n">
        <v>0</v>
      </c>
      <c r="AL73" s="252"/>
      <c r="AM73" s="244" t="n">
        <v>0</v>
      </c>
      <c r="AN73" s="245"/>
      <c r="AO73" s="252"/>
      <c r="AP73" s="244" t="n">
        <v>0</v>
      </c>
      <c r="AQ73" s="253"/>
      <c r="AR73" s="244"/>
      <c r="AS73" s="244"/>
      <c r="AT73" s="244" t="n">
        <v>0</v>
      </c>
      <c r="AU73" s="244" t="n">
        <v>0</v>
      </c>
      <c r="AV73" s="244" t="n">
        <v>0</v>
      </c>
      <c r="AW73" s="244" t="n">
        <v>0</v>
      </c>
      <c r="AX73" s="244" t="n">
        <v>-27734708.346</v>
      </c>
      <c r="AY73" s="244" t="n">
        <v>0</v>
      </c>
      <c r="AZ73" s="244" t="n">
        <v>27734708.346</v>
      </c>
      <c r="BA73" s="244" t="n">
        <v>0</v>
      </c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4"/>
      <c r="BO73" s="244"/>
      <c r="BP73" s="244"/>
      <c r="BQ73" s="246"/>
      <c r="BR73" s="245"/>
      <c r="BS73" s="255"/>
      <c r="BT73" s="245"/>
      <c r="BU73" s="256"/>
      <c r="BV73" s="245"/>
      <c r="BW73" s="257"/>
      <c r="BX73" s="257"/>
      <c r="BY73" s="244"/>
      <c r="BZ73" s="244"/>
      <c r="CA73" s="244" t="n">
        <v>841173.292000003</v>
      </c>
      <c r="CB73" s="244"/>
      <c r="CC73" s="244"/>
      <c r="CD73" s="244"/>
      <c r="CE73" s="244"/>
      <c r="CF73" s="244"/>
      <c r="CG73" s="244"/>
      <c r="CH73" s="244"/>
      <c r="CI73" s="244"/>
      <c r="CJ73" s="244"/>
      <c r="CK73" s="245"/>
      <c r="CL73" s="245"/>
    </row>
    <row r="74" customFormat="false" ht="30" hidden="false" customHeight="true" outlineLevel="1" collapsed="false">
      <c r="A74" s="240"/>
      <c r="B74" s="240" t="s">
        <v>542</v>
      </c>
      <c r="C74" s="240"/>
      <c r="D74" s="240"/>
      <c r="E74" s="240"/>
      <c r="F74" s="240"/>
      <c r="G74" s="240"/>
      <c r="H74" s="240"/>
      <c r="I74" s="241"/>
      <c r="J74" s="258"/>
      <c r="K74" s="258"/>
      <c r="L74" s="260"/>
      <c r="M74" s="260"/>
      <c r="N74" s="260"/>
      <c r="O74" s="259"/>
      <c r="P74" s="261"/>
      <c r="Q74" s="261"/>
      <c r="R74" s="262" t="n">
        <v>0</v>
      </c>
      <c r="S74" s="263" t="n">
        <v>22.075</v>
      </c>
      <c r="T74" s="262" t="n">
        <v>0</v>
      </c>
      <c r="U74" s="264" t="n">
        <v>180497609.990001</v>
      </c>
      <c r="V74" s="259"/>
      <c r="W74" s="259" t="n">
        <v>9050344.06680001</v>
      </c>
      <c r="X74" s="259" t="n">
        <v>0</v>
      </c>
      <c r="Y74" s="259" t="n">
        <v>9050344.06680001</v>
      </c>
      <c r="Z74" s="259" t="n">
        <v>0</v>
      </c>
      <c r="AA74" s="259" t="n">
        <v>0</v>
      </c>
      <c r="AB74" s="259" t="n">
        <v>0</v>
      </c>
      <c r="AC74" s="264" t="n">
        <v>179254188.82</v>
      </c>
      <c r="AD74" s="259" t="n">
        <v>631157.829999998</v>
      </c>
      <c r="AE74" s="259" t="n">
        <v>0</v>
      </c>
      <c r="AF74" s="259" t="n">
        <v>-631157.829999998</v>
      </c>
      <c r="AG74" s="259" t="n">
        <v>0</v>
      </c>
      <c r="AH74" s="265" t="n">
        <v>-18593832.75</v>
      </c>
      <c r="AI74" s="259" t="n">
        <v>0</v>
      </c>
      <c r="AJ74" s="259" t="n">
        <v>18593832.75</v>
      </c>
      <c r="AK74" s="266" t="n">
        <v>0</v>
      </c>
      <c r="AL74" s="267"/>
      <c r="AM74" s="259" t="n">
        <v>278542742.011921</v>
      </c>
      <c r="AN74" s="260"/>
      <c r="AO74" s="267"/>
      <c r="AP74" s="259" t="n">
        <v>69067975.9343703</v>
      </c>
      <c r="AQ74" s="268"/>
      <c r="AR74" s="259"/>
      <c r="AS74" s="259"/>
      <c r="AT74" s="259" t="n">
        <v>-129108.970000012</v>
      </c>
      <c r="AU74" s="259" t="n">
        <v>0</v>
      </c>
      <c r="AV74" s="259" t="n">
        <v>129108.970000012</v>
      </c>
      <c r="AW74" s="259" t="n">
        <v>0</v>
      </c>
      <c r="AX74" s="259" t="n">
        <v>-234085752.137921</v>
      </c>
      <c r="AY74" s="259" t="n">
        <v>0</v>
      </c>
      <c r="AZ74" s="259" t="n">
        <v>234085752.137921</v>
      </c>
      <c r="BA74" s="259" t="n">
        <v>0</v>
      </c>
      <c r="BB74" s="259"/>
      <c r="BC74" s="259"/>
      <c r="BD74" s="259"/>
      <c r="BE74" s="259"/>
      <c r="BF74" s="25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61"/>
      <c r="BR74" s="260"/>
      <c r="BS74" s="270"/>
      <c r="BT74" s="260"/>
      <c r="BU74" s="271"/>
      <c r="BV74" s="260"/>
      <c r="BW74" s="272"/>
      <c r="BX74" s="272"/>
      <c r="BY74" s="259"/>
      <c r="BZ74" s="259"/>
      <c r="CA74" s="259" t="n">
        <v>968903.652000003</v>
      </c>
      <c r="CB74" s="259"/>
      <c r="CC74" s="259"/>
      <c r="CD74" s="259"/>
      <c r="CE74" s="259"/>
      <c r="CF74" s="259"/>
      <c r="CG74" s="259"/>
      <c r="CH74" s="259"/>
      <c r="CI74" s="259"/>
      <c r="CJ74" s="259"/>
      <c r="CK74" s="260"/>
      <c r="CL74" s="260"/>
    </row>
    <row r="75" customFormat="false" ht="15.75" hidden="false" customHeight="false" outlineLevel="3" collapsed="false">
      <c r="A75" s="52" t="s">
        <v>543</v>
      </c>
      <c r="B75" s="52" t="s">
        <v>544</v>
      </c>
      <c r="C75" s="52" t="s">
        <v>509</v>
      </c>
      <c r="D75" s="52" t="s">
        <v>510</v>
      </c>
      <c r="E75" s="52" t="s">
        <v>545</v>
      </c>
      <c r="F75" s="52" t="s">
        <v>381</v>
      </c>
      <c r="G75" s="276" t="s">
        <v>427</v>
      </c>
      <c r="H75" s="276" t="s">
        <v>486</v>
      </c>
      <c r="I75" s="221" t="s">
        <v>384</v>
      </c>
      <c r="J75" s="223" t="n">
        <v>1</v>
      </c>
      <c r="K75" s="223" t="n">
        <v>1</v>
      </c>
      <c r="L75" s="225" t="n">
        <v>0</v>
      </c>
      <c r="M75" s="225" t="n">
        <v>0.6</v>
      </c>
      <c r="N75" s="225" t="n">
        <v>1</v>
      </c>
      <c r="O75" s="224" t="n">
        <v>0</v>
      </c>
      <c r="P75" s="226" t="n">
        <v>0</v>
      </c>
      <c r="Q75" s="226" t="n">
        <v>0</v>
      </c>
      <c r="R75" s="227" t="n">
        <v>0</v>
      </c>
      <c r="S75" s="228" t="n">
        <v>1</v>
      </c>
      <c r="T75" s="227" t="s">
        <v>397</v>
      </c>
      <c r="U75" s="229" t="n">
        <v>0</v>
      </c>
      <c r="V75" s="224" t="s">
        <v>471</v>
      </c>
      <c r="W75" s="224" t="n">
        <v>0</v>
      </c>
      <c r="X75" s="224" t="n">
        <v>0</v>
      </c>
      <c r="Y75" s="224" t="n">
        <v>0</v>
      </c>
      <c r="Z75" s="224" t="n">
        <v>0</v>
      </c>
      <c r="AA75" s="224" t="n">
        <v>0</v>
      </c>
      <c r="AB75" s="224" t="n">
        <v>0</v>
      </c>
      <c r="AC75" s="229" t="n">
        <v>0</v>
      </c>
      <c r="AD75" s="224" t="n">
        <v>0</v>
      </c>
      <c r="AE75" s="224" t="n">
        <v>0</v>
      </c>
      <c r="AF75" s="224" t="n">
        <v>0</v>
      </c>
      <c r="AG75" s="224" t="n">
        <v>0</v>
      </c>
      <c r="AH75" s="230" t="n">
        <v>0</v>
      </c>
      <c r="AI75" s="224" t="n">
        <v>0</v>
      </c>
      <c r="AJ75" s="224" t="n">
        <v>0</v>
      </c>
      <c r="AK75" s="231" t="n">
        <v>0</v>
      </c>
      <c r="AL75" s="232" t="n">
        <v>0</v>
      </c>
      <c r="AM75" s="224" t="n">
        <v>0</v>
      </c>
      <c r="AN75" s="232" t="n">
        <v>0</v>
      </c>
      <c r="AO75" s="225" t="n">
        <v>0</v>
      </c>
      <c r="AP75" s="224" t="n">
        <v>0</v>
      </c>
      <c r="AQ75" s="233" t="n">
        <v>1</v>
      </c>
      <c r="AR75" s="224" t="n">
        <v>0</v>
      </c>
      <c r="AS75" s="224" t="n">
        <v>0</v>
      </c>
      <c r="AT75" s="224" t="n">
        <v>0</v>
      </c>
      <c r="AU75" s="224" t="n">
        <v>0</v>
      </c>
      <c r="AV75" s="224" t="n">
        <v>0</v>
      </c>
      <c r="AW75" s="224" t="n">
        <v>0</v>
      </c>
      <c r="AX75" s="224" t="n">
        <v>-3256034</v>
      </c>
      <c r="AY75" s="224" t="n">
        <v>0</v>
      </c>
      <c r="AZ75" s="224" t="n">
        <v>3256034</v>
      </c>
      <c r="BA75" s="224" t="n">
        <v>0</v>
      </c>
      <c r="BB75" s="224" t="s">
        <v>381</v>
      </c>
      <c r="BC75" s="224" t="s">
        <v>381</v>
      </c>
      <c r="BD75" s="224" t="n">
        <v>0</v>
      </c>
      <c r="BE75" s="224" t="n">
        <v>0</v>
      </c>
      <c r="BF75" s="224" t="n">
        <v>0</v>
      </c>
      <c r="BG75" s="224" t="n">
        <v>0</v>
      </c>
      <c r="BH75" s="224" t="n">
        <v>-3256034</v>
      </c>
      <c r="BI75" s="224" t="n">
        <v>0</v>
      </c>
      <c r="BJ75" s="224" t="n">
        <v>3256034</v>
      </c>
      <c r="BK75" s="224" t="n">
        <v>0</v>
      </c>
      <c r="BL75" s="238" t="n">
        <v>0</v>
      </c>
      <c r="BM75" s="224" t="s">
        <v>398</v>
      </c>
      <c r="BN75" s="224" t="n">
        <v>0</v>
      </c>
      <c r="BO75" s="234" t="b">
        <f aca="false">FALSE()</f>
        <v>0</v>
      </c>
      <c r="BP75" s="234" t="n">
        <v>0</v>
      </c>
      <c r="BQ75" s="226" t="n">
        <v>0</v>
      </c>
      <c r="BR75" s="225" t="n">
        <v>0</v>
      </c>
      <c r="BS75" s="236" t="n">
        <v>90</v>
      </c>
      <c r="BT75" s="225" t="n">
        <v>0</v>
      </c>
      <c r="BU75" s="237" t="n">
        <v>0</v>
      </c>
      <c r="BV75" s="225" t="n">
        <v>141</v>
      </c>
      <c r="BW75" s="238" t="n">
        <v>0</v>
      </c>
      <c r="BX75" s="238" t="n">
        <v>0</v>
      </c>
      <c r="BY75" s="234" t="n">
        <v>0</v>
      </c>
      <c r="BZ75" s="234" t="n">
        <v>0</v>
      </c>
      <c r="CA75" s="234" t="n">
        <v>0</v>
      </c>
      <c r="CB75" s="234" t="n">
        <v>0</v>
      </c>
      <c r="CC75" s="234" t="n">
        <v>0</v>
      </c>
      <c r="CD75" s="234" t="n">
        <v>0</v>
      </c>
      <c r="CE75" s="234" t="n">
        <v>0</v>
      </c>
      <c r="CF75" s="234" t="n">
        <v>0</v>
      </c>
      <c r="CG75" s="234" t="n">
        <v>0</v>
      </c>
      <c r="CH75" s="234" t="n">
        <v>0</v>
      </c>
      <c r="CI75" s="234" t="n">
        <v>0</v>
      </c>
      <c r="CJ75" s="234" t="n">
        <v>0</v>
      </c>
      <c r="CK75" s="225" t="n">
        <v>0.6</v>
      </c>
      <c r="CL75" s="225" t="n">
        <v>0</v>
      </c>
    </row>
    <row r="76" customFormat="false" ht="20.1" hidden="false" customHeight="true" outlineLevel="2" collapsed="false">
      <c r="A76" s="240" t="s">
        <v>546</v>
      </c>
      <c r="B76" s="240"/>
      <c r="C76" s="240"/>
      <c r="D76" s="240"/>
      <c r="E76" s="240"/>
      <c r="F76" s="240"/>
      <c r="G76" s="277"/>
      <c r="H76" s="277"/>
      <c r="I76" s="241"/>
      <c r="J76" s="243"/>
      <c r="K76" s="243"/>
      <c r="L76" s="245"/>
      <c r="M76" s="245"/>
      <c r="N76" s="245"/>
      <c r="O76" s="244"/>
      <c r="P76" s="246"/>
      <c r="Q76" s="246"/>
      <c r="R76" s="247" t="n">
        <v>0</v>
      </c>
      <c r="S76" s="248" t="n">
        <v>1</v>
      </c>
      <c r="T76" s="247" t="n">
        <v>0</v>
      </c>
      <c r="U76" s="249" t="n">
        <v>0</v>
      </c>
      <c r="V76" s="244"/>
      <c r="W76" s="244" t="n">
        <v>0</v>
      </c>
      <c r="X76" s="244" t="n">
        <v>0</v>
      </c>
      <c r="Y76" s="244" t="n">
        <v>0</v>
      </c>
      <c r="Z76" s="244" t="n">
        <v>0</v>
      </c>
      <c r="AA76" s="244" t="n">
        <v>0</v>
      </c>
      <c r="AB76" s="244" t="n">
        <v>0</v>
      </c>
      <c r="AC76" s="249" t="n">
        <v>0</v>
      </c>
      <c r="AD76" s="244" t="n">
        <v>0</v>
      </c>
      <c r="AE76" s="244" t="n">
        <v>0</v>
      </c>
      <c r="AF76" s="244" t="n">
        <v>0</v>
      </c>
      <c r="AG76" s="244" t="n">
        <v>0</v>
      </c>
      <c r="AH76" s="250" t="n">
        <v>0</v>
      </c>
      <c r="AI76" s="244" t="n">
        <v>0</v>
      </c>
      <c r="AJ76" s="244" t="n">
        <v>0</v>
      </c>
      <c r="AK76" s="251" t="n">
        <v>0</v>
      </c>
      <c r="AL76" s="252"/>
      <c r="AM76" s="244" t="n">
        <v>0</v>
      </c>
      <c r="AN76" s="252"/>
      <c r="AO76" s="245"/>
      <c r="AP76" s="244" t="n">
        <v>0</v>
      </c>
      <c r="AQ76" s="253"/>
      <c r="AR76" s="244"/>
      <c r="AS76" s="244"/>
      <c r="AT76" s="244" t="n">
        <v>0</v>
      </c>
      <c r="AU76" s="244" t="n">
        <v>0</v>
      </c>
      <c r="AV76" s="244" t="n">
        <v>0</v>
      </c>
      <c r="AW76" s="244" t="n">
        <v>0</v>
      </c>
      <c r="AX76" s="244" t="n">
        <v>-3256034</v>
      </c>
      <c r="AY76" s="244" t="n">
        <v>0</v>
      </c>
      <c r="AZ76" s="244" t="n">
        <v>3256034</v>
      </c>
      <c r="BA76" s="244" t="n">
        <v>0</v>
      </c>
      <c r="BB76" s="244"/>
      <c r="BC76" s="244"/>
      <c r="BD76" s="244"/>
      <c r="BE76" s="244"/>
      <c r="BF76" s="244"/>
      <c r="BG76" s="244"/>
      <c r="BH76" s="244"/>
      <c r="BI76" s="244"/>
      <c r="BJ76" s="244"/>
      <c r="BK76" s="244"/>
      <c r="BL76" s="257"/>
      <c r="BM76" s="244"/>
      <c r="BN76" s="244"/>
      <c r="BO76" s="244"/>
      <c r="BP76" s="244"/>
      <c r="BQ76" s="246"/>
      <c r="BR76" s="245"/>
      <c r="BS76" s="255"/>
      <c r="BT76" s="245"/>
      <c r="BU76" s="256"/>
      <c r="BV76" s="245"/>
      <c r="BW76" s="257"/>
      <c r="BX76" s="257"/>
      <c r="BY76" s="244"/>
      <c r="BZ76" s="244"/>
      <c r="CA76" s="244" t="n">
        <v>0</v>
      </c>
      <c r="CB76" s="244"/>
      <c r="CC76" s="244"/>
      <c r="CD76" s="244"/>
      <c r="CE76" s="244"/>
      <c r="CF76" s="244"/>
      <c r="CG76" s="244"/>
      <c r="CH76" s="244"/>
      <c r="CI76" s="244"/>
      <c r="CJ76" s="244"/>
      <c r="CK76" s="245"/>
      <c r="CL76" s="245"/>
    </row>
    <row r="77" customFormat="false" ht="30" hidden="false" customHeight="true" outlineLevel="1" collapsed="false">
      <c r="A77" s="240"/>
      <c r="B77" s="240" t="s">
        <v>547</v>
      </c>
      <c r="C77" s="240"/>
      <c r="D77" s="240"/>
      <c r="E77" s="240"/>
      <c r="F77" s="240"/>
      <c r="G77" s="277"/>
      <c r="H77" s="277"/>
      <c r="I77" s="241"/>
      <c r="J77" s="258"/>
      <c r="K77" s="258"/>
      <c r="L77" s="260"/>
      <c r="M77" s="260"/>
      <c r="N77" s="260"/>
      <c r="O77" s="259"/>
      <c r="P77" s="261"/>
      <c r="Q77" s="261"/>
      <c r="R77" s="262" t="n">
        <v>0</v>
      </c>
      <c r="S77" s="263" t="n">
        <v>1</v>
      </c>
      <c r="T77" s="262" t="n">
        <v>0</v>
      </c>
      <c r="U77" s="264" t="n">
        <v>0</v>
      </c>
      <c r="V77" s="259"/>
      <c r="W77" s="259" t="n">
        <v>0</v>
      </c>
      <c r="X77" s="259" t="n">
        <v>0</v>
      </c>
      <c r="Y77" s="259" t="n">
        <v>0</v>
      </c>
      <c r="Z77" s="259" t="n">
        <v>0</v>
      </c>
      <c r="AA77" s="259" t="n">
        <v>0</v>
      </c>
      <c r="AB77" s="259" t="n">
        <v>0</v>
      </c>
      <c r="AC77" s="264" t="n">
        <v>0</v>
      </c>
      <c r="AD77" s="259" t="n">
        <v>0</v>
      </c>
      <c r="AE77" s="259" t="n">
        <v>0</v>
      </c>
      <c r="AF77" s="259" t="n">
        <v>0</v>
      </c>
      <c r="AG77" s="259" t="n">
        <v>0</v>
      </c>
      <c r="AH77" s="265" t="n">
        <v>0</v>
      </c>
      <c r="AI77" s="259" t="n">
        <v>0</v>
      </c>
      <c r="AJ77" s="259" t="n">
        <v>0</v>
      </c>
      <c r="AK77" s="266" t="n">
        <v>0</v>
      </c>
      <c r="AL77" s="267"/>
      <c r="AM77" s="259" t="n">
        <v>0</v>
      </c>
      <c r="AN77" s="267"/>
      <c r="AO77" s="260"/>
      <c r="AP77" s="259" t="n">
        <v>0</v>
      </c>
      <c r="AQ77" s="268"/>
      <c r="AR77" s="259"/>
      <c r="AS77" s="259"/>
      <c r="AT77" s="259" t="n">
        <v>0</v>
      </c>
      <c r="AU77" s="259" t="n">
        <v>0</v>
      </c>
      <c r="AV77" s="259" t="n">
        <v>0</v>
      </c>
      <c r="AW77" s="259" t="n">
        <v>0</v>
      </c>
      <c r="AX77" s="259" t="n">
        <v>-3256034</v>
      </c>
      <c r="AY77" s="259" t="n">
        <v>0</v>
      </c>
      <c r="AZ77" s="259" t="n">
        <v>3256034</v>
      </c>
      <c r="BA77" s="259" t="n">
        <v>0</v>
      </c>
      <c r="BB77" s="259"/>
      <c r="BC77" s="259"/>
      <c r="BD77" s="259"/>
      <c r="BE77" s="259"/>
      <c r="BF77" s="259"/>
      <c r="BG77" s="259"/>
      <c r="BH77" s="259"/>
      <c r="BI77" s="259"/>
      <c r="BJ77" s="259"/>
      <c r="BK77" s="259"/>
      <c r="BL77" s="272"/>
      <c r="BM77" s="259"/>
      <c r="BN77" s="259"/>
      <c r="BO77" s="259"/>
      <c r="BP77" s="259"/>
      <c r="BQ77" s="261"/>
      <c r="BR77" s="260"/>
      <c r="BS77" s="270"/>
      <c r="BT77" s="260"/>
      <c r="BU77" s="271"/>
      <c r="BV77" s="260"/>
      <c r="BW77" s="272"/>
      <c r="BX77" s="272"/>
      <c r="BY77" s="259"/>
      <c r="BZ77" s="259"/>
      <c r="CA77" s="259" t="n">
        <v>0</v>
      </c>
      <c r="CB77" s="259"/>
      <c r="CC77" s="259"/>
      <c r="CD77" s="259"/>
      <c r="CE77" s="259"/>
      <c r="CF77" s="259"/>
      <c r="CG77" s="259"/>
      <c r="CH77" s="259"/>
      <c r="CI77" s="259"/>
      <c r="CJ77" s="259"/>
      <c r="CK77" s="260"/>
      <c r="CL77" s="260"/>
    </row>
    <row r="78" customFormat="false" ht="20.1" hidden="true" customHeight="true" outlineLevel="0" collapsed="false">
      <c r="A78" s="240" t="s">
        <v>548</v>
      </c>
      <c r="B78" s="240"/>
      <c r="C78" s="240"/>
      <c r="D78" s="240"/>
      <c r="E78" s="240"/>
      <c r="F78" s="240"/>
      <c r="G78" s="277"/>
      <c r="H78" s="277"/>
      <c r="I78" s="241"/>
      <c r="J78" s="243"/>
      <c r="K78" s="243"/>
      <c r="L78" s="245"/>
      <c r="M78" s="245"/>
      <c r="N78" s="245"/>
      <c r="O78" s="244"/>
      <c r="P78" s="246"/>
      <c r="Q78" s="246"/>
      <c r="R78" s="247" t="n">
        <v>0</v>
      </c>
      <c r="S78" s="248" t="n">
        <v>38.45</v>
      </c>
      <c r="T78" s="247" t="n">
        <v>0</v>
      </c>
      <c r="U78" s="249" t="n">
        <v>231354562.558601</v>
      </c>
      <c r="V78" s="244"/>
      <c r="W78" s="244" t="n">
        <v>9050344.06680001</v>
      </c>
      <c r="X78" s="244" t="n">
        <v>0</v>
      </c>
      <c r="Y78" s="244" t="n">
        <v>9050344.06680001</v>
      </c>
      <c r="Z78" s="244" t="n">
        <v>0</v>
      </c>
      <c r="AA78" s="244" t="n">
        <v>0</v>
      </c>
      <c r="AB78" s="244" t="n">
        <v>0</v>
      </c>
      <c r="AC78" s="249" t="n">
        <v>229651307.4686</v>
      </c>
      <c r="AD78" s="244" t="n">
        <v>482576.529999998</v>
      </c>
      <c r="AE78" s="244" t="n">
        <v>0</v>
      </c>
      <c r="AF78" s="244" t="n">
        <v>-482576.529999998</v>
      </c>
      <c r="AG78" s="244" t="n">
        <v>0</v>
      </c>
      <c r="AH78" s="250" t="n">
        <v>-30462105.25476</v>
      </c>
      <c r="AI78" s="244" t="n">
        <v>0</v>
      </c>
      <c r="AJ78" s="244" t="n">
        <v>30462105.25476</v>
      </c>
      <c r="AK78" s="251" t="n">
        <v>0</v>
      </c>
      <c r="AL78" s="252"/>
      <c r="AM78" s="244" t="n">
        <v>385997193.016944</v>
      </c>
      <c r="AN78" s="252"/>
      <c r="AO78" s="245"/>
      <c r="AP78" s="244" t="n">
        <v>296407083.555429</v>
      </c>
      <c r="AQ78" s="253"/>
      <c r="AR78" s="244"/>
      <c r="AS78" s="244"/>
      <c r="AT78" s="244" t="n">
        <v>-2637416.35000001</v>
      </c>
      <c r="AU78" s="244" t="n">
        <v>0</v>
      </c>
      <c r="AV78" s="244" t="n">
        <v>2637416.35000001</v>
      </c>
      <c r="AW78" s="244" t="n">
        <v>0</v>
      </c>
      <c r="AX78" s="244" t="n">
        <v>-288604807.987462</v>
      </c>
      <c r="AY78" s="244" t="n">
        <v>0</v>
      </c>
      <c r="AZ78" s="244" t="n">
        <v>288604807.987462</v>
      </c>
      <c r="BA78" s="244" t="n">
        <v>0</v>
      </c>
      <c r="BB78" s="244"/>
      <c r="BC78" s="244"/>
      <c r="BD78" s="244"/>
      <c r="BE78" s="244"/>
      <c r="BF78" s="244"/>
      <c r="BG78" s="244"/>
      <c r="BH78" s="244"/>
      <c r="BI78" s="244"/>
      <c r="BJ78" s="244"/>
      <c r="BK78" s="244"/>
      <c r="BL78" s="257"/>
      <c r="BM78" s="244"/>
      <c r="BN78" s="244"/>
      <c r="BO78" s="244"/>
      <c r="BP78" s="244"/>
      <c r="BQ78" s="246"/>
      <c r="BR78" s="245"/>
      <c r="BS78" s="255"/>
      <c r="BT78" s="245"/>
      <c r="BU78" s="256"/>
      <c r="BV78" s="245"/>
      <c r="BW78" s="257"/>
      <c r="BX78" s="257"/>
      <c r="BY78" s="244"/>
      <c r="BZ78" s="244"/>
      <c r="CA78" s="244" t="n">
        <v>24094964.288004</v>
      </c>
      <c r="CB78" s="244"/>
      <c r="CC78" s="244"/>
      <c r="CD78" s="244"/>
      <c r="CE78" s="244"/>
      <c r="CF78" s="244"/>
      <c r="CG78" s="244"/>
      <c r="CH78" s="244"/>
      <c r="CI78" s="244"/>
      <c r="CJ78" s="244"/>
      <c r="CK78" s="245"/>
      <c r="CL78" s="245"/>
    </row>
    <row r="79" customFormat="false" ht="30" hidden="false" customHeight="true" outlineLevel="0" collapsed="false">
      <c r="A79" s="278"/>
      <c r="B79" s="278" t="s">
        <v>548</v>
      </c>
      <c r="C79" s="278"/>
      <c r="D79" s="278"/>
      <c r="E79" s="278"/>
      <c r="F79" s="278"/>
      <c r="G79" s="279"/>
      <c r="H79" s="279"/>
      <c r="I79" s="280"/>
      <c r="J79" s="281"/>
      <c r="K79" s="281"/>
      <c r="L79" s="282"/>
      <c r="M79" s="282"/>
      <c r="N79" s="282"/>
      <c r="O79" s="283"/>
      <c r="P79" s="284"/>
      <c r="Q79" s="284"/>
      <c r="R79" s="285" t="n">
        <v>0</v>
      </c>
      <c r="S79" s="286" t="n">
        <v>38.45</v>
      </c>
      <c r="T79" s="285" t="n">
        <v>0</v>
      </c>
      <c r="U79" s="287" t="n">
        <v>231354562.558601</v>
      </c>
      <c r="V79" s="283"/>
      <c r="W79" s="283" t="n">
        <v>9050344.06680001</v>
      </c>
      <c r="X79" s="283" t="n">
        <v>0</v>
      </c>
      <c r="Y79" s="283" t="n">
        <v>9050344.06680001</v>
      </c>
      <c r="Z79" s="283" t="n">
        <v>0</v>
      </c>
      <c r="AA79" s="283" t="n">
        <v>0</v>
      </c>
      <c r="AB79" s="283" t="n">
        <v>0</v>
      </c>
      <c r="AC79" s="287" t="n">
        <v>229651307.4686</v>
      </c>
      <c r="AD79" s="283" t="n">
        <v>482576.529999998</v>
      </c>
      <c r="AE79" s="283" t="n">
        <v>0</v>
      </c>
      <c r="AF79" s="283" t="n">
        <v>-482576.529999998</v>
      </c>
      <c r="AG79" s="283" t="n">
        <v>0</v>
      </c>
      <c r="AH79" s="288" t="n">
        <v>-30462105.25476</v>
      </c>
      <c r="AI79" s="283" t="n">
        <v>0</v>
      </c>
      <c r="AJ79" s="283" t="n">
        <v>30462105.25476</v>
      </c>
      <c r="AK79" s="289" t="n">
        <v>0</v>
      </c>
      <c r="AL79" s="290"/>
      <c r="AM79" s="283" t="n">
        <v>385997193.016944</v>
      </c>
      <c r="AN79" s="290"/>
      <c r="AO79" s="282"/>
      <c r="AP79" s="283" t="n">
        <v>296407083.555429</v>
      </c>
      <c r="AQ79" s="291"/>
      <c r="AR79" s="283"/>
      <c r="AS79" s="283"/>
      <c r="AT79" s="283" t="n">
        <v>-2637416.35000001</v>
      </c>
      <c r="AU79" s="283" t="n">
        <v>0</v>
      </c>
      <c r="AV79" s="283" t="n">
        <v>2637416.35000001</v>
      </c>
      <c r="AW79" s="283" t="n">
        <v>0</v>
      </c>
      <c r="AX79" s="283" t="n">
        <v>-288604807.987462</v>
      </c>
      <c r="AY79" s="283" t="n">
        <v>0</v>
      </c>
      <c r="AZ79" s="283" t="n">
        <v>288604807.987462</v>
      </c>
      <c r="BA79" s="283" t="n">
        <v>0</v>
      </c>
      <c r="BB79" s="283"/>
      <c r="BC79" s="283"/>
      <c r="BD79" s="283"/>
      <c r="BE79" s="283"/>
      <c r="BF79" s="283"/>
      <c r="BG79" s="283"/>
      <c r="BH79" s="283"/>
      <c r="BI79" s="283"/>
      <c r="BJ79" s="283"/>
      <c r="BK79" s="283"/>
      <c r="BL79" s="292"/>
      <c r="BM79" s="283"/>
      <c r="BN79" s="283"/>
      <c r="BO79" s="283"/>
      <c r="BP79" s="283"/>
      <c r="BQ79" s="284"/>
      <c r="BR79" s="282"/>
      <c r="BS79" s="293"/>
      <c r="BT79" s="282"/>
      <c r="BU79" s="294"/>
      <c r="BV79" s="282"/>
      <c r="BW79" s="292"/>
      <c r="BX79" s="292"/>
      <c r="BY79" s="283"/>
      <c r="BZ79" s="283"/>
      <c r="CA79" s="283" t="n">
        <v>24094964.288004</v>
      </c>
      <c r="CB79" s="283"/>
      <c r="CC79" s="283"/>
      <c r="CD79" s="283"/>
      <c r="CE79" s="283"/>
      <c r="CF79" s="283"/>
      <c r="CG79" s="283"/>
      <c r="CH79" s="283"/>
      <c r="CI79" s="283"/>
      <c r="CJ79" s="283"/>
      <c r="CK79" s="282"/>
      <c r="CL79" s="282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2:BL32 AC43 BL40:BL43 AM4:AM43 AP4:AP43 BL47:BL49 AC47:AC49 AP47:AP49 AM47:AM49 AC71:AC74 BL71:BL79 AP71:AP79 AM71:AM79">
    <cfRule type="cellIs" priority="2" operator="notEqual" aboveAverage="0" equalAverage="0" bottom="0" percent="0" rank="0" text="" dxfId="0">
      <formula>"$BM$54"</formula>
    </cfRule>
  </conditionalFormatting>
  <conditionalFormatting sqref="BO4:BO79">
    <cfRule type="cellIs" priority="3" operator="notEqual" aboveAverage="0" equalAverage="0" bottom="0" percent="0" rank="0" text="" dxfId="1">
      <formula>FALSE()</formula>
    </cfRule>
  </conditionalFormatting>
  <conditionalFormatting sqref="BN4:BN79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X3" activePane="bottomRight" state="frozen"/>
      <selection pane="topLeft" activeCell="A1" activeCellId="0" sqref="A1"/>
      <selection pane="topRight" activeCell="X1" activeCellId="0" sqref="X1"/>
      <selection pane="bottomLeft" activeCell="A3" activeCellId="0" sqref="A3"/>
      <selection pane="bottomRight" activeCell="AC18" activeCellId="0" sqref="AC1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15" width="10.49"/>
    <col collapsed="false" customWidth="true" hidden="false" outlineLevel="0" max="11" min="11" style="15" width="9.86"/>
    <col collapsed="false" customWidth="true" hidden="false" outlineLevel="0" max="12" min="12" style="15" width="11.24"/>
    <col collapsed="false" customWidth="true" hidden="false" outlineLevel="0" max="13" min="13" style="15" width="13.62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5.62"/>
    <col collapsed="false" customWidth="true" hidden="false" outlineLevel="0" max="18" min="18" style="0" width="14.49"/>
    <col collapsed="false" customWidth="true" hidden="false" outlineLevel="0" max="19" min="19" style="0" width="12.62"/>
    <col collapsed="false" customWidth="true" hidden="false" outlineLevel="0" max="20" min="20" style="0" width="13.49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17.62"/>
    <col collapsed="false" customWidth="true" hidden="false" outlineLevel="0" max="27" min="26" style="0" width="12.74"/>
    <col collapsed="false" customWidth="true" hidden="false" outlineLevel="0" max="28" min="28" style="0" width="13.11"/>
    <col collapsed="false" customWidth="true" hidden="false" outlineLevel="0" max="29" min="29" style="0" width="15.12"/>
    <col collapsed="false" customWidth="true" hidden="false" outlineLevel="0" max="30" min="30" style="0" width="13.74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37" t="s">
        <v>28</v>
      </c>
      <c r="AA1" s="37"/>
      <c r="AB1" s="37" t="s">
        <v>29</v>
      </c>
      <c r="AC1" s="37"/>
      <c r="AD1" s="28"/>
    </row>
    <row r="2" customFormat="false" ht="15" hidden="false" customHeight="true" outlineLevel="0" collapsed="false">
      <c r="A2" s="38" t="s">
        <v>30</v>
      </c>
      <c r="B2" s="39" t="s">
        <v>31</v>
      </c>
      <c r="C2" s="39" t="s">
        <v>31</v>
      </c>
      <c r="D2" s="38" t="s">
        <v>32</v>
      </c>
      <c r="E2" s="40" t="s">
        <v>33</v>
      </c>
      <c r="F2" s="38" t="s">
        <v>34</v>
      </c>
      <c r="G2" s="41" t="s">
        <v>35</v>
      </c>
      <c r="H2" s="42" t="s">
        <v>36</v>
      </c>
      <c r="I2" s="43" t="s">
        <v>37</v>
      </c>
      <c r="J2" s="44" t="s">
        <v>31</v>
      </c>
      <c r="K2" s="41" t="s">
        <v>35</v>
      </c>
      <c r="L2" s="45" t="s">
        <v>36</v>
      </c>
      <c r="M2" s="43" t="s">
        <v>37</v>
      </c>
      <c r="N2" s="38" t="s">
        <v>38</v>
      </c>
      <c r="O2" s="39" t="s">
        <v>39</v>
      </c>
      <c r="P2" s="46" t="s">
        <v>40</v>
      </c>
      <c r="Q2" s="38" t="s">
        <v>40</v>
      </c>
      <c r="R2" s="47" t="s">
        <v>40</v>
      </c>
      <c r="S2" s="46" t="s">
        <v>7</v>
      </c>
      <c r="T2" s="47" t="s">
        <v>6</v>
      </c>
      <c r="U2" s="38" t="s">
        <v>38</v>
      </c>
      <c r="V2" s="38" t="s">
        <v>41</v>
      </c>
      <c r="W2" s="47" t="s">
        <v>42</v>
      </c>
      <c r="X2" s="48"/>
      <c r="Y2" s="48"/>
      <c r="Z2" s="44" t="s">
        <v>7</v>
      </c>
      <c r="AA2" s="47" t="s">
        <v>6</v>
      </c>
      <c r="AB2" s="44" t="s">
        <v>7</v>
      </c>
      <c r="AC2" s="47" t="s">
        <v>6</v>
      </c>
      <c r="AD2" s="48"/>
    </row>
    <row r="3" customFormat="false" ht="15.75" hidden="false" customHeight="false" outlineLevel="0" collapsed="false">
      <c r="A3" s="49" t="s">
        <v>43</v>
      </c>
      <c r="N3" s="25"/>
      <c r="P3" s="15"/>
      <c r="Q3" s="15"/>
      <c r="R3" s="50"/>
      <c r="T3" s="15"/>
      <c r="U3" s="15"/>
      <c r="V3" s="15"/>
      <c r="Z3" s="51"/>
      <c r="AA3" s="48"/>
      <c r="AB3" s="51"/>
      <c r="AC3" s="48"/>
    </row>
    <row r="4" customFormat="false" ht="15.75" hidden="false" customHeight="false" outlineLevel="0" collapsed="false">
      <c r="A4" s="52" t="s">
        <v>44</v>
      </c>
      <c r="N4" s="15"/>
      <c r="P4" s="15"/>
      <c r="Q4" s="15"/>
      <c r="R4" s="50"/>
      <c r="T4" s="15"/>
      <c r="U4" s="15"/>
      <c r="V4" s="53"/>
      <c r="W4" s="54"/>
      <c r="Z4" s="15"/>
      <c r="AA4" s="50"/>
      <c r="AB4" s="15"/>
      <c r="AC4" s="15"/>
    </row>
    <row r="5" customFormat="false" ht="15.75" hidden="false" customHeight="false" outlineLevel="0" collapsed="false">
      <c r="A5" s="52" t="s">
        <v>45</v>
      </c>
      <c r="N5" s="15"/>
      <c r="P5" s="15"/>
      <c r="Q5" s="15"/>
      <c r="R5" s="50"/>
      <c r="T5" s="15"/>
      <c r="U5" s="15"/>
      <c r="V5" s="53"/>
      <c r="W5" s="54"/>
      <c r="Z5" s="15"/>
      <c r="AA5" s="50"/>
      <c r="AB5" s="15"/>
      <c r="AC5" s="15"/>
    </row>
    <row r="6" customFormat="false" ht="15.75" hidden="false" customHeight="false" outlineLevel="0" collapsed="false">
      <c r="A6" s="52" t="s">
        <v>46</v>
      </c>
      <c r="B6" s="23" t="n">
        <v>36791</v>
      </c>
      <c r="C6" s="23" t="n">
        <v>37801</v>
      </c>
      <c r="D6" s="24" t="s">
        <v>47</v>
      </c>
      <c r="E6" s="15" t="n">
        <v>0</v>
      </c>
      <c r="F6" s="24" t="s">
        <v>48</v>
      </c>
      <c r="I6" s="15" t="n">
        <f aca="false">460000000</f>
        <v>460000000</v>
      </c>
      <c r="J6" s="27" t="n">
        <v>36976</v>
      </c>
      <c r="K6" s="25"/>
      <c r="L6" s="26"/>
      <c r="M6" s="15" t="n">
        <f aca="false">+I6</f>
        <v>460000000</v>
      </c>
      <c r="N6" s="15"/>
      <c r="O6" s="27" t="n">
        <f aca="false">+Summary!C5</f>
        <v>37161</v>
      </c>
      <c r="P6" s="15" t="n">
        <v>0</v>
      </c>
      <c r="Q6" s="15" t="n">
        <v>0</v>
      </c>
      <c r="R6" s="50" t="n">
        <f aca="false">+P6+Q6</f>
        <v>0</v>
      </c>
      <c r="S6" s="0" t="n">
        <v>0</v>
      </c>
      <c r="T6" s="15" t="n">
        <v>0</v>
      </c>
      <c r="U6" s="15"/>
      <c r="V6" s="53"/>
      <c r="W6" s="54"/>
      <c r="Z6" s="15" t="n">
        <v>0</v>
      </c>
      <c r="AA6" s="50" t="n">
        <v>0</v>
      </c>
      <c r="AB6" s="15" t="n">
        <f aca="false">+Q6-Z6</f>
        <v>0</v>
      </c>
      <c r="AC6" s="15" t="n">
        <f aca="false">+R6-AA6</f>
        <v>0</v>
      </c>
    </row>
    <row r="7" customFormat="false" ht="15.75" hidden="false" customHeight="false" outlineLevel="0" collapsed="false">
      <c r="A7" s="52" t="s">
        <v>49</v>
      </c>
      <c r="B7" s="23" t="n">
        <v>36888</v>
      </c>
      <c r="C7" s="23" t="n">
        <v>37801</v>
      </c>
      <c r="D7" s="24" t="s">
        <v>50</v>
      </c>
      <c r="E7" s="15" t="n">
        <v>0</v>
      </c>
      <c r="F7" s="24" t="s">
        <v>51</v>
      </c>
      <c r="G7" s="25" t="n">
        <v>92.678</v>
      </c>
      <c r="Z7" s="15"/>
      <c r="AA7" s="50"/>
      <c r="AB7" s="15"/>
      <c r="AC7" s="15"/>
    </row>
    <row r="8" customFormat="false" ht="15.75" hidden="false" customHeight="false" outlineLevel="0" collapsed="false">
      <c r="A8" s="52"/>
      <c r="B8" s="23" t="n">
        <v>36888</v>
      </c>
      <c r="C8" s="23" t="n">
        <v>37801</v>
      </c>
      <c r="D8" s="24" t="s">
        <v>50</v>
      </c>
      <c r="F8" s="24" t="s">
        <v>52</v>
      </c>
      <c r="G8" s="25" t="n">
        <v>34.875</v>
      </c>
      <c r="Z8" s="15"/>
      <c r="AA8" s="50"/>
      <c r="AB8" s="15"/>
      <c r="AC8" s="15"/>
    </row>
    <row r="9" customFormat="false" ht="15.75" hidden="false" customHeight="false" outlineLevel="0" collapsed="false">
      <c r="A9" s="52"/>
      <c r="B9" s="23" t="n">
        <v>36888</v>
      </c>
      <c r="C9" s="23" t="n">
        <v>37801</v>
      </c>
      <c r="D9" s="24" t="s">
        <v>47</v>
      </c>
      <c r="F9" s="24" t="s">
        <v>47</v>
      </c>
      <c r="G9" s="25" t="n">
        <v>44.875</v>
      </c>
      <c r="N9" s="15"/>
      <c r="P9" s="15"/>
      <c r="Q9" s="15"/>
      <c r="R9" s="50"/>
      <c r="T9" s="15"/>
      <c r="U9" s="15"/>
      <c r="V9" s="53"/>
      <c r="W9" s="54"/>
      <c r="Z9" s="15"/>
      <c r="AA9" s="50"/>
      <c r="AB9" s="15"/>
      <c r="AC9" s="15"/>
      <c r="AD9" s="50"/>
    </row>
    <row r="10" customFormat="false" ht="15.75" hidden="false" customHeight="false" outlineLevel="0" collapsed="false">
      <c r="A10" s="55" t="s">
        <v>53</v>
      </c>
      <c r="D10" s="24" t="s">
        <v>47</v>
      </c>
      <c r="H10" s="26" t="n">
        <v>3314340</v>
      </c>
      <c r="I10" s="15" t="n">
        <f aca="false">+H10*($G$9-$G$8)</f>
        <v>33143400</v>
      </c>
      <c r="J10" s="27" t="n">
        <v>36966</v>
      </c>
      <c r="K10" s="25" t="n">
        <f aca="false">35.15*0.96</f>
        <v>33.744</v>
      </c>
      <c r="L10" s="26" t="n">
        <f aca="false">1173344*0.6</f>
        <v>704006.4</v>
      </c>
      <c r="M10" s="15" t="n">
        <f aca="false">+K10*L10</f>
        <v>23755991.9616</v>
      </c>
      <c r="N10" s="56" t="n">
        <f aca="false">VLOOKUP(O10,Prices,3)</f>
        <v>20.28</v>
      </c>
      <c r="O10" s="27" t="n">
        <f aca="false">+Summary!C5</f>
        <v>37161</v>
      </c>
      <c r="P10" s="15" t="n">
        <f aca="false">IF(N10&gt;$G$7,(+$G$7-$G$9)*(H10-L10),IF(N10&lt;$G$8,(+$G$8-$G$9)*(H10-L10),(+N10-$G$9)*(H10-L10)))</f>
        <v>-26103336</v>
      </c>
      <c r="Q10" s="15" t="n">
        <f aca="false">(MAX(G8,K10)-G9)*L10</f>
        <v>-7040064</v>
      </c>
      <c r="R10" s="50" t="n">
        <f aca="false">+P10+Q10</f>
        <v>-33143400</v>
      </c>
      <c r="S10" s="15" t="n">
        <f aca="false">IF(J10&lt;O10,+Q10,0)</f>
        <v>-7040064</v>
      </c>
      <c r="T10" s="15" t="n">
        <f aca="false">IF(U10&gt;$G$7,(+$G$7-$G$9)*H10,IF(U10&lt;$G$8,(+$G$8-$G$9)*H10,(+U10-$G$9)*H10))</f>
        <v>-33143400</v>
      </c>
      <c r="U10" s="25" t="n">
        <f aca="false">+VLOOKUP(+Summary!$E$5,Prices,3)</f>
        <v>19.45</v>
      </c>
      <c r="V10" s="53"/>
      <c r="W10" s="54"/>
      <c r="Z10" s="50" t="n">
        <v>-7040064</v>
      </c>
      <c r="AA10" s="50" t="n">
        <v>-33143400</v>
      </c>
      <c r="AB10" s="15" t="n">
        <f aca="false">+Q10-Z10</f>
        <v>0</v>
      </c>
      <c r="AC10" s="15" t="n">
        <f aca="false">+R10-AA10</f>
        <v>0</v>
      </c>
      <c r="AD10" s="50" t="n">
        <f aca="false">+AC10-'MPR Raptor'!AH72-'MPR Raptor'!AH71-'MPR Raptor'!AH69</f>
        <v>0.0300000086426735</v>
      </c>
    </row>
    <row r="11" customFormat="false" ht="15.75" hidden="false" customHeight="false" outlineLevel="0" collapsed="false">
      <c r="A11" s="55" t="s">
        <v>54</v>
      </c>
      <c r="D11" s="24" t="s">
        <v>47</v>
      </c>
      <c r="H11" s="26" t="n">
        <f aca="false">5309572-H10</f>
        <v>1995232</v>
      </c>
      <c r="I11" s="15" t="n">
        <f aca="false">+H11*($G$9-$G$8)</f>
        <v>19952320</v>
      </c>
      <c r="J11" s="27" t="n">
        <v>36966</v>
      </c>
      <c r="K11" s="25" t="n">
        <f aca="false">+K10</f>
        <v>33.744</v>
      </c>
      <c r="L11" s="26" t="n">
        <f aca="false">1173344*0.3612</f>
        <v>423811.8528</v>
      </c>
      <c r="M11" s="15" t="n">
        <f aca="false">+K11*L11</f>
        <v>14301107.1608832</v>
      </c>
      <c r="N11" s="56" t="n">
        <f aca="false">+N10</f>
        <v>20.28</v>
      </c>
      <c r="O11" s="27" t="n">
        <f aca="false">+O10</f>
        <v>37161</v>
      </c>
      <c r="P11" s="15" t="n">
        <f aca="false">IF(N11&gt;$G$7,(+$G$7-$G$9)*(H11-L11),IF(N11&lt;$G$8,(+$G$8-$G$9)*(H11-L11),(+N11-$G$9)*(H11-L11)))</f>
        <v>-15714201.472</v>
      </c>
      <c r="Q11" s="15" t="n">
        <f aca="false">(MAX(G8,K11)-G9)*L11</f>
        <v>-4238118.528</v>
      </c>
      <c r="R11" s="50" t="n">
        <f aca="false">+P11+Q11</f>
        <v>-19952320</v>
      </c>
      <c r="S11" s="15" t="n">
        <f aca="false">IF(J11&lt;O11,+Q11,0)</f>
        <v>-4238118.528</v>
      </c>
      <c r="T11" s="15" t="n">
        <f aca="false">IF(U11&gt;$G$7,(+$G$7-$G$9)*H11,IF(U11&lt;$G$8,(+$G$8-$G$9)*H11,(+U11-$G$9)*H11))</f>
        <v>-19952320</v>
      </c>
      <c r="U11" s="25" t="n">
        <f aca="false">+U10</f>
        <v>19.45</v>
      </c>
      <c r="V11" s="53"/>
      <c r="W11" s="54"/>
      <c r="Z11" s="50" t="n">
        <v>-4238118.528</v>
      </c>
      <c r="AA11" s="50" t="n">
        <v>-19952320</v>
      </c>
      <c r="AB11" s="15" t="n">
        <f aca="false">+Q11-Z11</f>
        <v>0</v>
      </c>
      <c r="AC11" s="15" t="n">
        <f aca="false">+R11-AA11</f>
        <v>0</v>
      </c>
      <c r="AD11" s="50" t="n">
        <f aca="false">+AC11-'MPR Raptor'!AH35-'MPR Raptor'!AH75</f>
        <v>0.104759994894266</v>
      </c>
    </row>
    <row r="12" customFormat="false" ht="15.75" hidden="false" customHeight="false" outlineLevel="0" collapsed="false">
      <c r="A12" s="0" t="s">
        <v>55</v>
      </c>
    </row>
    <row r="13" customFormat="false" ht="16.5" hidden="false" customHeight="false" outlineLevel="0" collapsed="false">
      <c r="B13" s="57" t="s">
        <v>56</v>
      </c>
      <c r="E13" s="58" t="n">
        <f aca="false">SUM(E3:E12)</f>
        <v>0</v>
      </c>
      <c r="I13" s="59" t="n">
        <f aca="false">SUM(I3:I12)</f>
        <v>513095720</v>
      </c>
      <c r="P13" s="58" t="n">
        <f aca="false">SUM(P3:P12)</f>
        <v>-41817537.472</v>
      </c>
      <c r="Q13" s="58" t="n">
        <f aca="false">SUM(Q3:Q12)</f>
        <v>-11278182.528</v>
      </c>
      <c r="R13" s="58" t="n">
        <f aca="false">SUM(R3:R12)</f>
        <v>-53095720</v>
      </c>
      <c r="S13" s="58" t="n">
        <f aca="false">SUM(S3:S12)</f>
        <v>-11278182.528</v>
      </c>
      <c r="T13" s="58" t="n">
        <f aca="false">SUM(T3:T12)</f>
        <v>-53095720</v>
      </c>
      <c r="U13" s="18"/>
      <c r="V13" s="18"/>
      <c r="W13" s="58" t="n">
        <f aca="false">SUM(W3:W12)</f>
        <v>0</v>
      </c>
      <c r="Z13" s="58" t="n">
        <f aca="false">SUM(Z3:Z12)</f>
        <v>-11278182.528</v>
      </c>
      <c r="AA13" s="58" t="n">
        <f aca="false">SUM(AA3:AA12)</f>
        <v>-53095720</v>
      </c>
      <c r="AB13" s="58" t="n">
        <f aca="false">SUM(AB3:AB12)</f>
        <v>0</v>
      </c>
      <c r="AC13" s="58" t="n">
        <f aca="false">SUM(AC3:AC12)</f>
        <v>0</v>
      </c>
    </row>
    <row r="14" customFormat="false" ht="16.5" hidden="false" customHeight="false" outlineLevel="0" collapsed="false"/>
    <row r="15" customFormat="false" ht="15.75" hidden="false" customHeight="false" outlineLevel="0" collapsed="false">
      <c r="H15" s="26" t="s">
        <v>22</v>
      </c>
      <c r="I15" s="16" t="n">
        <f aca="false">-M6-(L10+L11)*(+G9-G8)</f>
        <v>-471278182.528</v>
      </c>
      <c r="Q15" s="15" t="n">
        <f aca="false">SUMIF(Q3:Q12,"&lt;0",Q3:Q12)</f>
        <v>-11278182.528</v>
      </c>
      <c r="R15" s="0" t="s">
        <v>57</v>
      </c>
      <c r="W15" s="50"/>
      <c r="AC15" s="50" t="n">
        <f aca="false">+AC13+AA13</f>
        <v>-53095720</v>
      </c>
    </row>
    <row r="16" customFormat="false" ht="15.75" hidden="false" customHeight="false" outlineLevel="0" collapsed="false">
      <c r="Q16" s="25" t="n">
        <f aca="false">SUMIF(Q3:Q12,"&gt;0",Q3:Q12)</f>
        <v>0</v>
      </c>
      <c r="R16" s="0" t="s">
        <v>58</v>
      </c>
      <c r="W16" s="60"/>
      <c r="AC16" s="15" t="n">
        <f aca="false">(+H10+H11)*-10</f>
        <v>-53095720</v>
      </c>
      <c r="AD16" s="0" t="s">
        <v>59</v>
      </c>
    </row>
    <row r="17" customFormat="false" ht="15.75" hidden="false" customHeight="false" outlineLevel="0" collapsed="false">
      <c r="H17" s="26" t="s">
        <v>60</v>
      </c>
      <c r="I17" s="15" t="n">
        <f aca="false">+I13+I15</f>
        <v>41817537.472</v>
      </c>
      <c r="Q17" s="60" t="n">
        <f aca="false">+Q15+Q16-Q13</f>
        <v>0</v>
      </c>
      <c r="R17" s="0" t="s">
        <v>61</v>
      </c>
      <c r="W17" s="61"/>
    </row>
    <row r="21" customFormat="false" ht="15.75" hidden="false" customHeight="false" outlineLevel="0" collapsed="false">
      <c r="I21" s="62" t="n">
        <f aca="false">+I17+P13</f>
        <v>0</v>
      </c>
    </row>
    <row r="22" customFormat="false" ht="15.75" hidden="false" customHeight="false" outlineLevel="0" collapsed="false">
      <c r="I22" s="63" t="s">
        <v>62</v>
      </c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253" activePane="bottomLeft" state="frozen"/>
      <selection pane="topLeft" activeCell="A1" activeCellId="0" sqref="A1"/>
      <selection pane="bottomLeft" activeCell="A257" activeCellId="0" sqref="A25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4" width="9.99"/>
    <col collapsed="false" customWidth="true" hidden="false" outlineLevel="0" max="2" min="2" style="65" width="9.74"/>
    <col collapsed="false" customWidth="true" hidden="false" outlineLevel="0" max="3" min="3" style="65" width="11.24"/>
  </cols>
  <sheetData>
    <row r="1" customFormat="false" ht="15.75" hidden="false" customHeight="false" outlineLevel="0" collapsed="false">
      <c r="A1" s="66" t="s">
        <v>63</v>
      </c>
      <c r="B1" s="67"/>
    </row>
    <row r="2" customFormat="false" ht="15.75" hidden="false" customHeight="false" outlineLevel="0" collapsed="false">
      <c r="B2" s="68" t="n">
        <v>2</v>
      </c>
      <c r="C2" s="53" t="n">
        <v>3</v>
      </c>
    </row>
    <row r="3" customFormat="false" ht="15.75" hidden="false" customHeight="false" outlineLevel="0" collapsed="false">
      <c r="B3" s="69"/>
      <c r="C3" s="69" t="s">
        <v>64</v>
      </c>
    </row>
    <row r="4" customFormat="false" ht="15.75" hidden="false" customHeight="false" outlineLevel="0" collapsed="false">
      <c r="A4" s="67"/>
      <c r="B4" s="70" t="s">
        <v>65</v>
      </c>
      <c r="C4" s="69" t="s">
        <v>66</v>
      </c>
    </row>
    <row r="5" customFormat="false" ht="15.75" hidden="false" customHeight="false" outlineLevel="0" collapsed="false">
      <c r="A5" s="71" t="s">
        <v>31</v>
      </c>
      <c r="B5" s="70" t="s">
        <v>67</v>
      </c>
      <c r="C5" s="69" t="s">
        <v>68</v>
      </c>
    </row>
    <row r="6" customFormat="false" ht="15.75" hidden="false" customHeight="false" outlineLevel="0" collapsed="false">
      <c r="A6" s="64" t="n">
        <v>36789</v>
      </c>
      <c r="B6" s="65" t="n">
        <v>82.172</v>
      </c>
    </row>
    <row r="7" customFormat="false" ht="15.75" hidden="false" customHeight="false" outlineLevel="0" collapsed="false">
      <c r="A7" s="64" t="n">
        <v>36790</v>
      </c>
      <c r="B7" s="65" t="n">
        <v>80.75</v>
      </c>
    </row>
    <row r="8" customFormat="false" ht="15.75" hidden="false" customHeight="false" outlineLevel="0" collapsed="false">
      <c r="A8" s="64" t="n">
        <v>36791</v>
      </c>
      <c r="B8" s="65" t="n">
        <v>83</v>
      </c>
    </row>
    <row r="9" customFormat="false" ht="15.75" hidden="false" customHeight="false" outlineLevel="0" collapsed="false">
      <c r="A9" s="64" t="n">
        <v>36794</v>
      </c>
      <c r="B9" s="65" t="n">
        <v>84.438</v>
      </c>
    </row>
    <row r="10" customFormat="false" ht="15.75" hidden="false" customHeight="false" outlineLevel="0" collapsed="false">
      <c r="A10" s="64" t="n">
        <v>36795</v>
      </c>
      <c r="B10" s="65" t="n">
        <v>85.5</v>
      </c>
    </row>
    <row r="11" customFormat="false" ht="15.75" hidden="false" customHeight="false" outlineLevel="0" collapsed="false">
      <c r="A11" s="64" t="n">
        <v>36796</v>
      </c>
      <c r="B11" s="65" t="n">
        <v>87.453</v>
      </c>
    </row>
    <row r="12" customFormat="false" ht="15.75" hidden="false" customHeight="false" outlineLevel="0" collapsed="false">
      <c r="A12" s="64" t="n">
        <v>36797</v>
      </c>
      <c r="B12" s="65" t="n">
        <v>89.25</v>
      </c>
    </row>
    <row r="13" customFormat="false" ht="15.75" hidden="false" customHeight="false" outlineLevel="0" collapsed="false">
      <c r="A13" s="64" t="n">
        <v>36798</v>
      </c>
      <c r="B13" s="65" t="n">
        <v>87.641</v>
      </c>
    </row>
    <row r="14" customFormat="false" ht="15.75" hidden="false" customHeight="false" outlineLevel="0" collapsed="false">
      <c r="A14" s="64" t="n">
        <v>36801</v>
      </c>
      <c r="B14" s="65" t="n">
        <v>86.438</v>
      </c>
    </row>
    <row r="15" customFormat="false" ht="15.75" hidden="false" customHeight="false" outlineLevel="0" collapsed="false">
      <c r="A15" s="64" t="n">
        <v>36802</v>
      </c>
      <c r="B15" s="65" t="n">
        <v>85.563</v>
      </c>
    </row>
    <row r="16" customFormat="false" ht="15.75" hidden="false" customHeight="false" outlineLevel="0" collapsed="false">
      <c r="A16" s="64" t="n">
        <v>36803</v>
      </c>
      <c r="B16" s="65" t="n">
        <v>83.063</v>
      </c>
    </row>
    <row r="17" customFormat="false" ht="15.75" hidden="false" customHeight="false" outlineLevel="0" collapsed="false">
      <c r="A17" s="64" t="n">
        <v>36804</v>
      </c>
      <c r="B17" s="65" t="n">
        <v>83</v>
      </c>
    </row>
    <row r="18" customFormat="false" ht="15.75" hidden="false" customHeight="false" outlineLevel="0" collapsed="false">
      <c r="A18" s="64" t="n">
        <v>36805</v>
      </c>
      <c r="B18" s="65" t="n">
        <v>81.625</v>
      </c>
    </row>
    <row r="19" customFormat="false" ht="15.75" hidden="false" customHeight="false" outlineLevel="0" collapsed="false">
      <c r="A19" s="64" t="n">
        <v>36808</v>
      </c>
      <c r="B19" s="65" t="n">
        <v>83</v>
      </c>
    </row>
    <row r="20" customFormat="false" ht="15.75" hidden="false" customHeight="false" outlineLevel="0" collapsed="false">
      <c r="A20" s="64" t="n">
        <v>36809</v>
      </c>
      <c r="B20" s="65" t="n">
        <v>81.688</v>
      </c>
    </row>
    <row r="21" customFormat="false" ht="15.75" hidden="false" customHeight="false" outlineLevel="0" collapsed="false">
      <c r="A21" s="64" t="n">
        <v>36810</v>
      </c>
      <c r="B21" s="65" t="n">
        <v>82.813</v>
      </c>
    </row>
    <row r="22" customFormat="false" ht="15.75" hidden="false" customHeight="false" outlineLevel="0" collapsed="false">
      <c r="A22" s="64" t="n">
        <v>36811</v>
      </c>
      <c r="B22" s="65" t="n">
        <v>79.875</v>
      </c>
    </row>
    <row r="23" customFormat="false" ht="15.75" hidden="false" customHeight="false" outlineLevel="0" collapsed="false">
      <c r="A23" s="64" t="n">
        <v>36812</v>
      </c>
      <c r="B23" s="65" t="n">
        <v>79.5</v>
      </c>
    </row>
    <row r="24" customFormat="false" ht="15.75" hidden="false" customHeight="false" outlineLevel="0" collapsed="false">
      <c r="A24" s="27" t="n">
        <v>36815</v>
      </c>
      <c r="B24" s="65" t="n">
        <v>80</v>
      </c>
    </row>
    <row r="25" customFormat="false" ht="15.75" hidden="false" customHeight="false" outlineLevel="0" collapsed="false">
      <c r="A25" s="27" t="n">
        <v>36816</v>
      </c>
      <c r="B25" s="65" t="n">
        <v>79.188</v>
      </c>
    </row>
    <row r="26" customFormat="false" ht="15.75" hidden="false" customHeight="false" outlineLevel="0" collapsed="false">
      <c r="A26" s="27" t="n">
        <v>36817</v>
      </c>
      <c r="B26" s="65" t="n">
        <v>78.75</v>
      </c>
    </row>
    <row r="27" customFormat="false" ht="15.75" hidden="false" customHeight="false" outlineLevel="0" collapsed="false">
      <c r="A27" s="27" t="n">
        <v>36818</v>
      </c>
      <c r="B27" s="65" t="n">
        <v>79</v>
      </c>
    </row>
    <row r="28" customFormat="false" ht="15.75" hidden="false" customHeight="false" outlineLevel="0" collapsed="false">
      <c r="A28" s="27" t="n">
        <v>36819</v>
      </c>
      <c r="B28" s="65" t="n">
        <v>80.5</v>
      </c>
    </row>
    <row r="29" customFormat="false" ht="15.75" hidden="false" customHeight="false" outlineLevel="0" collapsed="false">
      <c r="A29" s="27" t="n">
        <v>36822</v>
      </c>
      <c r="B29" s="65" t="n">
        <v>82</v>
      </c>
    </row>
    <row r="30" customFormat="false" ht="15.75" hidden="false" customHeight="false" outlineLevel="0" collapsed="false">
      <c r="A30" s="27" t="n">
        <v>36823</v>
      </c>
      <c r="B30" s="65" t="n">
        <v>80.1875</v>
      </c>
    </row>
    <row r="31" customFormat="false" ht="15.75" hidden="false" customHeight="false" outlineLevel="0" collapsed="false">
      <c r="A31" s="27" t="n">
        <v>36824</v>
      </c>
      <c r="B31" s="65" t="n">
        <v>76.125</v>
      </c>
    </row>
    <row r="32" customFormat="false" ht="15.75" hidden="false" customHeight="false" outlineLevel="0" collapsed="false">
      <c r="A32" s="27" t="n">
        <v>36825</v>
      </c>
      <c r="B32" s="65" t="n">
        <v>77.5</v>
      </c>
    </row>
    <row r="33" customFormat="false" ht="15.75" hidden="false" customHeight="false" outlineLevel="0" collapsed="false">
      <c r="A33" s="27" t="n">
        <v>36826</v>
      </c>
      <c r="B33" s="65" t="n">
        <v>78.875</v>
      </c>
    </row>
    <row r="34" customFormat="false" ht="15.75" hidden="false" customHeight="false" outlineLevel="0" collapsed="false">
      <c r="A34" s="27" t="n">
        <v>36829</v>
      </c>
      <c r="B34" s="65" t="n">
        <v>80.688</v>
      </c>
    </row>
    <row r="35" customFormat="false" ht="15.75" hidden="false" customHeight="false" outlineLevel="0" collapsed="false">
      <c r="A35" s="27" t="n">
        <v>36830</v>
      </c>
      <c r="B35" s="65" t="n">
        <v>82.063</v>
      </c>
    </row>
    <row r="36" customFormat="false" ht="15.75" hidden="false" customHeight="false" outlineLevel="0" collapsed="false">
      <c r="A36" s="27" t="n">
        <v>36831</v>
      </c>
      <c r="B36" s="65" t="n">
        <v>83.25</v>
      </c>
    </row>
    <row r="37" customFormat="false" ht="15.75" hidden="false" customHeight="false" outlineLevel="0" collapsed="false">
      <c r="A37" s="27" t="n">
        <v>36832</v>
      </c>
      <c r="B37" s="65" t="n">
        <v>81.75</v>
      </c>
    </row>
    <row r="38" customFormat="false" ht="15.75" hidden="false" customHeight="false" outlineLevel="0" collapsed="false">
      <c r="A38" s="27" t="n">
        <v>36833</v>
      </c>
      <c r="B38" s="65" t="n">
        <v>77.375</v>
      </c>
    </row>
    <row r="39" customFormat="false" ht="15.75" hidden="false" customHeight="false" outlineLevel="0" collapsed="false">
      <c r="A39" s="27" t="n">
        <v>36836</v>
      </c>
      <c r="B39" s="65" t="n">
        <v>81.563</v>
      </c>
    </row>
    <row r="40" customFormat="false" ht="15.75" hidden="false" customHeight="false" outlineLevel="0" collapsed="false">
      <c r="A40" s="27" t="n">
        <v>36837</v>
      </c>
      <c r="B40" s="65" t="n">
        <v>81.813</v>
      </c>
    </row>
    <row r="41" customFormat="false" ht="15.75" hidden="false" customHeight="false" outlineLevel="0" collapsed="false">
      <c r="A41" s="27" t="n">
        <v>36838</v>
      </c>
      <c r="B41" s="65" t="n">
        <v>82.125</v>
      </c>
    </row>
    <row r="42" customFormat="false" ht="15.75" hidden="false" customHeight="false" outlineLevel="0" collapsed="false">
      <c r="A42" s="27" t="n">
        <v>36839</v>
      </c>
      <c r="B42" s="65" t="n">
        <v>82.938</v>
      </c>
    </row>
    <row r="43" customFormat="false" ht="15.75" hidden="false" customHeight="false" outlineLevel="0" collapsed="false">
      <c r="A43" s="27" t="n">
        <v>36840</v>
      </c>
      <c r="B43" s="65" t="n">
        <f aca="false">82+0.9375</f>
        <v>82.9375</v>
      </c>
    </row>
    <row r="44" customFormat="false" ht="15.75" hidden="false" customHeight="false" outlineLevel="0" collapsed="false">
      <c r="A44" s="27" t="n">
        <v>36843</v>
      </c>
      <c r="B44" s="65" t="n">
        <v>79.438</v>
      </c>
    </row>
    <row r="45" customFormat="false" ht="15.75" hidden="false" customHeight="false" outlineLevel="0" collapsed="false">
      <c r="A45" s="27" t="n">
        <v>36844</v>
      </c>
      <c r="B45" s="65" t="n">
        <v>79.563</v>
      </c>
    </row>
    <row r="46" customFormat="false" ht="15.75" hidden="false" customHeight="false" outlineLevel="0" collapsed="false">
      <c r="A46" s="27" t="n">
        <v>36845</v>
      </c>
      <c r="B46" s="65" t="n">
        <v>80.375</v>
      </c>
    </row>
    <row r="47" customFormat="false" ht="15.75" hidden="false" customHeight="false" outlineLevel="0" collapsed="false">
      <c r="A47" s="27" t="n">
        <v>36846</v>
      </c>
      <c r="B47" s="65" t="n">
        <v>81.25</v>
      </c>
    </row>
    <row r="48" customFormat="false" ht="15.75" hidden="false" customHeight="false" outlineLevel="0" collapsed="false">
      <c r="A48" s="27" t="n">
        <v>36847</v>
      </c>
      <c r="B48" s="65" t="n">
        <v>81.5</v>
      </c>
    </row>
    <row r="49" customFormat="false" ht="15.75" hidden="false" customHeight="false" outlineLevel="0" collapsed="false">
      <c r="A49" s="27" t="n">
        <v>36850</v>
      </c>
      <c r="B49" s="65" t="n">
        <v>80.25</v>
      </c>
    </row>
    <row r="50" customFormat="false" ht="15.75" hidden="false" customHeight="false" outlineLevel="0" collapsed="false">
      <c r="A50" s="27" t="n">
        <v>36851</v>
      </c>
      <c r="B50" s="65" t="n">
        <v>80.375</v>
      </c>
    </row>
    <row r="51" customFormat="false" ht="15.75" hidden="false" customHeight="false" outlineLevel="0" collapsed="false">
      <c r="A51" s="27" t="n">
        <v>36852</v>
      </c>
      <c r="B51" s="65" t="n">
        <v>75.563</v>
      </c>
    </row>
    <row r="52" customFormat="false" ht="15.75" hidden="false" customHeight="false" outlineLevel="0" collapsed="false">
      <c r="A52" s="27" t="n">
        <v>36854</v>
      </c>
      <c r="B52" s="65" t="n">
        <v>77.75</v>
      </c>
    </row>
    <row r="53" customFormat="false" ht="15.75" hidden="false" customHeight="false" outlineLevel="0" collapsed="false">
      <c r="A53" s="27" t="n">
        <v>36857</v>
      </c>
      <c r="B53" s="65" t="n">
        <v>78.875</v>
      </c>
    </row>
    <row r="54" customFormat="false" ht="15.75" hidden="false" customHeight="false" outlineLevel="0" collapsed="false">
      <c r="A54" s="27" t="n">
        <v>36858</v>
      </c>
      <c r="B54" s="65" t="n">
        <v>78.438</v>
      </c>
    </row>
    <row r="55" customFormat="false" ht="15.75" hidden="false" customHeight="false" outlineLevel="0" collapsed="false">
      <c r="A55" s="27" t="n">
        <v>36859</v>
      </c>
      <c r="B55" s="65" t="n">
        <v>70.25</v>
      </c>
    </row>
    <row r="56" customFormat="false" ht="15.75" hidden="false" customHeight="false" outlineLevel="0" collapsed="false">
      <c r="A56" s="27" t="n">
        <v>36860</v>
      </c>
      <c r="B56" s="65" t="n">
        <v>64.75</v>
      </c>
    </row>
    <row r="57" customFormat="false" ht="15.75" hidden="false" customHeight="false" outlineLevel="0" collapsed="false">
      <c r="A57" s="27" t="n">
        <v>36861</v>
      </c>
      <c r="B57" s="65" t="n">
        <v>65.5</v>
      </c>
    </row>
    <row r="58" customFormat="false" ht="15.75" hidden="false" customHeight="false" outlineLevel="0" collapsed="false">
      <c r="A58" s="27" t="n">
        <v>36864</v>
      </c>
      <c r="B58" s="65" t="n">
        <v>65.938</v>
      </c>
    </row>
    <row r="59" customFormat="false" ht="15.75" hidden="false" customHeight="false" outlineLevel="0" collapsed="false">
      <c r="A59" s="27" t="n">
        <v>36865</v>
      </c>
      <c r="B59" s="65" t="n">
        <v>68.25</v>
      </c>
    </row>
    <row r="60" customFormat="false" ht="15.75" hidden="false" customHeight="false" outlineLevel="0" collapsed="false">
      <c r="A60" s="27" t="n">
        <v>36866</v>
      </c>
      <c r="B60" s="65" t="n">
        <v>71.938</v>
      </c>
    </row>
    <row r="61" customFormat="false" ht="15.75" hidden="false" customHeight="false" outlineLevel="0" collapsed="false">
      <c r="A61" s="27" t="n">
        <v>36867</v>
      </c>
      <c r="B61" s="65" t="n">
        <v>72.875</v>
      </c>
    </row>
    <row r="62" customFormat="false" ht="15.75" hidden="false" customHeight="false" outlineLevel="0" collapsed="false">
      <c r="A62" s="27" t="n">
        <v>36868</v>
      </c>
      <c r="B62" s="65" t="n">
        <v>73.063</v>
      </c>
    </row>
    <row r="63" customFormat="false" ht="15.75" hidden="false" customHeight="false" outlineLevel="0" collapsed="false">
      <c r="A63" s="27" t="n">
        <v>36871</v>
      </c>
      <c r="B63" s="65" t="n">
        <v>76.5</v>
      </c>
    </row>
    <row r="64" customFormat="false" ht="15.75" hidden="false" customHeight="false" outlineLevel="0" collapsed="false">
      <c r="A64" s="27" t="n">
        <v>36872</v>
      </c>
      <c r="B64" s="65" t="n">
        <v>77.188</v>
      </c>
    </row>
    <row r="65" customFormat="false" ht="15.75" hidden="false" customHeight="false" outlineLevel="0" collapsed="false">
      <c r="A65" s="27" t="n">
        <v>36873</v>
      </c>
      <c r="B65" s="65" t="n">
        <v>74.5</v>
      </c>
    </row>
    <row r="66" customFormat="false" ht="15.75" hidden="false" customHeight="false" outlineLevel="0" collapsed="false">
      <c r="A66" s="27" t="n">
        <v>36874</v>
      </c>
      <c r="B66" s="65" t="n">
        <v>76.5</v>
      </c>
    </row>
    <row r="67" customFormat="false" ht="15.75" hidden="false" customHeight="false" outlineLevel="0" collapsed="false">
      <c r="A67" s="27" t="n">
        <v>36875</v>
      </c>
      <c r="B67" s="65" t="n">
        <v>77.563</v>
      </c>
    </row>
    <row r="68" customFormat="false" ht="15.75" hidden="false" customHeight="false" outlineLevel="0" collapsed="false">
      <c r="A68" s="27" t="n">
        <v>36878</v>
      </c>
      <c r="B68" s="65" t="n">
        <v>79.563</v>
      </c>
    </row>
    <row r="69" customFormat="false" ht="15.75" hidden="false" customHeight="false" outlineLevel="0" collapsed="false">
      <c r="A69" s="27" t="n">
        <v>36879</v>
      </c>
      <c r="B69" s="65" t="n">
        <v>79.75</v>
      </c>
    </row>
    <row r="70" customFormat="false" ht="15.75" hidden="false" customHeight="false" outlineLevel="0" collapsed="false">
      <c r="A70" s="27" t="n">
        <v>36880</v>
      </c>
      <c r="B70" s="65" t="n">
        <v>79.75</v>
      </c>
    </row>
    <row r="71" customFormat="false" ht="15.75" hidden="false" customHeight="false" outlineLevel="0" collapsed="false">
      <c r="A71" s="27" t="n">
        <v>36881</v>
      </c>
      <c r="B71" s="65" t="n">
        <v>79.313</v>
      </c>
    </row>
    <row r="72" customFormat="false" ht="15.75" hidden="false" customHeight="false" outlineLevel="0" collapsed="false">
      <c r="A72" s="27" t="n">
        <v>36882</v>
      </c>
      <c r="B72" s="65" t="n">
        <v>81.188</v>
      </c>
    </row>
    <row r="73" customFormat="false" ht="15.75" hidden="false" customHeight="false" outlineLevel="0" collapsed="false">
      <c r="A73" s="27" t="n">
        <v>36886</v>
      </c>
      <c r="B73" s="65" t="n">
        <v>83.5</v>
      </c>
    </row>
    <row r="74" customFormat="false" ht="15.75" hidden="false" customHeight="false" outlineLevel="0" collapsed="false">
      <c r="A74" s="27" t="n">
        <v>36887</v>
      </c>
      <c r="B74" s="65" t="n">
        <v>82.813</v>
      </c>
    </row>
    <row r="75" customFormat="false" ht="15.75" hidden="false" customHeight="false" outlineLevel="0" collapsed="false">
      <c r="A75" s="27" t="n">
        <v>36888</v>
      </c>
      <c r="B75" s="65" t="n">
        <v>84.625</v>
      </c>
      <c r="C75" s="65" t="n">
        <v>44.875</v>
      </c>
    </row>
    <row r="76" customFormat="false" ht="15.75" hidden="false" customHeight="false" outlineLevel="0" collapsed="false">
      <c r="A76" s="27" t="n">
        <v>36889</v>
      </c>
      <c r="B76" s="65" t="n">
        <v>83.125</v>
      </c>
      <c r="C76" s="65" t="n">
        <v>44.5625</v>
      </c>
    </row>
    <row r="77" customFormat="false" ht="15.75" hidden="false" customHeight="false" outlineLevel="0" collapsed="false">
      <c r="A77" s="27" t="n">
        <v>36893</v>
      </c>
      <c r="B77" s="65" t="n">
        <v>79.875</v>
      </c>
      <c r="C77" s="65" t="n">
        <v>41.75</v>
      </c>
    </row>
    <row r="78" customFormat="false" ht="15.75" hidden="false" customHeight="false" outlineLevel="0" collapsed="false">
      <c r="A78" s="27" t="n">
        <v>36894</v>
      </c>
      <c r="B78" s="65" t="n">
        <v>75.063</v>
      </c>
      <c r="C78" s="65" t="n">
        <v>39.75</v>
      </c>
    </row>
    <row r="79" customFormat="false" ht="15.75" hidden="false" customHeight="false" outlineLevel="0" collapsed="false">
      <c r="A79" s="27" t="n">
        <v>36895</v>
      </c>
      <c r="B79" s="65" t="n">
        <v>72</v>
      </c>
      <c r="C79" s="65" t="n">
        <v>37.75</v>
      </c>
    </row>
    <row r="80" customFormat="false" ht="15.75" hidden="false" customHeight="false" outlineLevel="0" collapsed="false">
      <c r="A80" s="27" t="n">
        <v>36896</v>
      </c>
      <c r="B80" s="65" t="n">
        <v>71.375</v>
      </c>
      <c r="C80" s="65" t="n">
        <v>37.813</v>
      </c>
    </row>
    <row r="81" customFormat="false" ht="15.75" hidden="false" customHeight="false" outlineLevel="0" collapsed="false">
      <c r="A81" s="27" t="n">
        <v>36899</v>
      </c>
      <c r="B81" s="65" t="n">
        <v>71.25</v>
      </c>
      <c r="C81" s="65" t="n">
        <v>38.188</v>
      </c>
    </row>
    <row r="82" customFormat="false" ht="15.75" hidden="false" customHeight="false" outlineLevel="0" collapsed="false">
      <c r="A82" s="27" t="n">
        <v>36900</v>
      </c>
      <c r="B82" s="65" t="n">
        <v>68.625</v>
      </c>
      <c r="C82" s="65" t="n">
        <v>38</v>
      </c>
    </row>
    <row r="83" customFormat="false" ht="15.75" hidden="false" customHeight="false" outlineLevel="0" collapsed="false">
      <c r="A83" s="27" t="n">
        <v>36901</v>
      </c>
      <c r="B83" s="65" t="n">
        <v>68.938</v>
      </c>
      <c r="C83" s="65" t="n">
        <v>38.375</v>
      </c>
    </row>
    <row r="84" customFormat="false" ht="15.75" hidden="false" customHeight="false" outlineLevel="0" collapsed="false">
      <c r="A84" s="27" t="n">
        <v>36902</v>
      </c>
      <c r="B84" s="65" t="n">
        <v>69.438</v>
      </c>
      <c r="C84" s="65" t="n">
        <v>38.313</v>
      </c>
    </row>
    <row r="85" customFormat="false" ht="15.75" hidden="false" customHeight="false" outlineLevel="0" collapsed="false">
      <c r="A85" s="27" t="n">
        <v>36903</v>
      </c>
      <c r="B85" s="65" t="n">
        <v>70.438</v>
      </c>
      <c r="C85" s="65" t="n">
        <v>36.688</v>
      </c>
    </row>
    <row r="86" customFormat="false" ht="15.75" hidden="false" customHeight="false" outlineLevel="0" collapsed="false">
      <c r="A86" s="27" t="n">
        <v>36907</v>
      </c>
      <c r="B86" s="65" t="n">
        <v>68.438</v>
      </c>
      <c r="C86" s="65" t="n">
        <v>35.9375</v>
      </c>
    </row>
    <row r="87" customFormat="false" ht="15.75" hidden="false" customHeight="false" outlineLevel="0" collapsed="false">
      <c r="A87" s="27" t="n">
        <v>36908</v>
      </c>
      <c r="B87" s="65" t="n">
        <v>71.125</v>
      </c>
      <c r="C87" s="65" t="n">
        <v>34.875</v>
      </c>
    </row>
    <row r="88" customFormat="false" ht="15.75" hidden="false" customHeight="false" outlineLevel="0" collapsed="false">
      <c r="A88" s="27" t="n">
        <v>36909</v>
      </c>
      <c r="B88" s="65" t="n">
        <v>72.063</v>
      </c>
      <c r="C88" s="65" t="n">
        <v>33.8125</v>
      </c>
    </row>
    <row r="89" customFormat="false" ht="15.75" hidden="false" customHeight="false" outlineLevel="0" collapsed="false">
      <c r="A89" s="27" t="n">
        <v>36913</v>
      </c>
      <c r="B89" s="65" t="n">
        <v>75.0625</v>
      </c>
      <c r="C89" s="65" t="n">
        <v>34.0625</v>
      </c>
    </row>
    <row r="90" customFormat="false" ht="15.75" hidden="false" customHeight="false" outlineLevel="0" collapsed="false">
      <c r="A90" s="27" t="n">
        <v>36914</v>
      </c>
      <c r="B90" s="65" t="n">
        <v>78.563</v>
      </c>
      <c r="C90" s="65" t="n">
        <v>35.625</v>
      </c>
    </row>
    <row r="91" customFormat="false" ht="15.75" hidden="false" customHeight="false" outlineLevel="0" collapsed="false">
      <c r="A91" s="27" t="n">
        <v>36915</v>
      </c>
      <c r="B91" s="65" t="n">
        <v>79.75</v>
      </c>
      <c r="C91" s="65" t="n">
        <v>35.75</v>
      </c>
    </row>
    <row r="92" customFormat="false" ht="15.75" hidden="false" customHeight="false" outlineLevel="0" collapsed="false">
      <c r="A92" s="27" t="n">
        <v>36916</v>
      </c>
      <c r="B92" s="65" t="n">
        <v>82</v>
      </c>
      <c r="C92" s="65" t="n">
        <v>36.375</v>
      </c>
    </row>
    <row r="93" customFormat="false" ht="15.75" hidden="false" customHeight="false" outlineLevel="0" collapsed="false">
      <c r="A93" s="27" t="n">
        <v>36917</v>
      </c>
      <c r="B93" s="65" t="n">
        <v>82</v>
      </c>
      <c r="C93" s="65" t="n">
        <v>37.1875</v>
      </c>
    </row>
    <row r="94" customFormat="false" ht="15.75" hidden="false" customHeight="false" outlineLevel="0" collapsed="false">
      <c r="A94" s="27" t="n">
        <v>36920</v>
      </c>
      <c r="B94" s="65" t="n">
        <f aca="false">80.77</f>
        <v>80.77</v>
      </c>
      <c r="C94" s="65" t="n">
        <v>37.49</v>
      </c>
    </row>
    <row r="95" customFormat="false" ht="15.75" hidden="false" customHeight="false" outlineLevel="0" collapsed="false">
      <c r="A95" s="27" t="n">
        <v>36921</v>
      </c>
      <c r="B95" s="65" t="n">
        <v>78.5</v>
      </c>
      <c r="C95" s="65" t="n">
        <v>37.69</v>
      </c>
    </row>
    <row r="96" customFormat="false" ht="15.75" hidden="false" customHeight="false" outlineLevel="0" collapsed="false">
      <c r="A96" s="27" t="n">
        <v>36922</v>
      </c>
      <c r="B96" s="65" t="n">
        <v>80</v>
      </c>
      <c r="C96" s="65" t="n">
        <v>38.37</v>
      </c>
    </row>
    <row r="97" customFormat="false" ht="15.75" hidden="false" customHeight="false" outlineLevel="0" collapsed="false">
      <c r="A97" s="27" t="n">
        <v>36923</v>
      </c>
      <c r="B97" s="65" t="n">
        <v>78.79</v>
      </c>
      <c r="C97" s="65" t="n">
        <v>38.25</v>
      </c>
    </row>
    <row r="98" customFormat="false" ht="15.75" hidden="false" customHeight="false" outlineLevel="0" collapsed="false">
      <c r="A98" s="27" t="n">
        <v>36924</v>
      </c>
      <c r="B98" s="65" t="n">
        <v>79.98</v>
      </c>
      <c r="C98" s="65" t="n">
        <v>38.74</v>
      </c>
    </row>
    <row r="99" customFormat="false" ht="15.75" hidden="false" customHeight="false" outlineLevel="0" collapsed="false">
      <c r="A99" s="27" t="n">
        <v>36927</v>
      </c>
      <c r="B99" s="65" t="n">
        <v>81.81</v>
      </c>
      <c r="C99" s="65" t="n">
        <v>36.86</v>
      </c>
    </row>
    <row r="100" customFormat="false" ht="15.75" hidden="false" customHeight="false" outlineLevel="0" collapsed="false">
      <c r="A100" s="27" t="n">
        <v>36928</v>
      </c>
      <c r="B100" s="65" t="n">
        <v>80.15</v>
      </c>
      <c r="C100" s="65" t="n">
        <v>37.95</v>
      </c>
    </row>
    <row r="101" customFormat="false" ht="15.75" hidden="false" customHeight="false" outlineLevel="0" collapsed="false">
      <c r="A101" s="27" t="n">
        <v>36929</v>
      </c>
      <c r="B101" s="65" t="n">
        <v>80.35</v>
      </c>
      <c r="C101" s="65" t="n">
        <v>38</v>
      </c>
    </row>
    <row r="102" customFormat="false" ht="15.75" hidden="false" customHeight="false" outlineLevel="0" collapsed="false">
      <c r="A102" s="27" t="n">
        <v>36930</v>
      </c>
      <c r="B102" s="65" t="n">
        <v>80</v>
      </c>
      <c r="C102" s="65" t="n">
        <v>37.74</v>
      </c>
    </row>
    <row r="103" customFormat="false" ht="15.75" hidden="false" customHeight="false" outlineLevel="0" collapsed="false">
      <c r="A103" s="27" t="n">
        <v>36931</v>
      </c>
      <c r="B103" s="65" t="n">
        <v>80.2</v>
      </c>
      <c r="C103" s="65" t="n">
        <v>38.45</v>
      </c>
    </row>
    <row r="104" customFormat="false" ht="15.75" hidden="false" customHeight="false" outlineLevel="0" collapsed="false">
      <c r="A104" s="27" t="n">
        <v>36934</v>
      </c>
      <c r="B104" s="65" t="n">
        <v>79.8</v>
      </c>
      <c r="C104" s="65" t="n">
        <v>38.46</v>
      </c>
    </row>
    <row r="105" customFormat="false" ht="15.75" hidden="false" customHeight="false" outlineLevel="0" collapsed="false">
      <c r="A105" s="27" t="n">
        <v>36935</v>
      </c>
      <c r="B105" s="65" t="n">
        <v>81.15</v>
      </c>
      <c r="C105" s="65" t="n">
        <v>38.9</v>
      </c>
    </row>
    <row r="106" customFormat="false" ht="15.75" hidden="false" customHeight="false" outlineLevel="0" collapsed="false">
      <c r="A106" s="27" t="n">
        <v>36936</v>
      </c>
      <c r="B106" s="65" t="n">
        <v>80</v>
      </c>
      <c r="C106" s="65" t="n">
        <v>39.49</v>
      </c>
    </row>
    <row r="107" customFormat="false" ht="15.75" hidden="false" customHeight="false" outlineLevel="0" collapsed="false">
      <c r="A107" s="27" t="n">
        <v>36937</v>
      </c>
      <c r="B107" s="65" t="n">
        <v>77.9</v>
      </c>
      <c r="C107" s="65" t="n">
        <v>39.57</v>
      </c>
    </row>
    <row r="108" customFormat="false" ht="15.75" hidden="false" customHeight="false" outlineLevel="0" collapsed="false">
      <c r="A108" s="27" t="n">
        <v>36938</v>
      </c>
      <c r="B108" s="65" t="n">
        <v>76.19</v>
      </c>
      <c r="C108" s="65" t="n">
        <v>38.92</v>
      </c>
    </row>
    <row r="109" customFormat="false" ht="15.75" hidden="false" customHeight="false" outlineLevel="0" collapsed="false">
      <c r="A109" s="27" t="n">
        <v>36942</v>
      </c>
      <c r="B109" s="65" t="n">
        <v>75.09</v>
      </c>
      <c r="C109" s="65" t="n">
        <v>38.43</v>
      </c>
    </row>
    <row r="110" customFormat="false" ht="15.75" hidden="false" customHeight="false" outlineLevel="0" collapsed="false">
      <c r="A110" s="27" t="n">
        <v>36943</v>
      </c>
      <c r="B110" s="65" t="n">
        <v>73.09</v>
      </c>
      <c r="C110" s="65" t="n">
        <v>38.2</v>
      </c>
    </row>
    <row r="111" customFormat="false" ht="15.75" hidden="false" customHeight="false" outlineLevel="0" collapsed="false">
      <c r="A111" s="27" t="n">
        <v>36944</v>
      </c>
      <c r="B111" s="65" t="n">
        <v>72.15</v>
      </c>
      <c r="C111" s="65" t="n">
        <v>37.21</v>
      </c>
    </row>
    <row r="112" customFormat="false" ht="15.75" hidden="false" customHeight="false" outlineLevel="0" collapsed="false">
      <c r="A112" s="27" t="n">
        <v>36945</v>
      </c>
      <c r="B112" s="65" t="n">
        <v>71</v>
      </c>
      <c r="C112" s="65" t="n">
        <v>36.97</v>
      </c>
    </row>
    <row r="113" customFormat="false" ht="15.75" hidden="false" customHeight="false" outlineLevel="0" collapsed="false">
      <c r="A113" s="27" t="n">
        <v>36948</v>
      </c>
      <c r="B113" s="65" t="n">
        <v>70.56</v>
      </c>
      <c r="C113" s="65" t="n">
        <v>37.69</v>
      </c>
    </row>
    <row r="114" customFormat="false" ht="15.75" hidden="false" customHeight="false" outlineLevel="0" collapsed="false">
      <c r="A114" s="27" t="n">
        <v>36949</v>
      </c>
      <c r="B114" s="65" t="n">
        <v>70.04</v>
      </c>
      <c r="C114" s="65" t="n">
        <v>37.73</v>
      </c>
    </row>
    <row r="115" customFormat="false" ht="15.75" hidden="false" customHeight="false" outlineLevel="0" collapsed="false">
      <c r="A115" s="27" t="n">
        <v>36950</v>
      </c>
      <c r="B115" s="65" t="n">
        <v>68.5</v>
      </c>
      <c r="C115" s="65" t="n">
        <v>37.5</v>
      </c>
    </row>
    <row r="116" customFormat="false" ht="15.75" hidden="false" customHeight="false" outlineLevel="0" collapsed="false">
      <c r="A116" s="27" t="n">
        <v>36951</v>
      </c>
      <c r="B116" s="65" t="n">
        <v>68.68</v>
      </c>
      <c r="C116" s="65" t="n">
        <v>37.42</v>
      </c>
    </row>
    <row r="117" customFormat="false" ht="15.75" hidden="false" customHeight="false" outlineLevel="0" collapsed="false">
      <c r="A117" s="27" t="n">
        <v>36952</v>
      </c>
      <c r="B117" s="65" t="n">
        <v>70.19</v>
      </c>
      <c r="C117" s="65" t="n">
        <v>38.52</v>
      </c>
    </row>
    <row r="118" customFormat="false" ht="15.75" hidden="false" customHeight="false" outlineLevel="0" collapsed="false">
      <c r="A118" s="27" t="n">
        <v>36955</v>
      </c>
      <c r="B118" s="65" t="n">
        <v>70.11</v>
      </c>
      <c r="C118" s="65" t="n">
        <v>38.65</v>
      </c>
    </row>
    <row r="119" customFormat="false" ht="15.75" hidden="false" customHeight="false" outlineLevel="0" collapsed="false">
      <c r="A119" s="27" t="n">
        <v>36956</v>
      </c>
      <c r="B119" s="65" t="n">
        <v>68.87</v>
      </c>
      <c r="C119" s="65" t="n">
        <v>38.34</v>
      </c>
    </row>
    <row r="120" customFormat="false" ht="15.75" hidden="false" customHeight="false" outlineLevel="0" collapsed="false">
      <c r="A120" s="27" t="n">
        <v>36957</v>
      </c>
      <c r="B120" s="65" t="n">
        <v>70</v>
      </c>
      <c r="C120" s="65" t="n">
        <v>40.5</v>
      </c>
    </row>
    <row r="121" customFormat="false" ht="15.75" hidden="false" customHeight="false" outlineLevel="0" collapsed="false">
      <c r="A121" s="27" t="n">
        <v>36958</v>
      </c>
      <c r="B121" s="65" t="n">
        <v>70.59</v>
      </c>
      <c r="C121" s="65" t="n">
        <v>40.5</v>
      </c>
    </row>
    <row r="122" customFormat="false" ht="15.75" hidden="false" customHeight="false" outlineLevel="0" collapsed="false">
      <c r="A122" s="27" t="n">
        <v>36959</v>
      </c>
      <c r="B122" s="65" t="n">
        <f aca="false">68.84</f>
        <v>68.84</v>
      </c>
      <c r="C122" s="65" t="n">
        <v>40</v>
      </c>
    </row>
    <row r="123" customFormat="false" ht="15.75" hidden="false" customHeight="false" outlineLevel="0" collapsed="false">
      <c r="A123" s="27" t="n">
        <v>36962</v>
      </c>
      <c r="B123" s="65" t="n">
        <v>61.27</v>
      </c>
      <c r="C123" s="65" t="n">
        <v>38.97</v>
      </c>
    </row>
    <row r="124" customFormat="false" ht="15.75" hidden="false" customHeight="false" outlineLevel="0" collapsed="false">
      <c r="A124" s="27" t="n">
        <v>36963</v>
      </c>
      <c r="B124" s="72" t="n">
        <v>62.05</v>
      </c>
      <c r="C124" s="65" t="n">
        <v>38.03</v>
      </c>
    </row>
    <row r="125" customFormat="false" ht="15.75" hidden="false" customHeight="false" outlineLevel="0" collapsed="false">
      <c r="A125" s="27" t="n">
        <v>36964</v>
      </c>
      <c r="B125" s="72" t="n">
        <v>62.75</v>
      </c>
      <c r="C125" s="65" t="n">
        <v>37.04</v>
      </c>
    </row>
    <row r="126" customFormat="false" ht="15.75" hidden="false" customHeight="false" outlineLevel="0" collapsed="false">
      <c r="A126" s="27" t="n">
        <v>36965</v>
      </c>
      <c r="B126" s="72" t="n">
        <v>66.53</v>
      </c>
      <c r="C126" s="65" t="n">
        <v>35.26</v>
      </c>
    </row>
    <row r="127" customFormat="false" ht="15.75" hidden="false" customHeight="false" outlineLevel="0" collapsed="false">
      <c r="A127" s="27" t="n">
        <v>36966</v>
      </c>
      <c r="B127" s="72" t="n">
        <v>62.24</v>
      </c>
      <c r="C127" s="65" t="n">
        <v>33.65</v>
      </c>
    </row>
    <row r="128" customFormat="false" ht="15.75" hidden="false" customHeight="false" outlineLevel="0" collapsed="false">
      <c r="A128" s="27" t="n">
        <v>36969</v>
      </c>
      <c r="B128" s="72" t="n">
        <v>61.8</v>
      </c>
      <c r="C128" s="65" t="n">
        <v>34.16</v>
      </c>
    </row>
    <row r="129" customFormat="false" ht="15.75" hidden="false" customHeight="false" outlineLevel="0" collapsed="false">
      <c r="A129" s="27" t="n">
        <v>36970</v>
      </c>
      <c r="B129" s="72" t="n">
        <v>60.95</v>
      </c>
      <c r="C129" s="65" t="n">
        <v>33.76</v>
      </c>
    </row>
    <row r="130" customFormat="false" ht="15.75" hidden="false" customHeight="false" outlineLevel="0" collapsed="false">
      <c r="A130" s="27" t="n">
        <v>36971</v>
      </c>
      <c r="B130" s="72" t="n">
        <v>55.89</v>
      </c>
      <c r="C130" s="65" t="n">
        <v>32.53</v>
      </c>
    </row>
    <row r="131" customFormat="false" ht="15.75" hidden="false" customHeight="false" outlineLevel="0" collapsed="false">
      <c r="A131" s="27" t="n">
        <v>36972</v>
      </c>
      <c r="B131" s="72" t="n">
        <v>55.02</v>
      </c>
      <c r="C131" s="65" t="n">
        <v>31</v>
      </c>
    </row>
    <row r="132" customFormat="false" ht="15.75" hidden="false" customHeight="false" outlineLevel="0" collapsed="false">
      <c r="A132" s="27" t="n">
        <v>36973</v>
      </c>
      <c r="B132" s="72" t="n">
        <v>59.4</v>
      </c>
      <c r="C132" s="65" t="n">
        <v>32.02</v>
      </c>
    </row>
    <row r="133" customFormat="false" ht="15.75" hidden="false" customHeight="false" outlineLevel="0" collapsed="false">
      <c r="A133" s="27" t="n">
        <v>36976</v>
      </c>
      <c r="B133" s="72" t="n">
        <v>61.48</v>
      </c>
      <c r="C133" s="65" t="n">
        <v>33.45</v>
      </c>
    </row>
    <row r="134" customFormat="false" ht="15.75" hidden="false" customHeight="false" outlineLevel="0" collapsed="false">
      <c r="A134" s="27" t="n">
        <v>36977</v>
      </c>
      <c r="B134" s="72" t="n">
        <v>60.46</v>
      </c>
      <c r="C134" s="65" t="n">
        <v>34.12</v>
      </c>
    </row>
    <row r="135" customFormat="false" ht="15.75" hidden="false" customHeight="false" outlineLevel="0" collapsed="false">
      <c r="A135" s="27" t="n">
        <v>36978</v>
      </c>
      <c r="B135" s="72" t="n">
        <v>58.1</v>
      </c>
      <c r="C135" s="65" t="n">
        <v>33.34</v>
      </c>
    </row>
    <row r="136" customFormat="false" ht="15.75" hidden="false" customHeight="false" outlineLevel="0" collapsed="false">
      <c r="A136" s="27" t="n">
        <v>36979</v>
      </c>
      <c r="B136" s="72" t="n">
        <v>55.31</v>
      </c>
      <c r="C136" s="65" t="n">
        <v>32.35</v>
      </c>
    </row>
    <row r="137" customFormat="false" ht="15.75" hidden="false" customHeight="false" outlineLevel="0" collapsed="false">
      <c r="A137" s="27" t="n">
        <v>36980</v>
      </c>
      <c r="B137" s="72" t="n">
        <v>58.1</v>
      </c>
      <c r="C137" s="65" t="n">
        <v>31.7</v>
      </c>
    </row>
    <row r="138" customFormat="false" ht="15.75" hidden="false" customHeight="false" outlineLevel="0" collapsed="false">
      <c r="A138" s="27" t="n">
        <v>36981</v>
      </c>
      <c r="B138" s="72" t="n">
        <v>58.1</v>
      </c>
      <c r="C138" s="65" t="n">
        <v>31.7</v>
      </c>
    </row>
    <row r="139" customFormat="false" ht="15.75" hidden="false" customHeight="false" outlineLevel="0" collapsed="false">
      <c r="A139" s="27" t="n">
        <v>36983</v>
      </c>
      <c r="B139" s="65" t="n">
        <v>56.57</v>
      </c>
      <c r="C139" s="65" t="n">
        <v>31.71</v>
      </c>
    </row>
    <row r="140" customFormat="false" ht="15.75" hidden="false" customHeight="false" outlineLevel="0" collapsed="false">
      <c r="A140" s="27" t="n">
        <v>36984</v>
      </c>
      <c r="B140" s="65" t="n">
        <v>54.06</v>
      </c>
      <c r="C140" s="65" t="n">
        <v>30.45</v>
      </c>
    </row>
    <row r="141" customFormat="false" ht="15.75" hidden="false" customHeight="false" outlineLevel="0" collapsed="false">
      <c r="A141" s="27" t="n">
        <v>36985</v>
      </c>
      <c r="B141" s="65" t="n">
        <v>53.72</v>
      </c>
      <c r="C141" s="65" t="n">
        <v>31.56</v>
      </c>
    </row>
    <row r="142" customFormat="false" ht="15.75" hidden="false" customHeight="false" outlineLevel="0" collapsed="false">
      <c r="A142" s="27" t="n">
        <v>36986</v>
      </c>
      <c r="B142" s="72" t="n">
        <v>55.7</v>
      </c>
      <c r="C142" s="65" t="n">
        <v>33.11</v>
      </c>
    </row>
    <row r="143" customFormat="false" ht="15.75" hidden="false" customHeight="false" outlineLevel="0" collapsed="false">
      <c r="A143" s="27" t="n">
        <v>36987</v>
      </c>
      <c r="B143" s="72" t="n">
        <v>53.5</v>
      </c>
      <c r="C143" s="65" t="n">
        <v>32.92</v>
      </c>
    </row>
    <row r="144" customFormat="false" ht="15.75" hidden="false" customHeight="false" outlineLevel="0" collapsed="false">
      <c r="A144" s="27" t="n">
        <v>36990</v>
      </c>
      <c r="B144" s="72" t="n">
        <v>55.96</v>
      </c>
      <c r="C144" s="65" t="n">
        <v>34.44</v>
      </c>
    </row>
    <row r="145" customFormat="false" ht="15.75" hidden="false" customHeight="false" outlineLevel="0" collapsed="false">
      <c r="A145" s="27" t="n">
        <v>36991</v>
      </c>
      <c r="B145" s="72" t="n">
        <v>58.82</v>
      </c>
      <c r="C145" s="65" t="n">
        <v>35.19</v>
      </c>
    </row>
    <row r="146" customFormat="false" ht="15.75" hidden="false" customHeight="false" outlineLevel="0" collapsed="false">
      <c r="A146" s="27" t="n">
        <v>36992</v>
      </c>
      <c r="B146" s="65" t="n">
        <v>58.51</v>
      </c>
      <c r="C146" s="65" t="n">
        <v>34.61</v>
      </c>
    </row>
    <row r="147" customFormat="false" ht="15.75" hidden="false" customHeight="false" outlineLevel="0" collapsed="false">
      <c r="A147" s="27" t="n">
        <v>36993</v>
      </c>
      <c r="B147" s="65" t="n">
        <v>57.3</v>
      </c>
      <c r="C147" s="65" t="n">
        <v>35.24</v>
      </c>
    </row>
    <row r="148" customFormat="false" ht="15.75" hidden="false" customHeight="false" outlineLevel="0" collapsed="false">
      <c r="A148" s="27" t="n">
        <v>36997</v>
      </c>
      <c r="B148" s="65" t="n">
        <v>59.44</v>
      </c>
      <c r="C148" s="65" t="n">
        <v>34.98</v>
      </c>
    </row>
    <row r="149" customFormat="false" ht="15.75" hidden="false" customHeight="false" outlineLevel="0" collapsed="false">
      <c r="A149" s="27" t="n">
        <v>36998</v>
      </c>
      <c r="B149" s="65" t="n">
        <v>60</v>
      </c>
      <c r="C149" s="65" t="n">
        <v>35.3</v>
      </c>
    </row>
    <row r="150" customFormat="false" ht="15.75" hidden="false" customHeight="false" outlineLevel="0" collapsed="false">
      <c r="A150" s="27" t="n">
        <v>36999</v>
      </c>
      <c r="B150" s="65" t="n">
        <v>61.62</v>
      </c>
      <c r="C150" s="65" t="n">
        <v>35.21</v>
      </c>
    </row>
    <row r="151" customFormat="false" ht="15.75" hidden="false" customHeight="false" outlineLevel="0" collapsed="false">
      <c r="A151" s="27" t="n">
        <v>37000</v>
      </c>
      <c r="B151" s="65" t="n">
        <v>61.16</v>
      </c>
      <c r="C151" s="65" t="n">
        <v>33.94</v>
      </c>
    </row>
    <row r="152" customFormat="false" ht="15.75" hidden="false" customHeight="false" outlineLevel="0" collapsed="false">
      <c r="A152" s="27" t="n">
        <v>37001</v>
      </c>
      <c r="B152" s="65" t="n">
        <v>59.99</v>
      </c>
      <c r="C152" s="65" t="n">
        <v>33.85</v>
      </c>
    </row>
    <row r="153" customFormat="false" ht="15.75" hidden="false" customHeight="false" outlineLevel="0" collapsed="false">
      <c r="A153" s="27" t="n">
        <v>37004</v>
      </c>
      <c r="B153" s="65" t="n">
        <v>61.65</v>
      </c>
      <c r="C153" s="65" t="n">
        <v>34.29</v>
      </c>
    </row>
    <row r="154" customFormat="false" ht="15.75" hidden="false" customHeight="false" outlineLevel="0" collapsed="false">
      <c r="A154" s="27" t="n">
        <v>37005</v>
      </c>
      <c r="B154" s="65" t="n">
        <v>61.87</v>
      </c>
      <c r="C154" s="65" t="n">
        <v>34.18</v>
      </c>
    </row>
    <row r="155" customFormat="false" ht="15.75" hidden="false" customHeight="false" outlineLevel="0" collapsed="false">
      <c r="A155" s="27" t="n">
        <v>37006</v>
      </c>
      <c r="B155" s="65" t="n">
        <v>62.88</v>
      </c>
      <c r="C155" s="65" t="n">
        <v>34.36</v>
      </c>
    </row>
    <row r="156" customFormat="false" ht="15.75" hidden="false" customHeight="false" outlineLevel="0" collapsed="false">
      <c r="A156" s="27" t="n">
        <v>37007</v>
      </c>
      <c r="B156" s="65" t="n">
        <v>63.66</v>
      </c>
      <c r="C156" s="65" t="n">
        <v>35.17</v>
      </c>
    </row>
    <row r="157" customFormat="false" ht="15.75" hidden="false" customHeight="false" outlineLevel="0" collapsed="false">
      <c r="A157" s="27" t="n">
        <v>37008</v>
      </c>
      <c r="B157" s="65" t="n">
        <v>63.5</v>
      </c>
      <c r="C157" s="65" t="n">
        <v>35.61</v>
      </c>
    </row>
    <row r="158" customFormat="false" ht="15.75" hidden="false" customHeight="false" outlineLevel="0" collapsed="false">
      <c r="A158" s="27" t="n">
        <v>37011</v>
      </c>
      <c r="B158" s="65" t="n">
        <v>62.72</v>
      </c>
      <c r="C158" s="65" t="n">
        <v>36.4</v>
      </c>
    </row>
    <row r="159" customFormat="false" ht="15.75" hidden="false" customHeight="false" outlineLevel="0" collapsed="false">
      <c r="A159" s="27" t="n">
        <v>37012</v>
      </c>
      <c r="B159" s="65" t="n">
        <v>62.41</v>
      </c>
      <c r="C159" s="65" t="n">
        <v>36.26</v>
      </c>
    </row>
    <row r="160" customFormat="false" ht="15.75" hidden="false" customHeight="false" outlineLevel="0" collapsed="false">
      <c r="A160" s="27" t="n">
        <v>37013</v>
      </c>
      <c r="B160" s="65" t="n">
        <v>60.5</v>
      </c>
      <c r="C160" s="65" t="n">
        <v>34.5</v>
      </c>
    </row>
    <row r="161" customFormat="false" ht="15.75" hidden="false" customHeight="false" outlineLevel="0" collapsed="false">
      <c r="A161" s="27" t="n">
        <v>37014</v>
      </c>
      <c r="B161" s="65" t="n">
        <v>58.35</v>
      </c>
      <c r="C161" s="65" t="n">
        <v>34</v>
      </c>
    </row>
    <row r="162" customFormat="false" ht="15.75" hidden="false" customHeight="false" outlineLevel="0" collapsed="false">
      <c r="A162" s="27" t="n">
        <v>37015</v>
      </c>
      <c r="B162" s="72" t="n">
        <v>59.48</v>
      </c>
      <c r="C162" s="65" t="n">
        <v>34</v>
      </c>
    </row>
    <row r="163" customFormat="false" ht="15.75" hidden="false" customHeight="false" outlineLevel="0" collapsed="false">
      <c r="A163" s="27" t="n">
        <v>37018</v>
      </c>
      <c r="B163" s="72" t="n">
        <v>58.04</v>
      </c>
      <c r="C163" s="65" t="n">
        <v>35.25</v>
      </c>
    </row>
    <row r="164" customFormat="false" ht="15.75" hidden="false" customHeight="false" outlineLevel="0" collapsed="false">
      <c r="A164" s="27" t="n">
        <v>37019</v>
      </c>
      <c r="B164" s="72" t="n">
        <v>56.11</v>
      </c>
      <c r="C164" s="65" t="n">
        <v>34.26</v>
      </c>
    </row>
    <row r="165" customFormat="false" ht="15.75" hidden="false" customHeight="false" outlineLevel="0" collapsed="false">
      <c r="A165" s="27" t="n">
        <v>37020</v>
      </c>
      <c r="B165" s="72" t="n">
        <v>59.2</v>
      </c>
      <c r="C165" s="65" t="n">
        <v>35.52</v>
      </c>
    </row>
    <row r="166" customFormat="false" ht="15.75" hidden="false" customHeight="false" outlineLevel="0" collapsed="false">
      <c r="A166" s="27" t="n">
        <v>37021</v>
      </c>
      <c r="B166" s="72" t="n">
        <v>57.6</v>
      </c>
      <c r="C166" s="65" t="n">
        <v>35.97</v>
      </c>
    </row>
    <row r="167" customFormat="false" ht="15.75" hidden="false" customHeight="false" outlineLevel="0" collapsed="false">
      <c r="A167" s="27" t="n">
        <v>37022</v>
      </c>
      <c r="B167" s="65" t="n">
        <v>58.2</v>
      </c>
      <c r="C167" s="65" t="n">
        <v>35.12</v>
      </c>
    </row>
    <row r="168" customFormat="false" ht="15.75" hidden="false" customHeight="false" outlineLevel="0" collapsed="false">
      <c r="A168" s="27" t="n">
        <v>37025</v>
      </c>
      <c r="B168" s="65" t="n">
        <v>58.75</v>
      </c>
      <c r="C168" s="65" t="n">
        <v>36.37</v>
      </c>
    </row>
    <row r="169" customFormat="false" ht="15.75" hidden="false" customHeight="false" outlineLevel="0" collapsed="false">
      <c r="A169" s="27" t="n">
        <v>37026</v>
      </c>
      <c r="B169" s="65" t="n">
        <v>56.99</v>
      </c>
      <c r="C169" s="65" t="n">
        <v>37.12</v>
      </c>
    </row>
    <row r="170" customFormat="false" ht="15.75" hidden="false" customHeight="false" outlineLevel="0" collapsed="false">
      <c r="A170" s="27" t="n">
        <v>37027</v>
      </c>
      <c r="B170" s="65" t="n">
        <v>55.01</v>
      </c>
      <c r="C170" s="65" t="n">
        <v>37.8</v>
      </c>
    </row>
    <row r="171" customFormat="false" ht="15.75" hidden="false" customHeight="false" outlineLevel="0" collapsed="false">
      <c r="A171" s="27" t="n">
        <v>37028</v>
      </c>
      <c r="B171" s="65" t="n">
        <v>52.2</v>
      </c>
      <c r="C171" s="65" t="n">
        <v>38.85</v>
      </c>
    </row>
    <row r="172" customFormat="false" ht="15.75" hidden="false" customHeight="false" outlineLevel="0" collapsed="false">
      <c r="A172" s="27" t="n">
        <v>37029</v>
      </c>
      <c r="B172" s="72" t="n">
        <v>54.9</v>
      </c>
      <c r="C172" s="65" t="n">
        <v>38.27</v>
      </c>
    </row>
    <row r="173" customFormat="false" ht="15.75" hidden="false" customHeight="false" outlineLevel="0" collapsed="false">
      <c r="A173" s="27" t="n">
        <v>37032</v>
      </c>
      <c r="B173" s="72" t="n">
        <v>54.99</v>
      </c>
      <c r="C173" s="65" t="n">
        <v>38.77</v>
      </c>
    </row>
    <row r="174" customFormat="false" ht="15.75" hidden="false" customHeight="false" outlineLevel="0" collapsed="false">
      <c r="A174" s="27" t="n">
        <v>37033</v>
      </c>
      <c r="B174" s="72" t="n">
        <v>54.95</v>
      </c>
      <c r="C174" s="65" t="n">
        <v>38.83</v>
      </c>
    </row>
    <row r="175" customFormat="false" ht="15.75" hidden="false" customHeight="false" outlineLevel="0" collapsed="false">
      <c r="A175" s="27" t="n">
        <v>37034</v>
      </c>
      <c r="B175" s="72" t="n">
        <v>55.35</v>
      </c>
      <c r="C175" s="65" t="n">
        <v>38.01</v>
      </c>
    </row>
    <row r="176" customFormat="false" ht="15.75" hidden="false" customHeight="false" outlineLevel="0" collapsed="false">
      <c r="A176" s="27" t="n">
        <v>37035</v>
      </c>
      <c r="B176" s="72" t="n">
        <v>54.16</v>
      </c>
      <c r="C176" s="65" t="n">
        <v>36.7</v>
      </c>
    </row>
    <row r="177" customFormat="false" ht="15.75" hidden="false" customHeight="false" outlineLevel="0" collapsed="false">
      <c r="A177" s="27" t="n">
        <v>37036</v>
      </c>
      <c r="B177" s="72" t="n">
        <v>53</v>
      </c>
      <c r="C177" s="65" t="n">
        <v>37.61</v>
      </c>
    </row>
    <row r="178" customFormat="false" ht="15.75" hidden="false" customHeight="false" outlineLevel="0" collapsed="false">
      <c r="A178" s="27" t="n">
        <v>37040</v>
      </c>
      <c r="B178" s="65" t="n">
        <v>53.05</v>
      </c>
      <c r="C178" s="65" t="n">
        <v>37.3</v>
      </c>
    </row>
    <row r="179" customFormat="false" ht="15.75" hidden="false" customHeight="false" outlineLevel="0" collapsed="false">
      <c r="A179" s="27" t="n">
        <v>37041</v>
      </c>
      <c r="B179" s="65" t="n">
        <v>53.23</v>
      </c>
      <c r="C179" s="65" t="n">
        <v>36.54</v>
      </c>
    </row>
    <row r="180" customFormat="false" ht="15.75" hidden="false" customHeight="false" outlineLevel="0" collapsed="false">
      <c r="A180" s="27" t="n">
        <v>37042</v>
      </c>
      <c r="B180" s="65" t="n">
        <v>52.91</v>
      </c>
      <c r="C180" s="65" t="n">
        <v>36.99</v>
      </c>
    </row>
    <row r="181" customFormat="false" ht="15.75" hidden="false" customHeight="false" outlineLevel="0" collapsed="false">
      <c r="A181" s="27" t="n">
        <v>37043</v>
      </c>
      <c r="B181" s="65" t="n">
        <v>53.04</v>
      </c>
      <c r="C181" s="65" t="n">
        <v>37.49</v>
      </c>
    </row>
    <row r="182" customFormat="false" ht="15.75" hidden="false" customHeight="false" outlineLevel="0" collapsed="false">
      <c r="A182" s="27" t="n">
        <v>37046</v>
      </c>
      <c r="B182" s="65" t="n">
        <v>54.54</v>
      </c>
      <c r="C182" s="65" t="n">
        <v>38.75</v>
      </c>
    </row>
    <row r="183" customFormat="false" ht="15.75" hidden="false" customHeight="false" outlineLevel="0" collapsed="false">
      <c r="A183" s="27" t="n">
        <v>37047</v>
      </c>
      <c r="B183" s="65" t="n">
        <v>53.75</v>
      </c>
      <c r="C183" s="65" t="n">
        <v>38.18</v>
      </c>
    </row>
    <row r="184" customFormat="false" ht="15.75" hidden="false" customHeight="false" outlineLevel="0" collapsed="false">
      <c r="A184" s="27" t="n">
        <v>37048</v>
      </c>
      <c r="B184" s="65" t="n">
        <v>52.33</v>
      </c>
      <c r="C184" s="65" t="n">
        <v>36.6</v>
      </c>
    </row>
    <row r="185" customFormat="false" ht="15.75" hidden="false" customHeight="false" outlineLevel="0" collapsed="false">
      <c r="A185" s="27" t="n">
        <v>37049</v>
      </c>
      <c r="B185" s="65" t="n">
        <v>50.52</v>
      </c>
      <c r="C185" s="65" t="n">
        <v>35.24</v>
      </c>
    </row>
    <row r="186" customFormat="false" ht="15.75" hidden="false" customHeight="false" outlineLevel="0" collapsed="false">
      <c r="A186" s="27" t="n">
        <v>37050</v>
      </c>
      <c r="B186" s="65" t="n">
        <v>51.13</v>
      </c>
      <c r="C186" s="65" t="n">
        <v>35.24</v>
      </c>
    </row>
    <row r="187" customFormat="false" ht="15.75" hidden="false" customHeight="false" outlineLevel="0" collapsed="false">
      <c r="A187" s="27" t="n">
        <v>37053</v>
      </c>
      <c r="B187" s="65" t="n">
        <v>51</v>
      </c>
      <c r="C187" s="65" t="n">
        <v>34.86</v>
      </c>
    </row>
    <row r="188" customFormat="false" ht="15.75" hidden="false" customHeight="false" outlineLevel="0" collapsed="false">
      <c r="A188" s="27" t="n">
        <v>37054</v>
      </c>
      <c r="B188" s="65" t="n">
        <v>50.37</v>
      </c>
      <c r="C188" s="65" t="n">
        <v>34.72</v>
      </c>
    </row>
    <row r="189" customFormat="false" ht="15.75" hidden="false" customHeight="false" outlineLevel="0" collapsed="false">
      <c r="A189" s="27" t="n">
        <v>37055</v>
      </c>
      <c r="B189" s="65" t="n">
        <v>49.92</v>
      </c>
      <c r="C189" s="65" t="n">
        <v>35.6</v>
      </c>
    </row>
    <row r="190" customFormat="false" ht="15.75" hidden="false" customHeight="false" outlineLevel="0" collapsed="false">
      <c r="A190" s="27" t="n">
        <v>37056</v>
      </c>
      <c r="B190" s="65" t="n">
        <v>47.91</v>
      </c>
      <c r="C190" s="65" t="n">
        <v>37.15</v>
      </c>
    </row>
    <row r="191" customFormat="false" ht="15.75" hidden="false" customHeight="false" outlineLevel="0" collapsed="false">
      <c r="A191" s="27" t="n">
        <v>37057</v>
      </c>
      <c r="B191" s="65" t="n">
        <v>47.26</v>
      </c>
      <c r="C191" s="65" t="n">
        <v>39</v>
      </c>
    </row>
    <row r="192" customFormat="false" ht="15.75" hidden="false" customHeight="false" outlineLevel="0" collapsed="false">
      <c r="A192" s="27" t="n">
        <v>37060</v>
      </c>
      <c r="B192" s="65" t="n">
        <v>44.7</v>
      </c>
      <c r="C192" s="65" t="n">
        <v>40.03</v>
      </c>
    </row>
    <row r="193" customFormat="false" ht="15.75" hidden="false" customHeight="false" outlineLevel="0" collapsed="false">
      <c r="A193" s="27" t="n">
        <v>37061</v>
      </c>
      <c r="B193" s="65" t="n">
        <v>46.18</v>
      </c>
      <c r="C193" s="65" t="n">
        <v>38.63</v>
      </c>
    </row>
    <row r="194" customFormat="false" ht="15.75" hidden="false" customHeight="false" outlineLevel="0" collapsed="false">
      <c r="A194" s="27" t="n">
        <v>37062</v>
      </c>
      <c r="B194" s="65" t="n">
        <v>45.8</v>
      </c>
      <c r="C194" s="65" t="n">
        <v>39.02</v>
      </c>
    </row>
    <row r="195" customFormat="false" ht="15.75" hidden="false" customHeight="false" outlineLevel="0" collapsed="false">
      <c r="A195" s="27" t="n">
        <v>37063</v>
      </c>
      <c r="B195" s="65" t="n">
        <v>44.05</v>
      </c>
      <c r="C195" s="65" t="n">
        <v>35.5</v>
      </c>
    </row>
    <row r="196" customFormat="false" ht="15.75" hidden="false" customHeight="false" outlineLevel="0" collapsed="false">
      <c r="A196" s="27" t="n">
        <v>37064</v>
      </c>
      <c r="B196" s="72" t="n">
        <v>44.88</v>
      </c>
      <c r="C196" s="65" t="n">
        <v>34.6</v>
      </c>
    </row>
    <row r="197" customFormat="false" ht="15.75" hidden="false" customHeight="false" outlineLevel="0" collapsed="false">
      <c r="A197" s="27" t="n">
        <v>37067</v>
      </c>
      <c r="B197" s="72" t="n">
        <v>44.07</v>
      </c>
      <c r="C197" s="65" t="n">
        <v>33.89</v>
      </c>
    </row>
    <row r="198" customFormat="false" ht="15.75" hidden="false" customHeight="false" outlineLevel="0" collapsed="false">
      <c r="A198" s="27" t="n">
        <v>37068</v>
      </c>
      <c r="B198" s="72" t="n">
        <v>44.19</v>
      </c>
      <c r="C198" s="65" t="n">
        <v>35.45</v>
      </c>
    </row>
    <row r="199" customFormat="false" ht="15.75" hidden="false" customHeight="false" outlineLevel="0" collapsed="false">
      <c r="A199" s="27" t="n">
        <v>37069</v>
      </c>
      <c r="B199" s="72" t="n">
        <v>46.72</v>
      </c>
      <c r="C199" s="65" t="n">
        <v>34.76</v>
      </c>
    </row>
    <row r="200" customFormat="false" ht="15.75" hidden="false" customHeight="false" outlineLevel="0" collapsed="false">
      <c r="A200" s="27" t="n">
        <v>37070</v>
      </c>
      <c r="B200" s="72" t="n">
        <v>48.34</v>
      </c>
      <c r="C200" s="65" t="n">
        <v>33.67</v>
      </c>
    </row>
    <row r="201" customFormat="false" ht="15.75" hidden="false" customHeight="false" outlineLevel="0" collapsed="false">
      <c r="A201" s="27" t="n">
        <v>37071</v>
      </c>
      <c r="B201" s="72" t="n">
        <v>49.1</v>
      </c>
      <c r="C201" s="65" t="n">
        <v>33.09</v>
      </c>
    </row>
    <row r="202" customFormat="false" ht="15.75" hidden="false" customHeight="false" outlineLevel="0" collapsed="false">
      <c r="A202" s="27" t="n">
        <v>37083</v>
      </c>
      <c r="B202" s="72" t="n">
        <v>49.1</v>
      </c>
      <c r="C202" s="65" t="n">
        <v>31.99</v>
      </c>
    </row>
    <row r="203" customFormat="false" ht="15.75" hidden="false" customHeight="false" outlineLevel="0" collapsed="false">
      <c r="A203" s="27" t="n">
        <v>37084</v>
      </c>
      <c r="B203" s="72" t="n">
        <v>49.55</v>
      </c>
      <c r="C203" s="65" t="n">
        <v>31.41</v>
      </c>
    </row>
    <row r="204" customFormat="false" ht="15.75" hidden="false" customHeight="false" outlineLevel="0" collapsed="false">
      <c r="A204" s="27" t="n">
        <v>37085</v>
      </c>
      <c r="B204" s="72" t="n">
        <v>48.78</v>
      </c>
      <c r="C204" s="65" t="n">
        <v>30.99</v>
      </c>
    </row>
    <row r="205" customFormat="false" ht="15.75" hidden="false" customHeight="false" outlineLevel="0" collapsed="false">
      <c r="A205" s="27" t="n">
        <v>37088</v>
      </c>
      <c r="B205" s="72" t="n">
        <v>49.12</v>
      </c>
      <c r="C205" s="65" t="n">
        <v>30.69</v>
      </c>
    </row>
    <row r="206" customFormat="false" ht="15.75" hidden="false" customHeight="false" outlineLevel="0" collapsed="false">
      <c r="A206" s="27" t="n">
        <v>37089</v>
      </c>
      <c r="B206" s="72" t="n">
        <v>49.85</v>
      </c>
      <c r="C206" s="65" t="n">
        <v>30.13</v>
      </c>
    </row>
    <row r="207" customFormat="false" ht="15.75" hidden="false" customHeight="false" outlineLevel="0" collapsed="false">
      <c r="A207" s="27" t="n">
        <v>37090</v>
      </c>
      <c r="B207" s="72" t="n">
        <v>48.97</v>
      </c>
      <c r="C207" s="65" t="n">
        <v>29.65</v>
      </c>
    </row>
    <row r="208" customFormat="false" ht="15.75" hidden="false" customHeight="false" outlineLevel="0" collapsed="false">
      <c r="A208" s="27" t="n">
        <v>37091</v>
      </c>
      <c r="B208" s="72" t="n">
        <v>49.08</v>
      </c>
      <c r="C208" s="65" t="n">
        <v>30.46</v>
      </c>
    </row>
    <row r="209" customFormat="false" ht="15.75" hidden="false" customHeight="false" outlineLevel="0" collapsed="false">
      <c r="A209" s="27" t="n">
        <v>37092</v>
      </c>
      <c r="B209" s="72" t="n">
        <v>48.16</v>
      </c>
      <c r="C209" s="65" t="n">
        <v>31.03</v>
      </c>
    </row>
    <row r="210" customFormat="false" ht="15.75" hidden="false" customHeight="false" outlineLevel="0" collapsed="false">
      <c r="A210" s="27" t="n">
        <v>37095</v>
      </c>
      <c r="B210" s="72" t="n">
        <v>46.66</v>
      </c>
      <c r="C210" s="65" t="n">
        <v>31.85</v>
      </c>
    </row>
    <row r="211" customFormat="false" ht="15.75" hidden="false" customHeight="false" outlineLevel="0" collapsed="false">
      <c r="A211" s="27" t="n">
        <v>37096</v>
      </c>
      <c r="B211" s="72" t="n">
        <v>43.24</v>
      </c>
      <c r="C211" s="65" t="n">
        <v>31.19</v>
      </c>
    </row>
    <row r="212" customFormat="false" ht="15.75" hidden="false" customHeight="false" outlineLevel="0" collapsed="false">
      <c r="A212" s="27" t="n">
        <v>37097</v>
      </c>
      <c r="B212" s="72" t="n">
        <v>44.96</v>
      </c>
      <c r="C212" s="65" t="n">
        <v>32.42</v>
      </c>
    </row>
    <row r="213" customFormat="false" ht="15.75" hidden="false" customHeight="false" outlineLevel="0" collapsed="false">
      <c r="A213" s="27" t="n">
        <v>37098</v>
      </c>
      <c r="B213" s="72" t="n">
        <v>46.84</v>
      </c>
      <c r="C213" s="65" t="n">
        <v>32.4</v>
      </c>
    </row>
    <row r="214" customFormat="false" ht="15.75" hidden="false" customHeight="false" outlineLevel="0" collapsed="false">
      <c r="A214" s="27" t="n">
        <v>37099</v>
      </c>
      <c r="B214" s="72" t="n">
        <v>46.1</v>
      </c>
      <c r="C214" s="65" t="n">
        <v>32.59</v>
      </c>
    </row>
    <row r="215" customFormat="false" ht="15.75" hidden="false" customHeight="false" outlineLevel="0" collapsed="false">
      <c r="A215" s="27" t="n">
        <v>37102</v>
      </c>
      <c r="B215" s="72" t="n">
        <v>45.73</v>
      </c>
      <c r="C215" s="65" t="n">
        <v>32.96</v>
      </c>
    </row>
    <row r="216" customFormat="false" ht="15.75" hidden="false" customHeight="false" outlineLevel="0" collapsed="false">
      <c r="A216" s="27" t="n">
        <v>37103</v>
      </c>
      <c r="B216" s="72" t="n">
        <v>45.35</v>
      </c>
      <c r="C216" s="65" t="n">
        <v>33.47</v>
      </c>
    </row>
    <row r="217" customFormat="false" ht="15.75" hidden="false" customHeight="false" outlineLevel="0" collapsed="false">
      <c r="A217" s="27" t="n">
        <v>37104</v>
      </c>
      <c r="B217" s="72" t="n">
        <v>45.61</v>
      </c>
      <c r="C217" s="65" t="n">
        <v>33.62</v>
      </c>
    </row>
    <row r="218" customFormat="false" ht="15.75" hidden="false" customHeight="false" outlineLevel="0" collapsed="false">
      <c r="A218" s="27" t="n">
        <v>37105</v>
      </c>
      <c r="B218" s="72" t="n">
        <v>45.58</v>
      </c>
      <c r="C218" s="65" t="n">
        <v>32.89</v>
      </c>
    </row>
    <row r="219" customFormat="false" ht="15.75" hidden="false" customHeight="false" outlineLevel="0" collapsed="false">
      <c r="A219" s="27" t="n">
        <v>37106</v>
      </c>
      <c r="B219" s="72" t="n">
        <v>45.36</v>
      </c>
      <c r="C219" s="65" t="n">
        <v>31.9</v>
      </c>
    </row>
    <row r="220" customFormat="false" ht="15.75" hidden="false" customHeight="false" outlineLevel="0" collapsed="false">
      <c r="A220" s="27" t="n">
        <v>37109</v>
      </c>
      <c r="B220" s="72" t="n">
        <v>44.5</v>
      </c>
      <c r="C220" s="65" t="n">
        <v>31.24</v>
      </c>
    </row>
    <row r="221" customFormat="false" ht="15.75" hidden="false" customHeight="false" outlineLevel="0" collapsed="false">
      <c r="A221" s="27" t="n">
        <v>37110</v>
      </c>
      <c r="B221" s="72" t="n">
        <v>43.6</v>
      </c>
      <c r="C221" s="65" t="n">
        <v>30.44</v>
      </c>
    </row>
    <row r="222" customFormat="false" ht="15.75" hidden="false" customHeight="false" outlineLevel="0" collapsed="false">
      <c r="A222" s="27" t="n">
        <v>37111</v>
      </c>
      <c r="B222" s="72" t="n">
        <v>42.85</v>
      </c>
      <c r="C222" s="65" t="n">
        <v>29.77</v>
      </c>
    </row>
    <row r="223" customFormat="false" ht="15.75" hidden="false" customHeight="false" outlineLevel="0" collapsed="false">
      <c r="A223" s="27" t="n">
        <v>37112</v>
      </c>
      <c r="B223" s="72" t="n">
        <v>42.78</v>
      </c>
      <c r="C223" s="65" t="n">
        <v>30.73</v>
      </c>
    </row>
    <row r="224" customFormat="false" ht="15.75" hidden="false" customHeight="false" outlineLevel="0" collapsed="false">
      <c r="A224" s="27" t="n">
        <v>37113</v>
      </c>
      <c r="B224" s="72" t="n">
        <v>42.81</v>
      </c>
      <c r="C224" s="65" t="n">
        <v>31.3</v>
      </c>
    </row>
    <row r="225" customFormat="false" ht="15.75" hidden="false" customHeight="false" outlineLevel="0" collapsed="false">
      <c r="A225" s="27" t="n">
        <v>37116</v>
      </c>
      <c r="B225" s="72" t="n">
        <v>42.15</v>
      </c>
      <c r="C225" s="65" t="n">
        <v>30.95</v>
      </c>
    </row>
    <row r="226" customFormat="false" ht="14.25" hidden="false" customHeight="true" outlineLevel="0" collapsed="false">
      <c r="A226" s="27" t="n">
        <v>37117</v>
      </c>
      <c r="B226" s="72" t="n">
        <v>42.93</v>
      </c>
      <c r="C226" s="65" t="n">
        <v>31.1</v>
      </c>
    </row>
    <row r="227" customFormat="false" ht="15.75" hidden="false" customHeight="false" outlineLevel="0" collapsed="false">
      <c r="A227" s="27" t="n">
        <v>37118</v>
      </c>
      <c r="B227" s="72" t="n">
        <v>40.25</v>
      </c>
      <c r="C227" s="65" t="n">
        <v>31.46</v>
      </c>
    </row>
    <row r="228" customFormat="false" ht="15.75" hidden="false" customHeight="false" outlineLevel="0" collapsed="false">
      <c r="A228" s="27" t="n">
        <v>37119</v>
      </c>
      <c r="B228" s="72" t="n">
        <v>36.85</v>
      </c>
      <c r="C228" s="65" t="n">
        <v>31.01</v>
      </c>
    </row>
    <row r="229" customFormat="false" ht="15.75" hidden="false" customHeight="false" outlineLevel="0" collapsed="false">
      <c r="A229" s="27" t="n">
        <v>37120</v>
      </c>
      <c r="B229" s="72" t="n">
        <v>36.67</v>
      </c>
      <c r="C229" s="65" t="n">
        <v>30.55</v>
      </c>
    </row>
    <row r="230" customFormat="false" ht="15.75" hidden="false" customHeight="false" outlineLevel="0" collapsed="false">
      <c r="A230" s="27" t="n">
        <v>37123</v>
      </c>
      <c r="B230" s="72" t="n">
        <v>36.25</v>
      </c>
      <c r="C230" s="65" t="n">
        <v>30.07</v>
      </c>
    </row>
    <row r="231" customFormat="false" ht="15.75" hidden="false" customHeight="false" outlineLevel="0" collapsed="false">
      <c r="A231" s="27" t="n">
        <v>37124</v>
      </c>
      <c r="B231" s="72" t="n">
        <v>36.88</v>
      </c>
      <c r="C231" s="65" t="n">
        <v>29.99</v>
      </c>
    </row>
    <row r="232" customFormat="false" ht="15.75" hidden="false" customHeight="false" outlineLevel="0" collapsed="false">
      <c r="A232" s="27" t="n">
        <v>37125</v>
      </c>
      <c r="B232" s="72" t="n">
        <v>37.26</v>
      </c>
      <c r="C232" s="65" t="n">
        <v>29.4</v>
      </c>
    </row>
    <row r="233" customFormat="false" ht="15.75" hidden="false" customHeight="false" outlineLevel="0" collapsed="false">
      <c r="A233" s="27" t="n">
        <v>37126</v>
      </c>
      <c r="B233" s="72" t="n">
        <v>36.96</v>
      </c>
      <c r="C233" s="65" t="n">
        <v>29.24</v>
      </c>
    </row>
    <row r="234" customFormat="false" ht="15.75" hidden="false" customHeight="false" outlineLevel="0" collapsed="false">
      <c r="A234" s="27" t="n">
        <v>37127</v>
      </c>
      <c r="B234" s="72" t="n">
        <v>36.35</v>
      </c>
      <c r="C234" s="65" t="n">
        <v>28.33</v>
      </c>
    </row>
    <row r="235" customFormat="false" ht="15.75" hidden="false" customHeight="false" outlineLevel="0" collapsed="false">
      <c r="A235" s="27" t="n">
        <v>37130</v>
      </c>
      <c r="B235" s="72" t="n">
        <v>37.76</v>
      </c>
      <c r="C235" s="65" t="n">
        <v>27.14</v>
      </c>
    </row>
    <row r="236" customFormat="false" ht="15.75" hidden="false" customHeight="false" outlineLevel="0" collapsed="false">
      <c r="A236" s="27" t="n">
        <v>37131</v>
      </c>
      <c r="B236" s="72" t="n">
        <v>38.16</v>
      </c>
      <c r="C236" s="65" t="n">
        <v>26.5</v>
      </c>
    </row>
    <row r="237" customFormat="false" ht="15.75" hidden="false" customHeight="false" outlineLevel="0" collapsed="false">
      <c r="A237" s="27" t="n">
        <v>37132</v>
      </c>
      <c r="B237" s="72" t="n">
        <v>37.3</v>
      </c>
      <c r="C237" s="65" t="n">
        <v>26.1</v>
      </c>
    </row>
    <row r="238" customFormat="false" ht="15.75" hidden="false" customHeight="false" outlineLevel="0" collapsed="false">
      <c r="A238" s="27" t="n">
        <v>37133</v>
      </c>
      <c r="B238" s="72" t="n">
        <v>35.5</v>
      </c>
      <c r="C238" s="65" t="n">
        <v>24.08</v>
      </c>
    </row>
    <row r="239" customFormat="false" ht="15.75" hidden="false" customHeight="false" outlineLevel="0" collapsed="false">
      <c r="A239" s="27" t="n">
        <v>37134</v>
      </c>
      <c r="B239" s="72" t="n">
        <v>34.99</v>
      </c>
      <c r="C239" s="65" t="n">
        <v>25.26</v>
      </c>
    </row>
    <row r="240" customFormat="false" ht="15.75" hidden="false" customHeight="false" outlineLevel="0" collapsed="false">
      <c r="A240" s="27" t="n">
        <v>37138</v>
      </c>
      <c r="B240" s="72" t="n">
        <v>35</v>
      </c>
      <c r="C240" s="65" t="n">
        <v>26.04</v>
      </c>
    </row>
    <row r="241" customFormat="false" ht="15.75" hidden="false" customHeight="false" outlineLevel="0" collapsed="false">
      <c r="A241" s="27" t="n">
        <v>37139</v>
      </c>
      <c r="B241" s="72" t="n">
        <v>32.36</v>
      </c>
      <c r="C241" s="65" t="n">
        <v>25.28</v>
      </c>
    </row>
    <row r="242" customFormat="false" ht="15.75" hidden="false" customHeight="false" outlineLevel="0" collapsed="false">
      <c r="A242" s="27" t="n">
        <v>37140</v>
      </c>
      <c r="B242" s="72" t="n">
        <v>30.49</v>
      </c>
      <c r="C242" s="65" t="n">
        <v>26</v>
      </c>
    </row>
    <row r="243" customFormat="false" ht="15.75" hidden="false" customHeight="false" outlineLevel="0" collapsed="false">
      <c r="A243" s="27" t="n">
        <v>37141</v>
      </c>
      <c r="B243" s="72" t="n">
        <v>31.57</v>
      </c>
      <c r="C243" s="65" t="n">
        <v>25.05</v>
      </c>
    </row>
    <row r="244" customFormat="false" ht="15.75" hidden="false" customHeight="false" outlineLevel="0" collapsed="false">
      <c r="A244" s="27" t="n">
        <v>37144</v>
      </c>
      <c r="B244" s="72" t="n">
        <v>32.76</v>
      </c>
      <c r="C244" s="65" t="n">
        <v>23.91</v>
      </c>
    </row>
    <row r="245" customFormat="false" ht="15.75" hidden="false" customHeight="false" outlineLevel="0" collapsed="false">
      <c r="A245" s="27" t="n">
        <v>37148</v>
      </c>
      <c r="B245" s="72" t="n">
        <v>32.76</v>
      </c>
      <c r="C245" s="65" t="n">
        <v>23.91</v>
      </c>
    </row>
    <row r="246" customFormat="false" ht="15.75" hidden="false" customHeight="false" outlineLevel="0" collapsed="false">
      <c r="A246" s="27" t="n">
        <v>37151</v>
      </c>
      <c r="B246" s="72" t="n">
        <v>30.67</v>
      </c>
      <c r="C246" s="65" t="n">
        <v>23.65</v>
      </c>
    </row>
    <row r="247" customFormat="false" ht="15.75" hidden="false" customHeight="false" outlineLevel="0" collapsed="false">
      <c r="A247" s="27" t="n">
        <v>37152</v>
      </c>
      <c r="B247" s="72" t="n">
        <v>28.08</v>
      </c>
      <c r="C247" s="65" t="n">
        <v>23.35</v>
      </c>
    </row>
    <row r="248" customFormat="false" ht="15.75" hidden="false" customHeight="false" outlineLevel="0" collapsed="false">
      <c r="A248" s="27" t="n">
        <v>37153</v>
      </c>
      <c r="B248" s="72" t="n">
        <v>26.41</v>
      </c>
      <c r="C248" s="65" t="n">
        <v>21.75</v>
      </c>
    </row>
    <row r="249" customFormat="false" ht="15.75" hidden="false" customHeight="false" outlineLevel="0" collapsed="false">
      <c r="A249" s="27" t="n">
        <v>37154</v>
      </c>
      <c r="B249" s="72" t="n">
        <v>28.39</v>
      </c>
      <c r="C249" s="65" t="n">
        <v>20.7</v>
      </c>
    </row>
    <row r="250" customFormat="false" ht="15.75" hidden="false" customHeight="false" outlineLevel="0" collapsed="false">
      <c r="A250" s="27" t="n">
        <v>37155</v>
      </c>
      <c r="B250" s="72" t="n">
        <v>28.3</v>
      </c>
      <c r="C250" s="65" t="n">
        <v>21.11</v>
      </c>
    </row>
    <row r="251" customFormat="false" ht="15.75" hidden="false" customHeight="false" outlineLevel="0" collapsed="false">
      <c r="A251" s="27" t="n">
        <v>37158</v>
      </c>
      <c r="B251" s="72" t="n">
        <v>27</v>
      </c>
      <c r="C251" s="65" t="n">
        <v>20.05</v>
      </c>
    </row>
    <row r="252" customFormat="false" ht="15.75" hidden="false" customHeight="false" outlineLevel="0" collapsed="false">
      <c r="A252" s="27" t="n">
        <v>37159</v>
      </c>
      <c r="B252" s="72" t="n">
        <v>27</v>
      </c>
      <c r="C252" s="65" t="n">
        <v>19.95</v>
      </c>
    </row>
    <row r="253" customFormat="false" ht="15.75" hidden="false" customHeight="false" outlineLevel="0" collapsed="false">
      <c r="A253" s="27" t="n">
        <v>37160</v>
      </c>
      <c r="B253" s="72" t="n">
        <v>25.15</v>
      </c>
      <c r="C253" s="65" t="n">
        <v>19.45</v>
      </c>
    </row>
    <row r="254" customFormat="false" ht="15.75" hidden="false" customHeight="false" outlineLevel="0" collapsed="false">
      <c r="A254" s="27" t="n">
        <v>37161</v>
      </c>
      <c r="B254" s="72" t="n">
        <v>25.25</v>
      </c>
      <c r="C254" s="65" t="n">
        <v>20.28</v>
      </c>
    </row>
    <row r="255" customFormat="false" ht="15.75" hidden="false" customHeight="false" outlineLevel="0" collapsed="false">
      <c r="A255" s="27"/>
      <c r="B255" s="72"/>
    </row>
    <row r="256" customFormat="false" ht="15.75" hidden="false" customHeight="false" outlineLevel="0" collapsed="false">
      <c r="A256" s="27"/>
      <c r="B256" s="72"/>
    </row>
    <row r="257" customFormat="false" ht="15.75" hidden="false" customHeight="false" outlineLevel="0" collapsed="false">
      <c r="A257" s="27"/>
      <c r="B257" s="72"/>
    </row>
    <row r="258" customFormat="false" ht="15.75" hidden="false" customHeight="false" outlineLevel="0" collapsed="false">
      <c r="A258" s="27"/>
      <c r="B258" s="72"/>
    </row>
    <row r="259" customFormat="false" ht="15.75" hidden="false" customHeight="false" outlineLevel="0" collapsed="false">
      <c r="A259" s="27"/>
      <c r="B259" s="72"/>
    </row>
    <row r="260" customFormat="false" ht="15.75" hidden="false" customHeight="false" outlineLevel="0" collapsed="false">
      <c r="A260" s="27"/>
      <c r="B260" s="72"/>
    </row>
    <row r="261" customFormat="false" ht="15.75" hidden="false" customHeight="false" outlineLevel="0" collapsed="false">
      <c r="A261" s="27"/>
      <c r="B261" s="72"/>
    </row>
    <row r="262" customFormat="false" ht="15.75" hidden="false" customHeight="false" outlineLevel="0" collapsed="false">
      <c r="A262" s="27"/>
      <c r="B262" s="72"/>
    </row>
    <row r="263" customFormat="false" ht="15.75" hidden="false" customHeight="false" outlineLevel="0" collapsed="false">
      <c r="A263" s="27"/>
      <c r="B263" s="72"/>
    </row>
    <row r="264" customFormat="false" ht="15.75" hidden="false" customHeight="false" outlineLevel="0" collapsed="false">
      <c r="A264" s="27"/>
      <c r="B264" s="72"/>
    </row>
    <row r="265" customFormat="false" ht="15.75" hidden="false" customHeight="false" outlineLevel="0" collapsed="false">
      <c r="A265" s="27"/>
      <c r="B265" s="72"/>
    </row>
    <row r="266" customFormat="false" ht="15.75" hidden="false" customHeight="false" outlineLevel="0" collapsed="false">
      <c r="A266" s="27"/>
      <c r="B266" s="72"/>
    </row>
    <row r="267" customFormat="false" ht="15.75" hidden="false" customHeight="false" outlineLevel="0" collapsed="false">
      <c r="A267" s="27"/>
      <c r="B267" s="72"/>
    </row>
    <row r="268" customFormat="false" ht="15.75" hidden="false" customHeight="false" outlineLevel="0" collapsed="false">
      <c r="A268" s="27"/>
      <c r="B268" s="72"/>
    </row>
    <row r="269" customFormat="false" ht="15.75" hidden="false" customHeight="false" outlineLevel="0" collapsed="false">
      <c r="A269" s="27"/>
      <c r="B269" s="72"/>
    </row>
    <row r="270" customFormat="false" ht="15.75" hidden="false" customHeight="false" outlineLevel="0" collapsed="false">
      <c r="A270" s="27"/>
      <c r="B270" s="72"/>
    </row>
    <row r="271" customFormat="false" ht="15.75" hidden="false" customHeight="false" outlineLevel="0" collapsed="false">
      <c r="A271" s="27"/>
      <c r="B271" s="72"/>
    </row>
    <row r="272" customFormat="false" ht="15.75" hidden="false" customHeight="false" outlineLevel="0" collapsed="false">
      <c r="A272" s="27"/>
      <c r="B272" s="72"/>
    </row>
    <row r="273" customFormat="false" ht="15.75" hidden="false" customHeight="false" outlineLevel="0" collapsed="false">
      <c r="A273" s="27"/>
      <c r="B273" s="72"/>
    </row>
    <row r="274" customFormat="false" ht="15.75" hidden="false" customHeight="false" outlineLevel="0" collapsed="false">
      <c r="A274" s="27"/>
      <c r="B274" s="72"/>
    </row>
    <row r="275" customFormat="false" ht="15.75" hidden="false" customHeight="false" outlineLevel="0" collapsed="false">
      <c r="A275" s="27"/>
      <c r="B275" s="72"/>
    </row>
    <row r="276" customFormat="false" ht="15.75" hidden="false" customHeight="false" outlineLevel="0" collapsed="false">
      <c r="A276" s="27"/>
      <c r="B276" s="72"/>
    </row>
    <row r="277" customFormat="false" ht="15.75" hidden="false" customHeight="false" outlineLevel="0" collapsed="false">
      <c r="A277" s="27"/>
      <c r="B277" s="72"/>
    </row>
    <row r="278" customFormat="false" ht="15.75" hidden="false" customHeight="false" outlineLevel="0" collapsed="false">
      <c r="A278" s="27"/>
      <c r="B278" s="72"/>
    </row>
    <row r="279" customFormat="false" ht="15.75" hidden="false" customHeight="false" outlineLevel="0" collapsed="false">
      <c r="A279" s="27"/>
      <c r="B279" s="72"/>
    </row>
    <row r="280" customFormat="false" ht="15.75" hidden="false" customHeight="false" outlineLevel="0" collapsed="false">
      <c r="A280" s="27"/>
      <c r="B280" s="72"/>
    </row>
    <row r="281" customFormat="false" ht="15.75" hidden="false" customHeight="false" outlineLevel="0" collapsed="false">
      <c r="A281" s="27"/>
      <c r="B281" s="72"/>
    </row>
    <row r="282" customFormat="false" ht="15.75" hidden="false" customHeight="false" outlineLevel="0" collapsed="false">
      <c r="A282" s="27"/>
      <c r="B282" s="72"/>
    </row>
    <row r="283" customFormat="false" ht="15.75" hidden="false" customHeight="false" outlineLevel="0" collapsed="false">
      <c r="A283" s="27"/>
      <c r="B283" s="72"/>
    </row>
    <row r="284" customFormat="false" ht="15.75" hidden="false" customHeight="false" outlineLevel="0" collapsed="false">
      <c r="A284" s="27"/>
      <c r="B284" s="72"/>
    </row>
    <row r="285" customFormat="false" ht="15.75" hidden="false" customHeight="false" outlineLevel="0" collapsed="false">
      <c r="A285" s="27"/>
      <c r="B285" s="72"/>
    </row>
    <row r="286" customFormat="false" ht="15.75" hidden="false" customHeight="false" outlineLevel="0" collapsed="false">
      <c r="A286" s="27"/>
      <c r="B286" s="72"/>
    </row>
    <row r="287" customFormat="false" ht="15.75" hidden="false" customHeight="false" outlineLevel="0" collapsed="false">
      <c r="A287" s="27"/>
      <c r="B287" s="72"/>
    </row>
    <row r="288" customFormat="false" ht="15.75" hidden="false" customHeight="false" outlineLevel="0" collapsed="false">
      <c r="A288" s="27"/>
      <c r="B288" s="72"/>
    </row>
    <row r="289" customFormat="false" ht="15.75" hidden="false" customHeight="false" outlineLevel="0" collapsed="false">
      <c r="A289" s="27"/>
      <c r="B289" s="72"/>
    </row>
    <row r="290" customFormat="false" ht="15.75" hidden="false" customHeight="false" outlineLevel="0" collapsed="false">
      <c r="A290" s="27"/>
      <c r="B290" s="72"/>
    </row>
    <row r="291" customFormat="false" ht="15.75" hidden="false" customHeight="false" outlineLevel="0" collapsed="false">
      <c r="A291" s="27"/>
      <c r="B291" s="72"/>
    </row>
    <row r="292" customFormat="false" ht="15.75" hidden="false" customHeight="false" outlineLevel="0" collapsed="false">
      <c r="A292" s="27"/>
      <c r="B292" s="72"/>
    </row>
    <row r="293" customFormat="false" ht="15.75" hidden="false" customHeight="false" outlineLevel="0" collapsed="false">
      <c r="A293" s="27"/>
      <c r="B293" s="72"/>
    </row>
    <row r="294" customFormat="false" ht="15.75" hidden="false" customHeight="false" outlineLevel="0" collapsed="false">
      <c r="A294" s="27"/>
      <c r="B294" s="72"/>
    </row>
    <row r="295" customFormat="false" ht="15.75" hidden="false" customHeight="false" outlineLevel="0" collapsed="false">
      <c r="A295" s="27"/>
      <c r="B295" s="72"/>
    </row>
    <row r="296" customFormat="false" ht="15.75" hidden="false" customHeight="false" outlineLevel="0" collapsed="false">
      <c r="A296" s="27"/>
      <c r="B296" s="72"/>
    </row>
    <row r="297" customFormat="false" ht="15.75" hidden="false" customHeight="false" outlineLevel="0" collapsed="false">
      <c r="A297" s="27"/>
      <c r="B297" s="72"/>
    </row>
    <row r="298" customFormat="false" ht="15.75" hidden="false" customHeight="false" outlineLevel="0" collapsed="false">
      <c r="A298" s="27"/>
      <c r="B298" s="72"/>
    </row>
    <row r="299" customFormat="false" ht="15.75" hidden="false" customHeight="false" outlineLevel="0" collapsed="false">
      <c r="A299" s="27"/>
      <c r="B299" s="72"/>
    </row>
    <row r="300" customFormat="false" ht="15.75" hidden="false" customHeight="false" outlineLevel="0" collapsed="false">
      <c r="A300" s="27"/>
      <c r="B300" s="72"/>
    </row>
    <row r="344" customFormat="false" ht="15.75" hidden="false" customHeight="false" outlineLevel="0" collapsed="false">
      <c r="A344" s="64" t="s">
        <v>69</v>
      </c>
    </row>
    <row r="346" customFormat="false" ht="15.75" hidden="false" customHeight="false" outlineLevel="0" collapsed="false">
      <c r="A346" s="27" t="n">
        <f aca="false">+[2]Table!$B$3</f>
        <v>37161</v>
      </c>
      <c r="B346" s="72" t="n">
        <f aca="false">+[2]Table!$B$5</f>
        <v>25.25</v>
      </c>
      <c r="C346" s="65" t="n">
        <f aca="false">INDEX(MPRR,MATCH("Hanover Compressor Common Raptor II",'MPR Raptor'!$E$3:$E$140,),MATCH("Per Share",'MPR Raptor'!$E$3:$CM$3,))</f>
        <v>20.28</v>
      </c>
    </row>
    <row r="347" customFormat="false" ht="15.75" hidden="false" customHeight="false" outlineLevel="0" collapsed="false">
      <c r="A347" s="27"/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B10" colorId="64" zoomScale="100" zoomScaleNormal="100" zoomScalePageLayoutView="100" workbookViewId="0">
      <selection pane="topLeft" activeCell="H18" activeCellId="0" sqref="H1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73" width="23.49"/>
    <col collapsed="false" customWidth="true" hidden="false" outlineLevel="0" max="2" min="2" style="73" width="12.12"/>
    <col collapsed="false" customWidth="true" hidden="false" outlineLevel="0" max="3" min="3" style="73" width="2.99"/>
    <col collapsed="false" customWidth="true" hidden="false" outlineLevel="0" max="4" min="4" style="73" width="15.62"/>
    <col collapsed="false" customWidth="true" hidden="false" outlineLevel="0" max="5" min="5" style="73" width="12.12"/>
    <col collapsed="false" customWidth="true" hidden="false" outlineLevel="0" max="6" min="6" style="74" width="1.74"/>
    <col collapsed="false" customWidth="true" hidden="false" outlineLevel="0" max="7" min="7" style="73" width="1.99"/>
    <col collapsed="false" customWidth="true" hidden="false" outlineLevel="0" max="8" min="8" style="73" width="41.87"/>
    <col collapsed="false" customWidth="true" hidden="false" outlineLevel="0" max="9" min="9" style="75" width="14.62"/>
    <col collapsed="false" customWidth="true" hidden="false" outlineLevel="0" max="10" min="10" style="73" width="1.74"/>
    <col collapsed="false" customWidth="true" hidden="false" outlineLevel="0" max="11" min="11" style="74" width="1.49"/>
    <col collapsed="false" customWidth="true" hidden="false" outlineLevel="0" max="12" min="12" style="73" width="24.24"/>
    <col collapsed="false" customWidth="true" hidden="false" outlineLevel="0" max="13" min="13" style="73" width="12.99"/>
    <col collapsed="false" customWidth="true" hidden="false" outlineLevel="0" max="14" min="14" style="73" width="3.49"/>
    <col collapsed="false" customWidth="true" hidden="false" outlineLevel="0" max="16" min="15" style="73" width="15.37"/>
    <col collapsed="false" customWidth="true" hidden="false" outlineLevel="0" max="17" min="17" style="74" width="3.24"/>
    <col collapsed="false" customWidth="true" hidden="false" outlineLevel="0" max="18" min="18" style="73" width="12.37"/>
    <col collapsed="false" customWidth="true" hidden="false" outlineLevel="0" max="19" min="19" style="73" width="10.11"/>
    <col collapsed="false" customWidth="true" hidden="false" outlineLevel="0" max="20" min="20" style="73" width="10.74"/>
    <col collapsed="false" customWidth="true" hidden="false" outlineLevel="0" max="21" min="21" style="73" width="10.49"/>
    <col collapsed="false" customWidth="true" hidden="false" outlineLevel="0" max="22" min="22" style="73" width="11.12"/>
    <col collapsed="false" customWidth="true" hidden="false" outlineLevel="0" max="23" min="23" style="73" width="12.49"/>
    <col collapsed="false" customWidth="false" hidden="false" outlineLevel="0" max="257" min="24" style="73" width="8.99"/>
  </cols>
  <sheetData>
    <row r="1" customFormat="false" ht="15.75" hidden="false" customHeight="false" outlineLevel="0" collapsed="false">
      <c r="A1" s="76" t="s">
        <v>70</v>
      </c>
    </row>
    <row r="2" customFormat="false" ht="15.75" hidden="false" customHeight="false" outlineLevel="0" collapsed="false">
      <c r="A2" s="73" t="s">
        <v>71</v>
      </c>
      <c r="H2" s="77" t="n">
        <f aca="false">+Summary!C5</f>
        <v>37161</v>
      </c>
      <c r="I2" s="77"/>
      <c r="J2" s="78"/>
      <c r="L2" s="77" t="n">
        <f aca="false">H2</f>
        <v>37161</v>
      </c>
      <c r="M2" s="77"/>
      <c r="N2" s="77"/>
      <c r="O2" s="77"/>
      <c r="P2" s="77"/>
    </row>
    <row r="3" customFormat="false" ht="16.5" hidden="false" customHeight="false" outlineLevel="0" collapsed="false">
      <c r="A3" s="64" t="n">
        <v>36706</v>
      </c>
      <c r="H3" s="79" t="s">
        <v>72</v>
      </c>
      <c r="I3" s="79"/>
      <c r="J3" s="80"/>
      <c r="L3" s="79" t="s">
        <v>72</v>
      </c>
      <c r="M3" s="79"/>
      <c r="N3" s="79"/>
      <c r="O3" s="79"/>
      <c r="P3" s="79"/>
    </row>
    <row r="4" customFormat="false" ht="15.75" hidden="false" customHeight="false" outlineLevel="0" collapsed="false">
      <c r="A4" s="81" t="s">
        <v>73</v>
      </c>
      <c r="B4" s="81"/>
      <c r="C4" s="81"/>
      <c r="D4" s="81"/>
      <c r="E4" s="81"/>
      <c r="F4" s="81"/>
      <c r="H4" s="82" t="s">
        <v>74</v>
      </c>
      <c r="I4" s="83"/>
      <c r="J4" s="74"/>
    </row>
    <row r="5" customFormat="false" ht="16.5" hidden="false" customHeight="false" outlineLevel="0" collapsed="false">
      <c r="A5" s="84" t="s">
        <v>75</v>
      </c>
      <c r="B5" s="84"/>
      <c r="D5" s="84" t="s">
        <v>76</v>
      </c>
      <c r="E5" s="84"/>
      <c r="H5" s="85" t="s">
        <v>77</v>
      </c>
      <c r="I5" s="25" t="n">
        <f aca="false">+'Stock Prices'!B346</f>
        <v>25.25</v>
      </c>
      <c r="J5" s="74"/>
      <c r="L5" s="81" t="s">
        <v>78</v>
      </c>
      <c r="M5" s="81"/>
      <c r="N5" s="81"/>
      <c r="O5" s="81"/>
      <c r="P5" s="81"/>
      <c r="Q5" s="80"/>
    </row>
    <row r="6" customFormat="false" ht="15.75" hidden="false" customHeight="false" outlineLevel="0" collapsed="false">
      <c r="A6" s="73" t="s">
        <v>79</v>
      </c>
      <c r="B6" s="73" t="n">
        <f aca="false">E6+E9+E10</f>
        <v>71001000</v>
      </c>
      <c r="D6" s="73" t="s">
        <v>80</v>
      </c>
      <c r="E6" s="73" t="n">
        <v>41000000</v>
      </c>
      <c r="F6" s="86" t="s">
        <v>81</v>
      </c>
      <c r="H6" s="85" t="s">
        <v>82</v>
      </c>
      <c r="I6" s="87" t="n">
        <f aca="false">+'Cash-Int-Trans'!E72</f>
        <v>0.0371</v>
      </c>
      <c r="J6" s="74"/>
      <c r="L6" s="88" t="s">
        <v>83</v>
      </c>
      <c r="M6" s="89" t="n">
        <f aca="false">H2</f>
        <v>37161</v>
      </c>
      <c r="N6" s="90"/>
      <c r="O6" s="90"/>
      <c r="P6" s="90"/>
      <c r="Q6" s="91"/>
    </row>
    <row r="7" customFormat="false" ht="16.5" hidden="false" customHeight="false" outlineLevel="0" collapsed="false">
      <c r="A7" s="73" t="s">
        <v>84</v>
      </c>
      <c r="B7" s="73" t="n">
        <v>50000000</v>
      </c>
      <c r="D7" s="73" t="s">
        <v>85</v>
      </c>
      <c r="E7" s="73" t="n">
        <f aca="false">B11-E6-E9-E10</f>
        <v>400000000</v>
      </c>
      <c r="H7" s="92" t="s">
        <v>86</v>
      </c>
      <c r="I7" s="92"/>
      <c r="J7" s="74"/>
      <c r="L7" s="84" t="s">
        <v>75</v>
      </c>
      <c r="M7" s="84"/>
      <c r="O7" s="84" t="s">
        <v>76</v>
      </c>
      <c r="P7" s="84"/>
    </row>
    <row r="8" customFormat="false" ht="15.75" hidden="false" customHeight="false" outlineLevel="0" collapsed="false">
      <c r="A8" s="73" t="s">
        <v>87</v>
      </c>
      <c r="B8" s="73" t="n">
        <f aca="false">B18</f>
        <v>350000000</v>
      </c>
      <c r="C8" s="93" t="s">
        <v>88</v>
      </c>
      <c r="H8" s="94" t="s">
        <v>89</v>
      </c>
      <c r="I8" s="95"/>
      <c r="J8" s="74"/>
      <c r="L8" s="73" t="s">
        <v>90</v>
      </c>
      <c r="M8" s="73" t="n">
        <f aca="false">+'Cash-Int-Trans'!B40</f>
        <v>38035671.6956029</v>
      </c>
      <c r="O8" s="73" t="s">
        <v>91</v>
      </c>
      <c r="P8" s="73" t="n">
        <f aca="false">+E6-'Cash-Int-Trans'!B4+'Cash-Int-Trans'!B8</f>
        <v>0</v>
      </c>
      <c r="Q8" s="96" t="str">
        <f aca="false">IF(P8&lt;&gt;0,"Not OK Check Put Value Table","OK")</f>
        <v>OK</v>
      </c>
    </row>
    <row r="9" customFormat="false" ht="15.75" hidden="false" customHeight="false" outlineLevel="0" collapsed="false">
      <c r="D9" s="73" t="s">
        <v>92</v>
      </c>
      <c r="E9" s="75" t="n">
        <f aca="false">30000000</f>
        <v>30000000</v>
      </c>
      <c r="F9" s="97" t="s">
        <v>93</v>
      </c>
      <c r="H9" s="74"/>
      <c r="I9" s="98"/>
      <c r="J9" s="74"/>
      <c r="L9" s="73" t="s">
        <v>84</v>
      </c>
      <c r="M9" s="73" t="n">
        <f aca="false">+B7-Amort!B24</f>
        <v>50000000</v>
      </c>
      <c r="O9" s="73" t="s">
        <v>80</v>
      </c>
      <c r="P9" s="73" t="n">
        <v>0</v>
      </c>
    </row>
    <row r="10" customFormat="false" ht="15.75" hidden="false" customHeight="false" outlineLevel="0" collapsed="false">
      <c r="D10" s="73" t="s">
        <v>65</v>
      </c>
      <c r="E10" s="73" t="n">
        <v>1000</v>
      </c>
      <c r="H10" s="99" t="s">
        <v>94</v>
      </c>
      <c r="I10" s="99"/>
      <c r="J10" s="74"/>
      <c r="L10" s="73" t="s">
        <v>95</v>
      </c>
      <c r="M10" s="73" t="n">
        <f aca="false">+Amort!B28</f>
        <v>875000</v>
      </c>
      <c r="O10" s="73" t="s">
        <v>96</v>
      </c>
      <c r="P10" s="73" t="n">
        <f aca="false">IF(I24&gt;0,0,-I24)</f>
        <v>41817537.472</v>
      </c>
    </row>
    <row r="11" customFormat="false" ht="16.5" hidden="false" customHeight="false" outlineLevel="0" collapsed="false">
      <c r="A11" s="100" t="s">
        <v>6</v>
      </c>
      <c r="B11" s="101" t="n">
        <f aca="false">SUM(B6:B10)</f>
        <v>471001000</v>
      </c>
      <c r="C11" s="102" t="s">
        <v>97</v>
      </c>
      <c r="D11" s="100" t="s">
        <v>6</v>
      </c>
      <c r="E11" s="101" t="n">
        <f aca="false">SUM(E6:E10)</f>
        <v>471001000</v>
      </c>
      <c r="F11" s="96"/>
      <c r="H11" s="103" t="s">
        <v>98</v>
      </c>
      <c r="I11" s="104" t="n">
        <f aca="false">H2</f>
        <v>37161</v>
      </c>
      <c r="J11" s="74"/>
      <c r="L11" s="73" t="s">
        <v>87</v>
      </c>
      <c r="M11" s="73" t="n">
        <f aca="false">B8+I15+I22</f>
        <v>0</v>
      </c>
      <c r="N11" s="93"/>
      <c r="O11" s="73" t="s">
        <v>99</v>
      </c>
      <c r="P11" s="73" t="n">
        <f aca="false">IF(I20&lt;0,-I20,0)+IF(I21&lt;0,-I21,0)</f>
        <v>0</v>
      </c>
      <c r="R11" s="26"/>
    </row>
    <row r="12" customFormat="false" ht="16.5" hidden="false" customHeight="false" outlineLevel="0" collapsed="false">
      <c r="H12" s="74" t="s">
        <v>100</v>
      </c>
      <c r="I12" s="98" t="n">
        <f aca="false">+'Cash-Int-Trans'!B6</f>
        <v>34266411</v>
      </c>
      <c r="J12" s="105" t="s">
        <v>101</v>
      </c>
      <c r="L12" s="73" t="s">
        <v>102</v>
      </c>
      <c r="M12" s="73" t="n">
        <f aca="false">+'Jedi Shares'!B9+Financials!I16</f>
        <v>389330485.336365</v>
      </c>
      <c r="O12" s="73" t="s">
        <v>85</v>
      </c>
      <c r="P12" s="73" t="n">
        <f aca="false">E7-I17+'Cash-Int-Trans'!B9+'Cash-Int-Trans'!B88-I40</f>
        <v>966563431.19973</v>
      </c>
      <c r="Q12" s="106" t="s">
        <v>103</v>
      </c>
    </row>
    <row r="13" customFormat="false" ht="15.75" hidden="false" customHeight="false" outlineLevel="0" collapsed="false">
      <c r="A13" s="107" t="s">
        <v>104</v>
      </c>
      <c r="D13" s="108" t="s">
        <v>105</v>
      </c>
      <c r="E13" s="108" t="s">
        <v>35</v>
      </c>
      <c r="F13" s="109"/>
      <c r="H13" s="74" t="s">
        <v>106</v>
      </c>
      <c r="I13" s="98" t="n">
        <f aca="false">+'Cash-Int-Trans'!B43</f>
        <v>3386060.58449174</v>
      </c>
      <c r="J13" s="105"/>
      <c r="L13" s="73" t="s">
        <v>107</v>
      </c>
      <c r="M13" s="73" t="n">
        <f aca="false">+Shares!D39+I23</f>
        <v>118425531</v>
      </c>
    </row>
    <row r="14" customFormat="false" ht="15.75" hidden="false" customHeight="false" outlineLevel="0" collapsed="false">
      <c r="A14" s="73" t="s">
        <v>108</v>
      </c>
      <c r="B14" s="73" t="n">
        <f aca="false">D14*E14</f>
        <v>0</v>
      </c>
      <c r="D14" s="110" t="n">
        <v>0</v>
      </c>
      <c r="E14" s="111" t="n">
        <v>0</v>
      </c>
      <c r="H14" s="74" t="s">
        <v>109</v>
      </c>
      <c r="I14" s="98" t="n">
        <f aca="false">+Amort!B29</f>
        <v>4423611.11111111</v>
      </c>
      <c r="J14" s="74"/>
      <c r="L14" s="73" t="s">
        <v>110</v>
      </c>
      <c r="M14" s="73" t="n">
        <f aca="false">IF(I20&gt;0,I20,0)+IF(I21&gt;0,I21,0)</f>
        <v>705719597.14</v>
      </c>
      <c r="O14" s="73" t="s">
        <v>92</v>
      </c>
      <c r="P14" s="73" t="n">
        <f aca="false">IF(+I27+I41+'Cash-Int-Trans'!D107-'Cash-Int-Trans'!D106&gt;'Cash-Int-Trans'!D107,'Cash-Int-Trans'!D107,IF(+I27+I41+'Cash-Int-Trans'!D107&lt;0,0,+I27+I41+'Cash-Int-Trans'!D107-'Cash-Int-Trans'!D106))</f>
        <v>31233808.2191781</v>
      </c>
    </row>
    <row r="15" customFormat="false" ht="15.75" hidden="false" customHeight="false" outlineLevel="0" collapsed="false">
      <c r="A15" s="73" t="s">
        <v>111</v>
      </c>
      <c r="B15" s="112" t="n">
        <f aca="false">+D15*E15</f>
        <v>536923062.5</v>
      </c>
      <c r="D15" s="113" t="n">
        <v>7809790</v>
      </c>
      <c r="E15" s="111" t="n">
        <v>68.75</v>
      </c>
      <c r="H15" s="74" t="s">
        <v>112</v>
      </c>
      <c r="I15" s="98" t="n">
        <f aca="false">-B17*A35/A38</f>
        <v>87230762.5</v>
      </c>
      <c r="J15" s="114" t="s">
        <v>113</v>
      </c>
      <c r="L15" s="73" t="s">
        <v>114</v>
      </c>
      <c r="M15" s="73" t="n">
        <f aca="false">IF(I24&gt;0,I24,0)</f>
        <v>0</v>
      </c>
      <c r="O15" s="73" t="s">
        <v>65</v>
      </c>
      <c r="P15" s="73" t="n">
        <f aca="false">M16-SUM(P8:P14)</f>
        <v>262771508.28106</v>
      </c>
      <c r="Q15" s="115" t="s">
        <v>115</v>
      </c>
    </row>
    <row r="16" customFormat="false" ht="16.5" hidden="false" customHeight="false" outlineLevel="0" collapsed="false">
      <c r="A16" s="73" t="s">
        <v>116</v>
      </c>
      <c r="B16" s="73" t="n">
        <f aca="false">SUM(B14:B15)</f>
        <v>536923062.5</v>
      </c>
      <c r="H16" s="74" t="s">
        <v>117</v>
      </c>
      <c r="I16" s="98" t="n">
        <f aca="false">+'Jedi Shares'!B43</f>
        <v>14426420.7163649</v>
      </c>
      <c r="J16" s="114" t="s">
        <v>113</v>
      </c>
      <c r="L16" s="100" t="s">
        <v>6</v>
      </c>
      <c r="M16" s="101" t="n">
        <f aca="false">SUM(M8:M15)</f>
        <v>1302386285.17197</v>
      </c>
      <c r="N16" s="102"/>
      <c r="O16" s="100" t="s">
        <v>6</v>
      </c>
      <c r="P16" s="101" t="n">
        <f aca="false">SUM(P8:P15)</f>
        <v>1302386285.17197</v>
      </c>
      <c r="Q16" s="96" t="str">
        <f aca="false">IF(ROUND(P17,0)=0,"","8/31/00 Balance Sheet does not Balance!")</f>
        <v/>
      </c>
    </row>
    <row r="17" customFormat="false" ht="16.5" hidden="false" customHeight="false" outlineLevel="0" collapsed="false">
      <c r="A17" s="73" t="s">
        <v>118</v>
      </c>
      <c r="B17" s="73" t="n">
        <f aca="false">350000000-B16</f>
        <v>-186923062.5</v>
      </c>
      <c r="C17" s="116" t="s">
        <v>119</v>
      </c>
      <c r="D17" s="117" t="n">
        <f aca="false">-B17/B16</f>
        <v>0.348137518305986</v>
      </c>
      <c r="H17" s="74" t="s">
        <v>120</v>
      </c>
      <c r="I17" s="118" t="n">
        <f aca="false">-'Cash-Int-Trans'!B76</f>
        <v>-55222064.0517303</v>
      </c>
      <c r="J17" s="74"/>
      <c r="P17" s="73" t="n">
        <f aca="false">M16-P16</f>
        <v>0</v>
      </c>
      <c r="Q17" s="98"/>
    </row>
    <row r="18" customFormat="false" ht="16.5" hidden="false" customHeight="false" outlineLevel="0" collapsed="false">
      <c r="A18" s="73" t="s">
        <v>121</v>
      </c>
      <c r="B18" s="101" t="n">
        <f aca="false">B16+B17</f>
        <v>350000000</v>
      </c>
      <c r="C18" s="93" t="s">
        <v>88</v>
      </c>
      <c r="H18" s="119"/>
      <c r="I18" s="73" t="n">
        <f aca="false">SUM(I12:I17)</f>
        <v>88511201.8602374</v>
      </c>
      <c r="L18" s="120" t="s">
        <v>122</v>
      </c>
      <c r="M18" s="99"/>
      <c r="N18" s="99"/>
      <c r="O18" s="99"/>
      <c r="P18" s="99"/>
      <c r="Q18" s="115"/>
    </row>
    <row r="19" customFormat="false" ht="16.5" hidden="false" customHeight="false" outlineLevel="0" collapsed="false">
      <c r="H19" s="119"/>
      <c r="I19" s="73"/>
      <c r="L19" s="121" t="s">
        <v>123</v>
      </c>
      <c r="M19" s="73" t="n">
        <f aca="false">+E9+I38</f>
        <v>31100000</v>
      </c>
      <c r="N19" s="73" t="s">
        <v>124</v>
      </c>
      <c r="P19" s="73" t="n">
        <f aca="false">+M19/0.0302</f>
        <v>1029801324.50331</v>
      </c>
      <c r="T19" s="122"/>
    </row>
    <row r="20" customFormat="false" ht="16.5" hidden="false" customHeight="false" outlineLevel="0" collapsed="false">
      <c r="A20" s="123" t="s">
        <v>125</v>
      </c>
      <c r="B20" s="123"/>
      <c r="C20" s="123"/>
      <c r="D20" s="123"/>
      <c r="E20" s="123"/>
      <c r="H20" s="73" t="s">
        <v>126</v>
      </c>
      <c r="I20" s="73" t="n">
        <f aca="false">IF(I5&lt;78.875,IF(I5&lt;20,22990069*I5,(78.875-I5)*(D14+D15)),IF(I5&gt;111.8633,(111.8633-I5)*(+D14+D15),0))</f>
        <v>418799988.75</v>
      </c>
      <c r="M20" s="124"/>
      <c r="N20" s="125" t="s">
        <v>127</v>
      </c>
      <c r="O20" s="124"/>
      <c r="P20" s="112" t="n">
        <f aca="false">-B11-I38</f>
        <v>-472101000</v>
      </c>
    </row>
    <row r="21" customFormat="false" ht="15.75" hidden="false" customHeight="false" outlineLevel="0" collapsed="false">
      <c r="A21" s="126" t="s">
        <v>128</v>
      </c>
      <c r="B21" s="126"/>
      <c r="E21" s="73" t="n">
        <f aca="false">B11</f>
        <v>471001000</v>
      </c>
      <c r="F21" s="127" t="s">
        <v>97</v>
      </c>
      <c r="H21" s="73" t="s">
        <v>129</v>
      </c>
      <c r="I21" s="75" t="n">
        <f aca="false">IF([2]Table!$C$16=1,IF(I5&lt;20,([2]Table!$H$16-20)*'Jedi Shares'!B3/20*I5,IF(I5&lt;[2]Table!$H$16,([2]Table!$H$16-I5)*'Jedi Shares'!B3,IF(I5&gt;[2]Table!$I$16,([2]Table!$I$16-I5)*'Jedi Shares'!B3,0))),0)</f>
        <v>286919608.39</v>
      </c>
      <c r="M21" s="124"/>
      <c r="N21" s="125" t="s">
        <v>130</v>
      </c>
      <c r="O21" s="124"/>
      <c r="P21" s="74" t="n">
        <f aca="false">+P19+P20</f>
        <v>557700324.503311</v>
      </c>
    </row>
    <row r="22" customFormat="false" ht="15.75" hidden="false" customHeight="false" outlineLevel="0" collapsed="false">
      <c r="A22" s="73" t="s">
        <v>131</v>
      </c>
      <c r="B22" s="73" t="s">
        <v>105</v>
      </c>
      <c r="D22" s="73" t="n">
        <v>7427536</v>
      </c>
      <c r="H22" s="73" t="s">
        <v>132</v>
      </c>
      <c r="I22" s="75" t="n">
        <f aca="false">-Shares!D30</f>
        <v>-437230762.5</v>
      </c>
      <c r="K22" s="73"/>
      <c r="L22" s="73" t="n">
        <v>23164835</v>
      </c>
      <c r="N22" s="73" t="s">
        <v>133</v>
      </c>
      <c r="P22" s="73" t="n">
        <f aca="false">-'Jedi Shares'!B9</f>
        <v>-374904064.62</v>
      </c>
    </row>
    <row r="23" customFormat="false" ht="15.75" hidden="false" customHeight="false" outlineLevel="0" collapsed="false">
      <c r="A23" s="73" t="s">
        <v>134</v>
      </c>
      <c r="B23" s="73" t="s">
        <v>135</v>
      </c>
      <c r="D23" s="111" t="n">
        <v>57.5</v>
      </c>
      <c r="E23" s="112" t="n">
        <f aca="false">D22*D23</f>
        <v>427083320</v>
      </c>
      <c r="H23" s="73" t="s">
        <v>136</v>
      </c>
      <c r="I23" s="75" t="n">
        <f aca="false">+Shares!E41-Shares!D39</f>
        <v>0</v>
      </c>
      <c r="K23" s="73"/>
      <c r="L23" s="73" t="n">
        <f aca="false">+L22*0.01/100</f>
        <v>2316.4835</v>
      </c>
      <c r="N23" s="73" t="s">
        <v>137</v>
      </c>
      <c r="P23" s="73" t="n">
        <f aca="false">-Shares!D39</f>
        <v>-118425531</v>
      </c>
    </row>
    <row r="24" customFormat="false" ht="15.75" hidden="false" customHeight="false" outlineLevel="0" collapsed="false">
      <c r="A24" s="73" t="s">
        <v>138</v>
      </c>
      <c r="E24" s="73" t="n">
        <f aca="false">SUM(E21:E23)</f>
        <v>898084320</v>
      </c>
      <c r="H24" s="73" t="s">
        <v>139</v>
      </c>
      <c r="I24" s="73" t="n">
        <f aca="false">+'Daily Position'!P13</f>
        <v>-41817537.472</v>
      </c>
      <c r="J24" s="74"/>
      <c r="N24" s="73" t="s">
        <v>140</v>
      </c>
      <c r="P24" s="73" t="n">
        <f aca="false">-'Daily Position'!I17</f>
        <v>-41817537.472</v>
      </c>
      <c r="Q24" s="106"/>
    </row>
    <row r="25" customFormat="false" ht="15.75" hidden="false" customHeight="false" outlineLevel="0" collapsed="false">
      <c r="A25" s="73" t="s">
        <v>141</v>
      </c>
      <c r="E25" s="112" t="n">
        <f aca="false">E6</f>
        <v>41000000</v>
      </c>
      <c r="F25" s="86" t="s">
        <v>81</v>
      </c>
      <c r="H25" s="73" t="s">
        <v>142</v>
      </c>
      <c r="I25" s="112" t="n">
        <f aca="false">+'Daily Position'!Q13</f>
        <v>-11278182.528</v>
      </c>
      <c r="N25" s="73" t="s">
        <v>57</v>
      </c>
      <c r="P25" s="128" t="n">
        <f aca="false">+'Daily Position'!Q15</f>
        <v>-11278182.528</v>
      </c>
      <c r="Q25" s="106"/>
    </row>
    <row r="26" customFormat="false" ht="15.75" hidden="false" customHeight="false" outlineLevel="0" collapsed="false">
      <c r="E26" s="73" t="n">
        <f aca="false">E24-E25</f>
        <v>857084320</v>
      </c>
      <c r="H26" s="0"/>
      <c r="I26" s="129" t="n">
        <f aca="false">SUM(I20:I25)</f>
        <v>215393114.64</v>
      </c>
      <c r="J26" s="74"/>
      <c r="L26" s="74"/>
      <c r="P26" s="74"/>
    </row>
    <row r="27" customFormat="false" ht="16.5" hidden="false" customHeight="false" outlineLevel="0" collapsed="false">
      <c r="A27" s="73" t="s">
        <v>143</v>
      </c>
      <c r="E27" s="130" t="n">
        <v>0.0302</v>
      </c>
      <c r="H27" s="131" t="s">
        <v>144</v>
      </c>
      <c r="I27" s="132" t="n">
        <f aca="false">I26+I18</f>
        <v>303904316.500237</v>
      </c>
      <c r="J27" s="133" t="s">
        <v>145</v>
      </c>
      <c r="K27" s="73"/>
      <c r="N27" s="73" t="s">
        <v>146</v>
      </c>
      <c r="P27" s="73" t="n">
        <f aca="false">SUM(P21:P25)</f>
        <v>11275008.8833113</v>
      </c>
    </row>
    <row r="28" customFormat="false" ht="16.5" hidden="false" customHeight="false" outlineLevel="0" collapsed="false">
      <c r="A28" s="73" t="s">
        <v>147</v>
      </c>
      <c r="E28" s="73" t="n">
        <f aca="false">E26*E27</f>
        <v>25883946.464</v>
      </c>
      <c r="H28" s="74"/>
      <c r="I28" s="98"/>
      <c r="J28" s="74"/>
    </row>
    <row r="29" customFormat="false" ht="15.75" hidden="false" customHeight="false" outlineLevel="0" collapsed="false">
      <c r="A29" s="73" t="s">
        <v>148</v>
      </c>
      <c r="E29" s="73" t="n">
        <f aca="false">E9</f>
        <v>30000000</v>
      </c>
      <c r="F29" s="97" t="s">
        <v>93</v>
      </c>
      <c r="H29" s="99" t="s">
        <v>149</v>
      </c>
      <c r="I29" s="99"/>
      <c r="J29" s="74"/>
      <c r="L29" s="134" t="s">
        <v>150</v>
      </c>
      <c r="M29" s="134"/>
    </row>
    <row r="30" customFormat="false" ht="15.75" hidden="false" customHeight="false" outlineLevel="0" collapsed="false">
      <c r="A30" s="135" t="s">
        <v>151</v>
      </c>
      <c r="B30" s="129"/>
      <c r="C30" s="129"/>
      <c r="D30" s="129"/>
      <c r="E30" s="136" t="str">
        <f aca="false">IF(E29&gt;=E28,"Test Passed","Test Failed")</f>
        <v>Test Passed</v>
      </c>
      <c r="H30" s="74" t="s">
        <v>152</v>
      </c>
      <c r="I30" s="98"/>
      <c r="J30" s="74"/>
      <c r="L30" s="73" t="s">
        <v>153</v>
      </c>
    </row>
    <row r="31" customFormat="false" ht="15.75" hidden="false" customHeight="false" outlineLevel="0" collapsed="false">
      <c r="H31" s="74" t="s">
        <v>154</v>
      </c>
      <c r="I31" s="98" t="n">
        <f aca="false">E9</f>
        <v>30000000</v>
      </c>
      <c r="J31" s="97" t="s">
        <v>93</v>
      </c>
      <c r="L31" s="73" t="s">
        <v>155</v>
      </c>
      <c r="M31" s="73" t="n">
        <f aca="false">E9+'Cash-Int-Trans'!B13</f>
        <v>31100000</v>
      </c>
    </row>
    <row r="32" customFormat="false" ht="16.5" hidden="false" customHeight="false" outlineLevel="0" collapsed="false">
      <c r="A32" s="137" t="s">
        <v>156</v>
      </c>
      <c r="B32" s="138"/>
      <c r="H32" s="74" t="s">
        <v>157</v>
      </c>
      <c r="I32" s="118" t="n">
        <f aca="false">-B17</f>
        <v>186923062.5</v>
      </c>
      <c r="J32" s="139" t="s">
        <v>119</v>
      </c>
      <c r="L32" s="73" t="s">
        <v>158</v>
      </c>
      <c r="M32" s="112" t="n">
        <f aca="false">E10</f>
        <v>1000</v>
      </c>
    </row>
    <row r="33" customFormat="false" ht="15.75" hidden="false" customHeight="false" outlineLevel="0" collapsed="false">
      <c r="A33" s="140" t="n">
        <v>36706</v>
      </c>
      <c r="B33" s="74" t="s">
        <v>159</v>
      </c>
      <c r="D33" s="140" t="n">
        <v>37681</v>
      </c>
      <c r="H33" s="74" t="s">
        <v>160</v>
      </c>
      <c r="I33" s="98" t="n">
        <f aca="false">SUM(I31:I32)</f>
        <v>216923062.5</v>
      </c>
      <c r="J33" s="74"/>
      <c r="M33" s="73" t="n">
        <f aca="false">SUM(M31:M32)</f>
        <v>31101000</v>
      </c>
    </row>
    <row r="34" customFormat="false" ht="15.75" hidden="false" customHeight="false" outlineLevel="0" collapsed="false">
      <c r="A34" s="141" t="n">
        <f aca="false">+Summary!C5</f>
        <v>37161</v>
      </c>
      <c r="B34" s="74" t="s">
        <v>161</v>
      </c>
      <c r="C34" s="0"/>
      <c r="H34" s="74"/>
      <c r="I34" s="98"/>
      <c r="J34" s="74"/>
      <c r="L34" s="73" t="s">
        <v>162</v>
      </c>
      <c r="M34" s="73" t="n">
        <f aca="false">I27</f>
        <v>303904316.500237</v>
      </c>
    </row>
    <row r="35" customFormat="false" ht="16.5" hidden="false" customHeight="false" outlineLevel="0" collapsed="false">
      <c r="A35" s="142" t="n">
        <f aca="false">MIN(A37:A38)</f>
        <v>455</v>
      </c>
      <c r="B35" s="74" t="s">
        <v>163</v>
      </c>
      <c r="C35" s="0"/>
      <c r="H35" s="74" t="s">
        <v>164</v>
      </c>
      <c r="I35" s="98" t="n">
        <f aca="false">I27</f>
        <v>303904316.500237</v>
      </c>
      <c r="J35" s="133" t="s">
        <v>145</v>
      </c>
      <c r="L35" s="73" t="s">
        <v>165</v>
      </c>
      <c r="M35" s="112" t="n">
        <f aca="false">I41</f>
        <v>-41000000</v>
      </c>
    </row>
    <row r="36" customFormat="false" ht="15.75" hidden="false" customHeight="false" outlineLevel="0" collapsed="false">
      <c r="A36" s="0"/>
      <c r="B36" s="0"/>
      <c r="C36" s="0"/>
      <c r="H36" s="74" t="s">
        <v>166</v>
      </c>
      <c r="I36" s="98" t="n">
        <f aca="false">(D14+D15-Shares!B30)*(I5-E15)</f>
        <v>-0</v>
      </c>
      <c r="J36" s="133"/>
      <c r="L36" s="73" t="s">
        <v>167</v>
      </c>
      <c r="M36" s="73" t="n">
        <f aca="false">SUM(M33:M35)</f>
        <v>294005316.500237</v>
      </c>
    </row>
    <row r="37" customFormat="false" ht="16.5" hidden="false" customHeight="true" outlineLevel="0" collapsed="false">
      <c r="A37" s="26" t="n">
        <f aca="false">+A34-A33</f>
        <v>455</v>
      </c>
      <c r="B37" s="0"/>
      <c r="C37" s="0"/>
      <c r="D37" s="0"/>
      <c r="E37" s="0"/>
      <c r="H37" s="74" t="s">
        <v>168</v>
      </c>
      <c r="I37" s="75" t="n">
        <f aca="false">+Shares!C39*Financials!I5+'Jedi Shares'!B3*Financials!I5</f>
        <v>359697309.5</v>
      </c>
      <c r="L37" s="73" t="s">
        <v>169</v>
      </c>
      <c r="M37" s="73" t="n">
        <f aca="false">P14</f>
        <v>31233808.2191781</v>
      </c>
    </row>
    <row r="38" customFormat="false" ht="15.75" hidden="false" customHeight="true" outlineLevel="0" collapsed="false">
      <c r="A38" s="26" t="n">
        <f aca="false">+D33-A33</f>
        <v>975</v>
      </c>
      <c r="B38" s="0"/>
      <c r="C38" s="0"/>
      <c r="D38" s="0"/>
      <c r="E38" s="0"/>
      <c r="H38" s="73" t="s">
        <v>170</v>
      </c>
      <c r="I38" s="75" t="n">
        <f aca="false">+'Cash-Int-Trans'!B13</f>
        <v>1100000</v>
      </c>
      <c r="L38" s="73" t="s">
        <v>171</v>
      </c>
      <c r="M38" s="112" t="n">
        <f aca="false">P15</f>
        <v>262771508.28106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74" t="s">
        <v>172</v>
      </c>
      <c r="I39" s="98" t="n">
        <f aca="false">-I32-Shares!D24-Shares!D26-I16</f>
        <v>-201349483.216365</v>
      </c>
      <c r="J39" s="114" t="s">
        <v>113</v>
      </c>
      <c r="K39" s="73"/>
      <c r="M39" s="73" t="n">
        <f aca="false">M36-M37-M38</f>
        <v>0</v>
      </c>
      <c r="N39" s="14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74" t="s">
        <v>173</v>
      </c>
      <c r="I40" s="75" t="n">
        <f aca="false">-'Cash-Int-Trans'!B92</f>
        <v>-493329595.62</v>
      </c>
      <c r="L40" s="73" t="s">
        <v>174</v>
      </c>
      <c r="M40" s="73" t="n">
        <f aca="false">ROUND(M36-SUM(M37:M38),0)</f>
        <v>0</v>
      </c>
      <c r="N40" s="119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H41" s="74" t="s">
        <v>175</v>
      </c>
      <c r="I41" s="98" t="n">
        <f aca="false">+'Cash-Int-Trans'!B12</f>
        <v>-41000000</v>
      </c>
      <c r="J41" s="144"/>
    </row>
    <row r="42" customFormat="false" ht="16.5" hidden="false" customHeight="false" outlineLevel="0" collapsed="false">
      <c r="A42" s="0"/>
      <c r="B42" s="0"/>
      <c r="C42" s="0"/>
      <c r="D42" s="0"/>
      <c r="E42" s="0"/>
      <c r="H42" s="131" t="s">
        <v>176</v>
      </c>
      <c r="I42" s="145" t="n">
        <f aca="false">SUM(I33:I41)</f>
        <v>145945609.663873</v>
      </c>
      <c r="J42" s="74"/>
    </row>
    <row r="43" customFormat="false" ht="16.5" hidden="false" customHeight="false" outlineLevel="0" collapsed="false">
      <c r="A43" s="0"/>
      <c r="B43" s="0"/>
      <c r="C43" s="0"/>
      <c r="D43" s="0"/>
      <c r="E43" s="0"/>
      <c r="H43" s="73" t="s">
        <v>177</v>
      </c>
      <c r="L43" s="120" t="s">
        <v>122</v>
      </c>
      <c r="M43" s="99"/>
      <c r="N43" s="99"/>
      <c r="O43" s="99"/>
      <c r="P43" s="99"/>
      <c r="Q43" s="98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73"/>
      <c r="I44" s="73"/>
      <c r="L44" s="121" t="s">
        <v>128</v>
      </c>
      <c r="M44" s="121"/>
      <c r="P44" s="73" t="n">
        <f aca="false">M16</f>
        <v>1302386285.17197</v>
      </c>
      <c r="Q44" s="115" t="s">
        <v>115</v>
      </c>
    </row>
    <row r="45" customFormat="false" ht="15.75" hidden="false" customHeight="false" outlineLevel="0" collapsed="false">
      <c r="A45" s="0"/>
      <c r="C45" s="0"/>
      <c r="D45" s="73" t="n">
        <f aca="false">+I46-E45</f>
        <v>6935671.69560291</v>
      </c>
      <c r="E45" s="73" t="n">
        <f aca="false">+E9+I38</f>
        <v>31100000</v>
      </c>
      <c r="F45" s="73"/>
      <c r="I45" s="73"/>
      <c r="L45" s="73" t="s">
        <v>178</v>
      </c>
      <c r="M45" s="124"/>
      <c r="N45" s="124"/>
      <c r="O45" s="124"/>
      <c r="P45" s="73" t="n">
        <f aca="false">+M45+O45</f>
        <v>0</v>
      </c>
    </row>
    <row r="46" customFormat="false" ht="15.75" hidden="false" customHeight="false" outlineLevel="0" collapsed="false">
      <c r="A46" s="0"/>
      <c r="C46" s="0"/>
      <c r="D46" s="73" t="n">
        <f aca="false">+I47-E46</f>
        <v>0</v>
      </c>
      <c r="E46" s="73" t="n">
        <f aca="false">+B7</f>
        <v>50000000</v>
      </c>
      <c r="F46" s="73"/>
      <c r="H46" s="73" t="s">
        <v>90</v>
      </c>
      <c r="I46" s="75" t="n">
        <f aca="false">+M8</f>
        <v>38035671.6956029</v>
      </c>
      <c r="L46" s="73" t="s">
        <v>179</v>
      </c>
      <c r="M46" s="124" t="n">
        <f aca="false">+'Daily Position'!I13-M45</f>
        <v>513095720</v>
      </c>
      <c r="N46" s="124"/>
      <c r="O46" s="124" t="n">
        <f aca="false">-P10</f>
        <v>-41817537.472</v>
      </c>
      <c r="P46" s="112" t="n">
        <f aca="false">+M46+O46</f>
        <v>471278182.528</v>
      </c>
    </row>
    <row r="47" customFormat="false" ht="15.75" hidden="false" customHeight="false" outlineLevel="0" collapsed="false">
      <c r="A47" s="0"/>
      <c r="B47" s="73" t="n">
        <f aca="false">+I48-E47</f>
        <v>-536923062.5</v>
      </c>
      <c r="C47" s="0"/>
      <c r="E47" s="73" t="n">
        <f aca="false">+B15</f>
        <v>536923062.5</v>
      </c>
      <c r="F47" s="73"/>
      <c r="H47" s="73" t="s">
        <v>84</v>
      </c>
      <c r="I47" s="73" t="n">
        <f aca="false">+M9</f>
        <v>50000000</v>
      </c>
      <c r="L47" s="73" t="s">
        <v>180</v>
      </c>
      <c r="P47" s="73" t="n">
        <f aca="false">+P44+P45+P46</f>
        <v>1773664467.69997</v>
      </c>
    </row>
    <row r="48" customFormat="false" ht="15.75" hidden="false" customHeight="false" outlineLevel="0" collapsed="false">
      <c r="A48" s="0"/>
      <c r="C48" s="0"/>
      <c r="D48" s="73" t="n">
        <f aca="false">+I49-E48</f>
        <v>875000</v>
      </c>
      <c r="E48" s="0" t="n">
        <v>0</v>
      </c>
      <c r="F48" s="73"/>
      <c r="H48" s="73" t="s">
        <v>87</v>
      </c>
      <c r="I48" s="73" t="n">
        <f aca="false">+Shares!B14*Financials!I5</f>
        <v>0</v>
      </c>
      <c r="L48" s="73" t="s">
        <v>143</v>
      </c>
      <c r="P48" s="130" t="n">
        <f aca="false">E27</f>
        <v>0.0302</v>
      </c>
    </row>
    <row r="49" customFormat="false" ht="15.75" hidden="false" customHeight="false" outlineLevel="0" collapsed="false">
      <c r="A49" s="0"/>
      <c r="B49" s="73" t="n">
        <f aca="false">+I50-E49</f>
        <v>359697309.5</v>
      </c>
      <c r="C49" s="0"/>
      <c r="E49" s="0" t="n">
        <v>0</v>
      </c>
      <c r="F49" s="73"/>
      <c r="H49" s="73" t="s">
        <v>95</v>
      </c>
      <c r="I49" s="73" t="n">
        <f aca="false">+M10</f>
        <v>875000</v>
      </c>
      <c r="L49" s="73" t="s">
        <v>147</v>
      </c>
      <c r="P49" s="73" t="n">
        <f aca="false">P47*P48</f>
        <v>53564666.924539</v>
      </c>
    </row>
    <row r="50" customFormat="false" ht="15.75" hidden="false" customHeight="false" outlineLevel="0" collapsed="false">
      <c r="A50" s="0"/>
      <c r="B50" s="73" t="n">
        <f aca="false">+I51-E50</f>
        <v>705719597.14</v>
      </c>
      <c r="C50" s="0"/>
      <c r="E50" s="0" t="n">
        <v>0</v>
      </c>
      <c r="F50" s="73"/>
      <c r="H50" s="73" t="s">
        <v>181</v>
      </c>
      <c r="I50" s="73" t="n">
        <f aca="false">(+'Jedi Shares'!B3+Shares!C39)*Financials!I5</f>
        <v>359697309.5</v>
      </c>
      <c r="L50" s="73" t="s">
        <v>148</v>
      </c>
      <c r="P50" s="73" t="n">
        <f aca="false">P14</f>
        <v>31233808.2191781</v>
      </c>
      <c r="Q50" s="106" t="s">
        <v>103</v>
      </c>
    </row>
    <row r="51" customFormat="false" ht="15.75" hidden="false" customHeight="false" outlineLevel="0" collapsed="false">
      <c r="A51" s="0"/>
      <c r="C51" s="0"/>
      <c r="E51" s="0" t="n">
        <v>0</v>
      </c>
      <c r="F51" s="73"/>
      <c r="H51" s="73" t="s">
        <v>110</v>
      </c>
      <c r="I51" s="73" t="n">
        <f aca="false">+M14</f>
        <v>705719597.14</v>
      </c>
      <c r="L51" s="135" t="s">
        <v>151</v>
      </c>
      <c r="M51" s="129"/>
      <c r="N51" s="129"/>
      <c r="O51" s="129"/>
      <c r="P51" s="136" t="str">
        <f aca="false">IF(P50&gt;=P49,"Test Passed","Test Failed")</f>
        <v>Test Failed</v>
      </c>
      <c r="Q51" s="106"/>
    </row>
    <row r="52" customFormat="false" ht="15.75" hidden="false" customHeight="false" outlineLevel="0" collapsed="false">
      <c r="A52" s="0"/>
      <c r="C52" s="0"/>
      <c r="E52" s="0" t="n">
        <v>0</v>
      </c>
      <c r="F52" s="73"/>
      <c r="H52" s="73" t="s">
        <v>114</v>
      </c>
      <c r="I52" s="73" t="n">
        <f aca="false">+M15</f>
        <v>0</v>
      </c>
      <c r="L52" s="74" t="s">
        <v>182</v>
      </c>
      <c r="M52" s="74"/>
      <c r="N52" s="74"/>
      <c r="O52" s="74"/>
      <c r="P52" s="74" t="n">
        <f aca="false">P50-P49</f>
        <v>-22330858.705361</v>
      </c>
    </row>
    <row r="53" customFormat="false" ht="15.75" hidden="false" customHeight="false" outlineLevel="0" collapsed="false">
      <c r="A53" s="0"/>
      <c r="C53" s="0"/>
      <c r="D53" s="73" t="n">
        <f aca="false">+I12</f>
        <v>34266411</v>
      </c>
      <c r="E53" s="0" t="n">
        <v>0</v>
      </c>
      <c r="F53" s="73"/>
      <c r="H53" s="73" t="s">
        <v>91</v>
      </c>
      <c r="I53" s="73" t="n">
        <f aca="false">-P8</f>
        <v>-0</v>
      </c>
      <c r="L53" s="131" t="s">
        <v>183</v>
      </c>
      <c r="M53" s="131"/>
      <c r="N53" s="131"/>
      <c r="O53" s="131"/>
      <c r="P53" s="131" t="n">
        <f aca="false">IF(P52&lt;0,0,P52/P48)</f>
        <v>0</v>
      </c>
    </row>
    <row r="54" customFormat="false" ht="15.75" hidden="false" customHeight="false" outlineLevel="0" collapsed="false">
      <c r="A54" s="0"/>
      <c r="C54" s="0"/>
      <c r="E54" s="0" t="n">
        <v>0</v>
      </c>
      <c r="F54" s="73"/>
      <c r="H54" s="73" t="s">
        <v>80</v>
      </c>
      <c r="I54" s="73" t="n">
        <f aca="false">-P9</f>
        <v>-0</v>
      </c>
    </row>
    <row r="55" customFormat="false" ht="15.75" hidden="false" customHeight="false" outlineLevel="0" collapsed="false">
      <c r="A55" s="0"/>
      <c r="B55" s="73" t="n">
        <f aca="false">+I56-E55</f>
        <v>-0</v>
      </c>
      <c r="C55" s="0"/>
      <c r="E55" s="0" t="n">
        <v>0</v>
      </c>
      <c r="H55" s="73" t="s">
        <v>96</v>
      </c>
      <c r="I55" s="73" t="n">
        <f aca="false">-P10</f>
        <v>-41817537.472</v>
      </c>
    </row>
    <row r="56" customFormat="false" ht="15.75" hidden="false" customHeight="false" outlineLevel="0" collapsed="false">
      <c r="A56" s="0"/>
      <c r="B56" s="73" t="n">
        <f aca="false">+I57-E56-D56</f>
        <v>-511341367.148</v>
      </c>
      <c r="C56" s="0"/>
      <c r="D56" s="73" t="n">
        <f aca="false">I17</f>
        <v>-55222064.0517303</v>
      </c>
      <c r="E56" s="73" t="n">
        <f aca="false">-E7</f>
        <v>-400000000</v>
      </c>
      <c r="H56" s="73" t="s">
        <v>99</v>
      </c>
      <c r="I56" s="73" t="n">
        <f aca="false">-P11</f>
        <v>-0</v>
      </c>
    </row>
    <row r="57" customFormat="false" ht="15.75" hidden="false" customHeight="false" outlineLevel="0" collapsed="false">
      <c r="A57" s="0"/>
      <c r="B57" s="75" t="n">
        <f aca="false">SUM(B45:B56)</f>
        <v>17152476.9919999</v>
      </c>
      <c r="C57" s="75"/>
      <c r="D57" s="75" t="n">
        <f aca="false">SUM(D45:D56)</f>
        <v>-13144981.3561274</v>
      </c>
      <c r="E57" s="75" t="n">
        <f aca="false">SUM(E45:E56)</f>
        <v>218023062.5</v>
      </c>
      <c r="H57" s="73" t="s">
        <v>85</v>
      </c>
      <c r="I57" s="73" t="n">
        <f aca="false">-P12</f>
        <v>-966563431.19973</v>
      </c>
    </row>
    <row r="58" customFormat="false" ht="15.75" hidden="false" customHeight="false" outlineLevel="0" collapsed="false">
      <c r="A58" s="0"/>
      <c r="B58" s="0"/>
      <c r="C58" s="0"/>
      <c r="D58" s="0"/>
      <c r="E58" s="0"/>
      <c r="I58" s="75" t="n">
        <f aca="false">SUM(I46:I57)</f>
        <v>145946609.663872</v>
      </c>
    </row>
    <row r="59" customFormat="false" ht="15.75" hidden="false" customHeight="false" outlineLevel="0" collapsed="false">
      <c r="A59" s="0"/>
      <c r="B59" s="0"/>
      <c r="C59" s="0"/>
      <c r="D59" s="0"/>
      <c r="E59" s="0"/>
      <c r="I59" s="75" t="n">
        <f aca="false">+I58-I42</f>
        <v>999.999999970198</v>
      </c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C22" colorId="64" zoomScale="100" zoomScaleNormal="100" zoomScalePageLayoutView="100" workbookViewId="0">
      <selection pane="topLeft" activeCell="H40" activeCellId="0" sqref="H4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73" width="30.62"/>
    <col collapsed="false" customWidth="true" hidden="false" outlineLevel="0" max="2" min="2" style="75" width="16.74"/>
    <col collapsed="false" customWidth="true" hidden="false" outlineLevel="0" max="4" min="4" style="73" width="30.62"/>
    <col collapsed="false" customWidth="true" hidden="false" outlineLevel="0" max="5" min="5" style="75" width="16.74"/>
    <col collapsed="false" customWidth="true" hidden="false" outlineLevel="0" max="7" min="7" style="73" width="30.62"/>
    <col collapsed="false" customWidth="true" hidden="false" outlineLevel="0" max="8" min="8" style="75" width="16.74"/>
  </cols>
  <sheetData>
    <row r="1" customFormat="false" ht="15.75" hidden="false" customHeight="false" outlineLevel="0" collapsed="false">
      <c r="A1" s="74"/>
      <c r="B1" s="98"/>
      <c r="D1" s="74"/>
      <c r="E1" s="98"/>
      <c r="G1" s="74"/>
      <c r="H1" s="98"/>
    </row>
    <row r="2" customFormat="false" ht="15.75" hidden="false" customHeight="false" outlineLevel="0" collapsed="false">
      <c r="A2" s="99" t="s">
        <v>94</v>
      </c>
      <c r="B2" s="99"/>
      <c r="D2" s="99" t="s">
        <v>94</v>
      </c>
      <c r="E2" s="99"/>
      <c r="G2" s="99" t="s">
        <v>94</v>
      </c>
      <c r="H2" s="146" t="n">
        <f aca="false">+B3</f>
        <v>36981</v>
      </c>
    </row>
    <row r="3" customFormat="false" ht="15.75" hidden="false" customHeight="false" outlineLevel="0" collapsed="false">
      <c r="A3" s="88" t="s">
        <v>184</v>
      </c>
      <c r="B3" s="146" t="n">
        <v>36981</v>
      </c>
      <c r="D3" s="88" t="s">
        <v>184</v>
      </c>
      <c r="E3" s="146" t="n">
        <f aca="false">+Financials!I11</f>
        <v>37161</v>
      </c>
      <c r="G3" s="88" t="s">
        <v>185</v>
      </c>
      <c r="H3" s="146" t="n">
        <f aca="false">+E3</f>
        <v>37161</v>
      </c>
    </row>
    <row r="4" customFormat="false" ht="15.75" hidden="false" customHeight="false" outlineLevel="0" collapsed="false">
      <c r="A4" s="74" t="s">
        <v>100</v>
      </c>
      <c r="B4" s="98" t="n">
        <v>34266411</v>
      </c>
      <c r="D4" s="74" t="s">
        <v>100</v>
      </c>
      <c r="E4" s="98" t="n">
        <f aca="false">+Financials!I12</f>
        <v>34266411</v>
      </c>
      <c r="G4" s="74" t="s">
        <v>100</v>
      </c>
      <c r="H4" s="98" t="n">
        <f aca="false">+E4-B4</f>
        <v>0</v>
      </c>
    </row>
    <row r="5" customFormat="false" ht="15.75" hidden="false" customHeight="false" outlineLevel="0" collapsed="false">
      <c r="A5" s="74" t="s">
        <v>106</v>
      </c>
      <c r="B5" s="98" t="n">
        <v>2520990.28267736</v>
      </c>
      <c r="D5" s="74" t="s">
        <v>106</v>
      </c>
      <c r="E5" s="98" t="n">
        <f aca="false">+Financials!I13</f>
        <v>3386060.58449174</v>
      </c>
      <c r="G5" s="74" t="s">
        <v>106</v>
      </c>
      <c r="H5" s="98" t="n">
        <f aca="false">+E5-B5</f>
        <v>865070.301814373</v>
      </c>
    </row>
    <row r="6" customFormat="false" ht="15.75" hidden="false" customHeight="false" outlineLevel="0" collapsed="false">
      <c r="A6" s="74" t="s">
        <v>186</v>
      </c>
      <c r="B6" s="98" t="n">
        <v>2673611.11111111</v>
      </c>
      <c r="D6" s="74" t="s">
        <v>186</v>
      </c>
      <c r="E6" s="98" t="n">
        <f aca="false">+Financials!I14</f>
        <v>4423611.11111111</v>
      </c>
      <c r="G6" s="74" t="s">
        <v>186</v>
      </c>
      <c r="H6" s="98" t="n">
        <f aca="false">+E6-B6</f>
        <v>1750000</v>
      </c>
    </row>
    <row r="7" customFormat="false" ht="15.75" hidden="false" customHeight="false" outlineLevel="0" collapsed="false">
      <c r="A7" s="74" t="s">
        <v>112</v>
      </c>
      <c r="B7" s="98" t="n">
        <v>52721889.4230769</v>
      </c>
      <c r="D7" s="74" t="s">
        <v>112</v>
      </c>
      <c r="E7" s="98" t="n">
        <f aca="false">+Financials!I15</f>
        <v>87230762.5</v>
      </c>
      <c r="G7" s="74" t="s">
        <v>112</v>
      </c>
      <c r="H7" s="98" t="n">
        <f aca="false">+E7-B7</f>
        <v>34508873.0769231</v>
      </c>
    </row>
    <row r="8" customFormat="false" ht="15.75" hidden="false" customHeight="false" outlineLevel="0" collapsed="false">
      <c r="A8" s="74" t="s">
        <v>187</v>
      </c>
      <c r="B8" s="98" t="n">
        <v>389903.262604457</v>
      </c>
      <c r="D8" s="74" t="s">
        <v>187</v>
      </c>
      <c r="E8" s="98" t="n">
        <f aca="false">+Financials!I16</f>
        <v>14426420.7163649</v>
      </c>
      <c r="G8" s="74" t="s">
        <v>187</v>
      </c>
      <c r="H8" s="98" t="n">
        <f aca="false">+E8-B8</f>
        <v>14036517.4537604</v>
      </c>
    </row>
    <row r="9" customFormat="false" ht="15.75" hidden="false" customHeight="false" outlineLevel="0" collapsed="false">
      <c r="A9" s="74" t="s">
        <v>120</v>
      </c>
      <c r="B9" s="118" t="n">
        <v>-22398320.2512744</v>
      </c>
      <c r="D9" s="74" t="s">
        <v>120</v>
      </c>
      <c r="E9" s="118" t="n">
        <f aca="false">+Financials!I17</f>
        <v>-55222064.0517303</v>
      </c>
      <c r="G9" s="74" t="s">
        <v>120</v>
      </c>
      <c r="H9" s="118" t="n">
        <f aca="false">+E9-B9</f>
        <v>-32823743.8004559</v>
      </c>
    </row>
    <row r="10" customFormat="false" ht="15.75" hidden="false" customHeight="false" outlineLevel="0" collapsed="false">
      <c r="B10" s="73" t="n">
        <v>70174484.8281955</v>
      </c>
      <c r="E10" s="73" t="n">
        <f aca="false">SUM(E4:E9)</f>
        <v>88511201.8602374</v>
      </c>
      <c r="H10" s="73" t="n">
        <f aca="false">SUM(H4:H9)</f>
        <v>18336717.032042</v>
      </c>
    </row>
    <row r="11" customFormat="false" ht="15.75" hidden="false" customHeight="false" outlineLevel="0" collapsed="false">
      <c r="B11" s="73"/>
      <c r="E11" s="73"/>
      <c r="H11" s="73"/>
    </row>
    <row r="12" customFormat="false" ht="15.75" hidden="false" customHeight="false" outlineLevel="0" collapsed="false">
      <c r="A12" s="73" t="s">
        <v>126</v>
      </c>
      <c r="B12" s="73" t="n">
        <v>162248387.25</v>
      </c>
      <c r="D12" s="73" t="s">
        <v>126</v>
      </c>
      <c r="E12" s="98" t="n">
        <f aca="false">+Financials!I20</f>
        <v>418799988.75</v>
      </c>
      <c r="G12" s="73" t="s">
        <v>126</v>
      </c>
      <c r="H12" s="98" t="n">
        <f aca="false">+E12-B12</f>
        <v>256551601.5</v>
      </c>
    </row>
    <row r="13" customFormat="false" ht="15.75" hidden="false" customHeight="false" outlineLevel="0" collapsed="false">
      <c r="A13" s="73" t="s">
        <v>129</v>
      </c>
      <c r="B13" s="75" t="n">
        <v>26767548.34</v>
      </c>
      <c r="D13" s="73" t="s">
        <v>129</v>
      </c>
      <c r="E13" s="98" t="n">
        <f aca="false">+Financials!I21</f>
        <v>286919608.39</v>
      </c>
      <c r="G13" s="73" t="s">
        <v>129</v>
      </c>
      <c r="H13" s="98" t="n">
        <f aca="false">+E13-B13</f>
        <v>260152060.05</v>
      </c>
    </row>
    <row r="14" customFormat="false" ht="15.75" hidden="false" customHeight="false" outlineLevel="0" collapsed="false">
      <c r="A14" s="73" t="s">
        <v>132</v>
      </c>
      <c r="B14" s="75" t="n">
        <v>-178829673.458311</v>
      </c>
      <c r="D14" s="73" t="s">
        <v>132</v>
      </c>
      <c r="E14" s="98" t="n">
        <f aca="false">+Financials!I22</f>
        <v>-437230762.5</v>
      </c>
      <c r="G14" s="73" t="s">
        <v>132</v>
      </c>
      <c r="H14" s="98" t="n">
        <f aca="false">+E14-B14</f>
        <v>-258401089.041689</v>
      </c>
    </row>
    <row r="15" customFormat="false" ht="15.75" hidden="false" customHeight="false" outlineLevel="0" collapsed="false">
      <c r="A15" s="73" t="s">
        <v>188</v>
      </c>
      <c r="B15" s="73" t="n">
        <v>0</v>
      </c>
      <c r="C15" s="73"/>
      <c r="D15" s="73" t="s">
        <v>188</v>
      </c>
      <c r="E15" s="98" t="n">
        <f aca="false">+Financials!I23</f>
        <v>0</v>
      </c>
      <c r="F15" s="73"/>
      <c r="G15" s="73" t="s">
        <v>188</v>
      </c>
      <c r="H15" s="98" t="n">
        <f aca="false">+E15-B15</f>
        <v>0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customFormat="false" ht="15.75" hidden="false" customHeight="false" outlineLevel="0" collapsed="false">
      <c r="A16" s="73" t="s">
        <v>139</v>
      </c>
      <c r="B16" s="73" t="n">
        <v>-41817537.472</v>
      </c>
      <c r="D16" s="73" t="s">
        <v>139</v>
      </c>
      <c r="E16" s="98" t="n">
        <f aca="false">+Financials!I24</f>
        <v>-41817537.472</v>
      </c>
      <c r="G16" s="73" t="s">
        <v>139</v>
      </c>
      <c r="H16" s="98" t="n">
        <f aca="false">+E16-B16</f>
        <v>0</v>
      </c>
    </row>
    <row r="17" customFormat="false" ht="15.75" hidden="false" customHeight="false" outlineLevel="0" collapsed="false">
      <c r="A17" s="73" t="s">
        <v>142</v>
      </c>
      <c r="B17" s="112" t="n">
        <v>-11278182.528</v>
      </c>
      <c r="D17" s="73" t="s">
        <v>142</v>
      </c>
      <c r="E17" s="118" t="n">
        <f aca="false">+Financials!I25</f>
        <v>-11278182.528</v>
      </c>
      <c r="G17" s="73" t="s">
        <v>142</v>
      </c>
      <c r="H17" s="118" t="n">
        <f aca="false">+E17-B17</f>
        <v>0</v>
      </c>
    </row>
    <row r="18" customFormat="false" ht="15.75" hidden="false" customHeight="false" outlineLevel="0" collapsed="false">
      <c r="A18" s="0"/>
      <c r="B18" s="129" t="n">
        <v>-42909457.8683114</v>
      </c>
      <c r="D18" s="0"/>
      <c r="E18" s="129" t="n">
        <f aca="false">SUM(E12:E17)</f>
        <v>215393114.64</v>
      </c>
      <c r="G18" s="0"/>
      <c r="H18" s="129" t="n">
        <f aca="false">SUM(H12:H17)</f>
        <v>258302572.508311</v>
      </c>
    </row>
    <row r="19" customFormat="false" ht="15.75" hidden="false" customHeight="false" outlineLevel="0" collapsed="false">
      <c r="A19" s="147"/>
      <c r="B19" s="148"/>
      <c r="D19" s="147"/>
      <c r="E19" s="148"/>
      <c r="G19" s="147"/>
      <c r="H19" s="148"/>
    </row>
    <row r="20" customFormat="false" ht="16.5" hidden="false" customHeight="false" outlineLevel="0" collapsed="false">
      <c r="A20" s="131" t="s">
        <v>144</v>
      </c>
      <c r="B20" s="132" t="n">
        <v>27265026.9598841</v>
      </c>
      <c r="D20" s="131" t="s">
        <v>144</v>
      </c>
      <c r="E20" s="132" t="n">
        <f aca="false">E18+E10</f>
        <v>303904316.500237</v>
      </c>
      <c r="G20" s="131" t="s">
        <v>144</v>
      </c>
      <c r="H20" s="132" t="n">
        <f aca="false">H18+H10</f>
        <v>276639289.540353</v>
      </c>
    </row>
    <row r="21" customFormat="false" ht="16.5" hidden="false" customHeight="false" outlineLevel="0" collapsed="false"/>
    <row r="23" customFormat="false" ht="15.75" hidden="false" customHeight="false" outlineLevel="0" collapsed="false">
      <c r="A23" s="81" t="s">
        <v>78</v>
      </c>
      <c r="B23" s="81"/>
      <c r="D23" s="81" t="s">
        <v>78</v>
      </c>
      <c r="E23" s="81"/>
      <c r="G23" s="81" t="s">
        <v>78</v>
      </c>
      <c r="H23" s="89" t="n">
        <f aca="false">+B24</f>
        <v>37072</v>
      </c>
    </row>
    <row r="24" customFormat="false" ht="15.75" hidden="false" customHeight="false" outlineLevel="0" collapsed="false">
      <c r="A24" s="88" t="s">
        <v>83</v>
      </c>
      <c r="B24" s="89" t="n">
        <v>37072</v>
      </c>
      <c r="D24" s="88" t="s">
        <v>83</v>
      </c>
      <c r="E24" s="89" t="n">
        <f aca="false">+Financials!M6</f>
        <v>37161</v>
      </c>
      <c r="G24" s="88" t="s">
        <v>189</v>
      </c>
      <c r="H24" s="89" t="n">
        <f aca="false">+E24</f>
        <v>37161</v>
      </c>
    </row>
    <row r="25" customFormat="false" ht="16.5" hidden="false" customHeight="false" outlineLevel="0" collapsed="false">
      <c r="A25" s="84" t="s">
        <v>75</v>
      </c>
      <c r="B25" s="84"/>
      <c r="C25" s="73"/>
      <c r="D25" s="84" t="s">
        <v>75</v>
      </c>
      <c r="E25" s="84"/>
      <c r="G25" s="84" t="s">
        <v>75</v>
      </c>
      <c r="H25" s="84"/>
    </row>
    <row r="26" customFormat="false" ht="15.75" hidden="false" customHeight="false" outlineLevel="0" collapsed="false">
      <c r="A26" s="73" t="s">
        <v>90</v>
      </c>
      <c r="B26" s="73" t="n">
        <v>37648522.296889</v>
      </c>
      <c r="C26" s="73"/>
      <c r="D26" s="73" t="s">
        <v>90</v>
      </c>
      <c r="E26" s="73" t="n">
        <f aca="false">+Financials!M8</f>
        <v>38035671.6956029</v>
      </c>
      <c r="G26" s="73" t="s">
        <v>90</v>
      </c>
      <c r="H26" s="73" t="n">
        <f aca="false">+E26-B26</f>
        <v>387149.398713961</v>
      </c>
    </row>
    <row r="27" customFormat="false" ht="15.75" hidden="false" customHeight="false" outlineLevel="0" collapsed="false">
      <c r="A27" s="73" t="s">
        <v>84</v>
      </c>
      <c r="B27" s="73" t="n">
        <v>50000000</v>
      </c>
      <c r="C27" s="73"/>
      <c r="D27" s="73" t="s">
        <v>84</v>
      </c>
      <c r="E27" s="73" t="n">
        <f aca="false">+Financials!M9</f>
        <v>50000000</v>
      </c>
      <c r="G27" s="73" t="s">
        <v>84</v>
      </c>
      <c r="H27" s="73" t="n">
        <f aca="false">+E27-B27</f>
        <v>0</v>
      </c>
    </row>
    <row r="28" customFormat="false" ht="15.75" hidden="false" customHeight="false" outlineLevel="0" collapsed="false">
      <c r="A28" s="73" t="s">
        <v>95</v>
      </c>
      <c r="B28" s="73" t="n">
        <v>9722.22222222222</v>
      </c>
      <c r="C28" s="73"/>
      <c r="D28" s="73" t="s">
        <v>95</v>
      </c>
      <c r="E28" s="73" t="n">
        <f aca="false">+Financials!M10</f>
        <v>875000</v>
      </c>
      <c r="G28" s="73" t="s">
        <v>95</v>
      </c>
      <c r="H28" s="73" t="n">
        <f aca="false">+E28-B28</f>
        <v>865277.777777778</v>
      </c>
    </row>
    <row r="29" customFormat="false" ht="15.75" hidden="false" customHeight="false" outlineLevel="0" collapsed="false">
      <c r="A29" s="73" t="s">
        <v>87</v>
      </c>
      <c r="B29" s="73" t="n">
        <v>0</v>
      </c>
      <c r="C29" s="93"/>
      <c r="D29" s="73" t="s">
        <v>87</v>
      </c>
      <c r="E29" s="73" t="n">
        <f aca="false">+Financials!M11</f>
        <v>0</v>
      </c>
      <c r="G29" s="73" t="s">
        <v>87</v>
      </c>
      <c r="H29" s="73" t="n">
        <f aca="false">+E29-B29</f>
        <v>0</v>
      </c>
    </row>
    <row r="30" customFormat="false" ht="15.75" hidden="false" customHeight="false" outlineLevel="0" collapsed="false">
      <c r="A30" s="73" t="s">
        <v>102</v>
      </c>
      <c r="B30" s="75" t="n">
        <v>382390207.262006</v>
      </c>
      <c r="D30" s="73" t="s">
        <v>102</v>
      </c>
      <c r="E30" s="73" t="n">
        <f aca="false">+Financials!M12</f>
        <v>389330485.336365</v>
      </c>
      <c r="G30" s="73" t="s">
        <v>102</v>
      </c>
      <c r="H30" s="73" t="n">
        <f aca="false">+E30-B30</f>
        <v>6940278.07435936</v>
      </c>
    </row>
    <row r="31" customFormat="false" ht="15.75" hidden="false" customHeight="false" outlineLevel="0" collapsed="false">
      <c r="A31" s="73" t="s">
        <v>107</v>
      </c>
      <c r="B31" s="73" t="n">
        <v>118425531</v>
      </c>
      <c r="C31" s="73"/>
      <c r="D31" s="73" t="s">
        <v>107</v>
      </c>
      <c r="E31" s="73" t="n">
        <f aca="false">+Financials!M13</f>
        <v>118425531</v>
      </c>
      <c r="G31" s="73" t="s">
        <v>181</v>
      </c>
      <c r="H31" s="73" t="n">
        <f aca="false">+E31-B31</f>
        <v>0</v>
      </c>
    </row>
    <row r="32" customFormat="false" ht="15.75" hidden="false" customHeight="false" outlineLevel="0" collapsed="false">
      <c r="A32" s="73" t="s">
        <v>110</v>
      </c>
      <c r="B32" s="73" t="n">
        <v>330578582.59</v>
      </c>
      <c r="C32" s="73"/>
      <c r="D32" s="73" t="s">
        <v>110</v>
      </c>
      <c r="E32" s="73" t="n">
        <f aca="false">+Financials!M14</f>
        <v>705719597.14</v>
      </c>
      <c r="G32" s="73" t="s">
        <v>110</v>
      </c>
      <c r="H32" s="73" t="n">
        <f aca="false">+E32-B32</f>
        <v>375141014.55</v>
      </c>
    </row>
    <row r="33" customFormat="false" ht="15.75" hidden="false" customHeight="false" outlineLevel="0" collapsed="false">
      <c r="A33" s="73" t="s">
        <v>114</v>
      </c>
      <c r="B33" s="73" t="n">
        <v>0</v>
      </c>
      <c r="C33" s="73"/>
      <c r="D33" s="73" t="s">
        <v>114</v>
      </c>
      <c r="E33" s="73" t="n">
        <f aca="false">+Financials!M15</f>
        <v>0</v>
      </c>
      <c r="G33" s="73" t="s">
        <v>114</v>
      </c>
      <c r="H33" s="73" t="n">
        <f aca="false">+E33-B33</f>
        <v>0</v>
      </c>
    </row>
    <row r="34" customFormat="false" ht="16.5" hidden="false" customHeight="false" outlineLevel="0" collapsed="false">
      <c r="A34" s="100" t="s">
        <v>6</v>
      </c>
      <c r="B34" s="101" t="n">
        <v>919052565.371117</v>
      </c>
      <c r="C34" s="102"/>
      <c r="D34" s="100" t="s">
        <v>6</v>
      </c>
      <c r="E34" s="101" t="n">
        <f aca="false">SUM(E26:E33)</f>
        <v>1302386285.17197</v>
      </c>
      <c r="G34" s="100" t="s">
        <v>6</v>
      </c>
      <c r="H34" s="101" t="n">
        <f aca="false">SUM(H26:H33)</f>
        <v>383333719.800851</v>
      </c>
    </row>
    <row r="35" customFormat="false" ht="16.5" hidden="false" customHeight="false" outlineLevel="0" collapsed="false"/>
    <row r="36" customFormat="false" ht="16.5" hidden="false" customHeight="false" outlineLevel="0" collapsed="false">
      <c r="A36" s="84" t="s">
        <v>76</v>
      </c>
      <c r="B36" s="84"/>
      <c r="D36" s="84" t="s">
        <v>76</v>
      </c>
      <c r="E36" s="84"/>
      <c r="G36" s="84" t="s">
        <v>76</v>
      </c>
      <c r="H36" s="84"/>
    </row>
    <row r="37" customFormat="false" ht="15.75" hidden="false" customHeight="false" outlineLevel="0" collapsed="false">
      <c r="A37" s="73" t="s">
        <v>91</v>
      </c>
      <c r="B37" s="73" t="n">
        <v>0</v>
      </c>
      <c r="D37" s="73" t="s">
        <v>91</v>
      </c>
      <c r="E37" s="73" t="n">
        <f aca="false">+Financials!P8</f>
        <v>0</v>
      </c>
      <c r="G37" s="73" t="s">
        <v>91</v>
      </c>
      <c r="H37" s="73" t="n">
        <f aca="false">+E37-B37</f>
        <v>0</v>
      </c>
    </row>
    <row r="38" customFormat="false" ht="15.75" hidden="false" customHeight="false" outlineLevel="0" collapsed="false">
      <c r="A38" s="73" t="s">
        <v>96</v>
      </c>
      <c r="B38" s="73" t="n">
        <v>41817537.472</v>
      </c>
      <c r="D38" s="73" t="s">
        <v>96</v>
      </c>
      <c r="E38" s="73" t="n">
        <f aca="false">+Financials!P10</f>
        <v>41817537.472</v>
      </c>
      <c r="G38" s="73" t="s">
        <v>96</v>
      </c>
      <c r="H38" s="73" t="n">
        <f aca="false">+E38-B38</f>
        <v>0</v>
      </c>
    </row>
    <row r="39" customFormat="false" ht="15.75" hidden="false" customHeight="false" outlineLevel="0" collapsed="false">
      <c r="A39" s="73" t="s">
        <v>99</v>
      </c>
      <c r="B39" s="73" t="n">
        <v>0</v>
      </c>
      <c r="D39" s="73" t="s">
        <v>99</v>
      </c>
      <c r="E39" s="73" t="n">
        <f aca="false">+Financials!P11</f>
        <v>0</v>
      </c>
      <c r="G39" s="73" t="s">
        <v>99</v>
      </c>
      <c r="H39" s="73" t="n">
        <f aca="false">+E39-B39</f>
        <v>0</v>
      </c>
    </row>
    <row r="40" customFormat="false" ht="15.75" hidden="false" customHeight="false" outlineLevel="0" collapsed="false">
      <c r="A40" s="73" t="s">
        <v>85</v>
      </c>
      <c r="B40" s="73" t="n">
        <v>950124200.578998</v>
      </c>
      <c r="D40" s="73" t="s">
        <v>85</v>
      </c>
      <c r="E40" s="73" t="n">
        <f aca="false">+Financials!P12</f>
        <v>966563431.19973</v>
      </c>
      <c r="G40" s="73" t="s">
        <v>85</v>
      </c>
      <c r="H40" s="73" t="n">
        <f aca="false">+E40-B40</f>
        <v>16439230.6207325</v>
      </c>
    </row>
    <row r="41" customFormat="false" ht="15.75" hidden="false" customHeight="false" outlineLevel="0" collapsed="false">
      <c r="B41" s="73"/>
      <c r="E41" s="73"/>
      <c r="H41" s="73" t="n">
        <f aca="false">+E41-B41</f>
        <v>0</v>
      </c>
    </row>
    <row r="42" customFormat="false" ht="15.75" hidden="false" customHeight="false" outlineLevel="0" collapsed="false">
      <c r="A42" s="73" t="s">
        <v>92</v>
      </c>
      <c r="B42" s="73" t="n">
        <v>0</v>
      </c>
      <c r="D42" s="73" t="s">
        <v>92</v>
      </c>
      <c r="E42" s="73" t="n">
        <f aca="false">+Financials!P14</f>
        <v>31233808.2191781</v>
      </c>
      <c r="G42" s="73" t="s">
        <v>92</v>
      </c>
      <c r="H42" s="73" t="n">
        <f aca="false">+E42-B42</f>
        <v>31233808.2191781</v>
      </c>
    </row>
    <row r="43" customFormat="false" ht="15.75" hidden="false" customHeight="false" outlineLevel="0" collapsed="false">
      <c r="A43" s="73" t="s">
        <v>65</v>
      </c>
      <c r="B43" s="73" t="n">
        <v>-72889172.6798812</v>
      </c>
      <c r="D43" s="73" t="s">
        <v>65</v>
      </c>
      <c r="E43" s="73" t="n">
        <f aca="false">+Financials!P15</f>
        <v>262771508.28106</v>
      </c>
      <c r="G43" s="73" t="s">
        <v>65</v>
      </c>
      <c r="H43" s="73" t="n">
        <f aca="false">+E43-B43</f>
        <v>335660680.960941</v>
      </c>
    </row>
    <row r="44" customFormat="false" ht="16.5" hidden="false" customHeight="false" outlineLevel="0" collapsed="false">
      <c r="A44" s="100" t="s">
        <v>6</v>
      </c>
      <c r="B44" s="101" t="n">
        <v>919052565.371117</v>
      </c>
      <c r="D44" s="100" t="s">
        <v>6</v>
      </c>
      <c r="E44" s="101" t="n">
        <f aca="false">SUM(E37:E43)</f>
        <v>1302386285.17197</v>
      </c>
      <c r="G44" s="100" t="s">
        <v>6</v>
      </c>
      <c r="H44" s="101" t="n">
        <f aca="false">SUM(H37:H43)</f>
        <v>383333719.800851</v>
      </c>
    </row>
    <row r="45" customFormat="false" ht="16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7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D40" activeCellId="0" sqref="D4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74"/>
    <col collapsed="false" customWidth="true" hidden="false" outlineLevel="0" max="3" min="3" style="0" width="1.74"/>
    <col collapsed="false" customWidth="true" hidden="false" outlineLevel="0" max="4" min="4" style="0" width="14.74"/>
    <col collapsed="false" customWidth="true" hidden="false" outlineLevel="0" max="5" min="5" style="0" width="12.99"/>
    <col collapsed="false" customWidth="true" hidden="false" outlineLevel="0" max="6" min="6" style="0" width="9.12"/>
    <col collapsed="false" customWidth="true" hidden="false" outlineLevel="0" max="7" min="7" style="0" width="9.74"/>
  </cols>
  <sheetData>
    <row r="1" customFormat="false" ht="16.5" hidden="false" customHeight="false" outlineLevel="0" collapsed="false">
      <c r="A1" s="149" t="s">
        <v>190</v>
      </c>
      <c r="B1" s="149"/>
    </row>
    <row r="3" customFormat="false" ht="15.75" hidden="false" customHeight="false" outlineLevel="0" collapsed="false">
      <c r="A3" s="74" t="s">
        <v>191</v>
      </c>
      <c r="B3" s="75"/>
      <c r="C3" s="73"/>
    </row>
    <row r="4" customFormat="false" ht="15.75" hidden="false" customHeight="false" outlineLevel="0" collapsed="false">
      <c r="A4" s="150" t="s">
        <v>192</v>
      </c>
      <c r="B4" s="98" t="n">
        <f aca="false">IF(Summary!C5&lt;'Cash-Int-Trans'!D4,0,+G4)</f>
        <v>34266411</v>
      </c>
      <c r="C4" s="73"/>
      <c r="D4" s="64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73"/>
      <c r="B5" s="75"/>
      <c r="C5" s="73"/>
    </row>
    <row r="6" customFormat="false" ht="16.5" hidden="false" customHeight="false" outlineLevel="0" collapsed="false">
      <c r="A6" s="73" t="s">
        <v>193</v>
      </c>
      <c r="B6" s="151" t="n">
        <f aca="false">SUM(B3:B5)</f>
        <v>34266411</v>
      </c>
      <c r="C6" s="105" t="s">
        <v>101</v>
      </c>
    </row>
    <row r="7" customFormat="false" ht="16.5" hidden="false" customHeight="false" outlineLevel="0" collapsed="false">
      <c r="A7" s="73"/>
      <c r="B7" s="75"/>
      <c r="C7" s="73"/>
    </row>
    <row r="8" customFormat="false" ht="15.75" hidden="false" customHeight="false" outlineLevel="0" collapsed="false">
      <c r="A8" s="73" t="s">
        <v>194</v>
      </c>
      <c r="B8" s="75" t="n">
        <f aca="false">IF(Summary!C5&lt;'Cash-Int-Trans'!D8,0,-Financials!E6+B4)</f>
        <v>-6733589</v>
      </c>
      <c r="C8" s="73"/>
      <c r="D8" s="64" t="n">
        <v>36791</v>
      </c>
    </row>
    <row r="9" customFormat="false" ht="15.75" hidden="false" customHeight="false" outlineLevel="0" collapsed="false">
      <c r="A9" s="73" t="s">
        <v>195</v>
      </c>
      <c r="B9" s="75" t="n">
        <f aca="false">-B8</f>
        <v>6733589</v>
      </c>
      <c r="C9" s="73"/>
      <c r="D9" s="64" t="n">
        <f aca="false">+D8</f>
        <v>36791</v>
      </c>
    </row>
    <row r="10" customFormat="false" ht="15.75" hidden="false" customHeight="false" outlineLevel="0" collapsed="false">
      <c r="A10" s="73"/>
      <c r="B10" s="73"/>
      <c r="C10" s="73"/>
    </row>
    <row r="11" customFormat="false" ht="15.75" hidden="false" customHeight="false" outlineLevel="0" collapsed="false">
      <c r="A11" s="73" t="s">
        <v>196</v>
      </c>
      <c r="B11" s="75"/>
      <c r="C11" s="73"/>
    </row>
    <row r="12" customFormat="false" ht="15.75" hidden="false" customHeight="false" outlineLevel="0" collapsed="false">
      <c r="A12" s="73" t="s">
        <v>197</v>
      </c>
      <c r="B12" s="75" t="n">
        <f aca="false">IF(Summary!C5&lt;'Cash-Int-Trans'!D12,0,-41000000)</f>
        <v>-41000000</v>
      </c>
      <c r="C12" s="73"/>
      <c r="D12" s="64" t="n">
        <v>36791</v>
      </c>
    </row>
    <row r="13" customFormat="false" ht="15.75" hidden="false" customHeight="false" outlineLevel="0" collapsed="false">
      <c r="A13" s="73" t="s">
        <v>198</v>
      </c>
      <c r="B13" s="75" t="n">
        <v>1100000</v>
      </c>
      <c r="C13" s="73"/>
      <c r="D13" s="64" t="n">
        <v>36791</v>
      </c>
    </row>
    <row r="14" customFormat="false" ht="15.75" hidden="false" customHeight="false" outlineLevel="0" collapsed="false">
      <c r="A14" s="73"/>
      <c r="B14" s="75"/>
      <c r="C14" s="73"/>
      <c r="D14" s="64"/>
    </row>
    <row r="15" customFormat="false" ht="15.75" hidden="false" customHeight="false" outlineLevel="0" collapsed="false">
      <c r="A15" s="73" t="s">
        <v>199</v>
      </c>
      <c r="B15" s="75" t="n">
        <f aca="false">IF(Summary!$C$5&lt;'Cash-Int-Trans'!D15,0,-Amort!D11)</f>
        <v>-1779166.66666667</v>
      </c>
      <c r="C15" s="73"/>
      <c r="D15" s="64" t="n">
        <v>36889</v>
      </c>
    </row>
    <row r="16" customFormat="false" ht="15.75" hidden="false" customHeight="false" outlineLevel="0" collapsed="false">
      <c r="A16" s="73" t="s">
        <v>200</v>
      </c>
      <c r="B16" s="75" t="n">
        <f aca="false">-B15</f>
        <v>1779166.66666667</v>
      </c>
      <c r="C16" s="73"/>
      <c r="D16" s="64" t="n">
        <f aca="false">+D15</f>
        <v>36889</v>
      </c>
    </row>
    <row r="17" customFormat="false" ht="15.75" hidden="false" customHeight="false" outlineLevel="0" collapsed="false">
      <c r="A17" s="73"/>
      <c r="B17" s="75"/>
      <c r="C17" s="73"/>
      <c r="D17" s="64"/>
    </row>
    <row r="18" customFormat="false" ht="15.75" hidden="false" customHeight="false" outlineLevel="0" collapsed="false">
      <c r="A18" s="73" t="s">
        <v>199</v>
      </c>
      <c r="B18" s="75" t="n">
        <f aca="false">IF(Summary!$C$5&lt;'Cash-Int-Trans'!D18,0,-Amort!D12)</f>
        <v>-1769444.44444444</v>
      </c>
      <c r="C18" s="73"/>
      <c r="D18" s="64" t="n">
        <v>37071</v>
      </c>
    </row>
    <row r="19" customFormat="false" ht="15.75" hidden="false" customHeight="false" outlineLevel="0" collapsed="false">
      <c r="A19" s="73" t="s">
        <v>200</v>
      </c>
      <c r="B19" s="75" t="n">
        <f aca="false">-B18</f>
        <v>1769444.44444444</v>
      </c>
      <c r="C19" s="73"/>
      <c r="D19" s="64" t="n">
        <f aca="false">+D18</f>
        <v>37071</v>
      </c>
    </row>
    <row r="20" customFormat="false" ht="15.75" hidden="false" customHeight="false" outlineLevel="0" collapsed="false">
      <c r="A20" s="73"/>
      <c r="B20" s="75"/>
      <c r="C20" s="73"/>
    </row>
    <row r="21" customFormat="false" ht="16.5" hidden="false" customHeight="false" outlineLevel="0" collapsed="false">
      <c r="A21" s="149" t="s">
        <v>201</v>
      </c>
      <c r="B21" s="149"/>
    </row>
    <row r="23" customFormat="false" ht="15.75" hidden="false" customHeight="false" outlineLevel="0" collapsed="false">
      <c r="A23" s="0" t="s">
        <v>202</v>
      </c>
      <c r="B23" s="73" t="n">
        <f aca="false">+Financials!B6</f>
        <v>71001000</v>
      </c>
      <c r="D23" s="64" t="n">
        <v>36634</v>
      </c>
    </row>
    <row r="25" customFormat="false" ht="15.75" hidden="false" customHeight="false" outlineLevel="0" collapsed="false">
      <c r="A25" s="0" t="s">
        <v>203</v>
      </c>
      <c r="B25" s="73" t="n">
        <f aca="false">+Financials!I27</f>
        <v>303904316.500237</v>
      </c>
    </row>
    <row r="26" customFormat="false" ht="15.75" hidden="false" customHeight="false" outlineLevel="0" collapsed="false">
      <c r="A26" s="0" t="s">
        <v>204</v>
      </c>
      <c r="B26" s="73" t="n">
        <f aca="false">-Financials!I15-Financials!I16</f>
        <v>-101657183.216365</v>
      </c>
    </row>
    <row r="27" customFormat="false" ht="15.75" hidden="false" customHeight="false" outlineLevel="0" collapsed="false">
      <c r="A27" s="73" t="str">
        <f aca="false">+Financials!H24</f>
        <v>Unrealized Gains / (Losses)</v>
      </c>
      <c r="B27" s="73" t="n">
        <f aca="false">-Financials!I20-Financials!I21-Financials!I22-Financials!I23-Financials!I24</f>
        <v>-226671297.168</v>
      </c>
    </row>
    <row r="29" customFormat="false" ht="15.75" hidden="false" customHeight="false" outlineLevel="0" collapsed="false">
      <c r="A29" s="0" t="s">
        <v>205</v>
      </c>
    </row>
    <row r="30" customFormat="false" ht="15.75" hidden="false" customHeight="false" outlineLevel="0" collapsed="false">
      <c r="A30" s="0" t="s">
        <v>206</v>
      </c>
      <c r="B30" s="73" t="n">
        <f aca="false">+Financials!B7-Financials!M9</f>
        <v>0</v>
      </c>
    </row>
    <row r="31" customFormat="false" ht="15.75" hidden="false" customHeight="false" outlineLevel="0" collapsed="false">
      <c r="A31" s="0" t="s">
        <v>95</v>
      </c>
      <c r="B31" s="73" t="n">
        <f aca="false">0-Financials!M10</f>
        <v>-875000</v>
      </c>
    </row>
    <row r="32" customFormat="false" ht="15.75" hidden="false" customHeight="false" outlineLevel="0" collapsed="false">
      <c r="A32" s="0" t="s">
        <v>102</v>
      </c>
      <c r="B32" s="73" t="n">
        <f aca="false">0-Financials!M12+Financials!I16</f>
        <v>-374904064.62</v>
      </c>
    </row>
    <row r="33" customFormat="false" ht="15.75" hidden="false" customHeight="false" outlineLevel="0" collapsed="false">
      <c r="A33" s="73" t="s">
        <v>107</v>
      </c>
      <c r="B33" s="73" t="n">
        <f aca="false">0-Financials!M13+Financials!I23</f>
        <v>-118425531</v>
      </c>
    </row>
    <row r="34" customFormat="false" ht="15.75" hidden="false" customHeight="false" outlineLevel="0" collapsed="false">
      <c r="A34" s="0" t="s">
        <v>207</v>
      </c>
      <c r="B34" s="73" t="n">
        <f aca="false">-Financials!E7+Financials!P12</f>
        <v>566563431.19973</v>
      </c>
    </row>
    <row r="35" customFormat="false" ht="15.75" hidden="false" customHeight="false" outlineLevel="0" collapsed="false">
      <c r="A35" s="0" t="s">
        <v>208</v>
      </c>
      <c r="B35" s="73" t="n">
        <f aca="false">-Financials!E6+Financials!P9</f>
        <v>-41000000</v>
      </c>
      <c r="E35" s="73"/>
    </row>
    <row r="37" customFormat="false" ht="15.75" hidden="false" customHeight="false" outlineLevel="0" collapsed="false">
      <c r="A37" s="0" t="s">
        <v>196</v>
      </c>
      <c r="B37" s="73" t="n">
        <f aca="false">+B12</f>
        <v>-41000000</v>
      </c>
    </row>
    <row r="38" customFormat="false" ht="15.75" hidden="false" customHeight="false" outlineLevel="0" collapsed="false">
      <c r="A38" s="0" t="s">
        <v>209</v>
      </c>
      <c r="B38" s="73" t="n">
        <f aca="false">+B13</f>
        <v>1100000</v>
      </c>
      <c r="E38" s="73"/>
    </row>
    <row r="40" customFormat="false" ht="16.5" hidden="false" customHeight="false" outlineLevel="0" collapsed="false">
      <c r="A40" s="0" t="s">
        <v>210</v>
      </c>
      <c r="B40" s="101" t="n">
        <f aca="false">SUM(B23:B39)</f>
        <v>38035671.6956029</v>
      </c>
      <c r="D40" s="73" t="n">
        <f aca="false">+B23+B12+B13+B43+B16+B19</f>
        <v>38035671.6956029</v>
      </c>
      <c r="E40" s="73" t="n">
        <f aca="false">+B40-D40</f>
        <v>0</v>
      </c>
    </row>
    <row r="41" customFormat="false" ht="16.5" hidden="false" customHeight="false" outlineLevel="0" collapsed="false"/>
    <row r="42" customFormat="false" ht="16.5" hidden="false" customHeight="false" outlineLevel="0" collapsed="false">
      <c r="A42" s="149" t="s">
        <v>211</v>
      </c>
      <c r="B42" s="149"/>
      <c r="C42" s="149"/>
      <c r="D42" s="149"/>
      <c r="E42" s="149"/>
      <c r="F42" s="149"/>
    </row>
    <row r="43" customFormat="false" ht="15.75" hidden="false" customHeight="false" outlineLevel="0" collapsed="false">
      <c r="A43" s="152" t="s">
        <v>106</v>
      </c>
      <c r="B43" s="153" t="n">
        <f aca="false">+B48+B53+B58+B63+B68+B73</f>
        <v>3386060.58449174</v>
      </c>
    </row>
    <row r="45" customFormat="false" ht="15.75" hidden="false" customHeight="false" outlineLevel="0" collapsed="false">
      <c r="A45" s="0" t="s">
        <v>31</v>
      </c>
      <c r="B45" s="64" t="n">
        <v>36706</v>
      </c>
      <c r="D45" s="0" t="s">
        <v>212</v>
      </c>
      <c r="E45" s="64" t="n">
        <v>36798</v>
      </c>
    </row>
    <row r="46" customFormat="false" ht="15.75" hidden="false" customHeight="false" outlineLevel="0" collapsed="false">
      <c r="A46" s="0" t="s">
        <v>202</v>
      </c>
      <c r="B46" s="73" t="n">
        <v>71001000</v>
      </c>
      <c r="D46" s="0" t="s">
        <v>213</v>
      </c>
      <c r="E46" s="26" t="n">
        <f aca="false">+B47-B45</f>
        <v>92</v>
      </c>
    </row>
    <row r="47" customFormat="false" ht="15.75" hidden="false" customHeight="false" outlineLevel="0" collapsed="false">
      <c r="A47" s="0" t="s">
        <v>31</v>
      </c>
      <c r="B47" s="64" t="n">
        <f aca="false">IF(Summary!$C$5&lt;B45,+B45,IF(Summary!$C$5&gt;E45,+E45,Summary!$C$5))</f>
        <v>36798</v>
      </c>
      <c r="D47" s="0" t="s">
        <v>214</v>
      </c>
      <c r="E47" s="154" t="n">
        <v>0.06775</v>
      </c>
    </row>
    <row r="48" customFormat="false" ht="15.75" hidden="false" customHeight="false" outlineLevel="0" collapsed="false">
      <c r="A48" s="0" t="s">
        <v>215</v>
      </c>
      <c r="B48" s="155" t="n">
        <f aca="false">+B46*(E47+0.0045)/360*E46</f>
        <v>1310954.575</v>
      </c>
    </row>
    <row r="50" customFormat="false" ht="15.75" hidden="false" customHeight="false" outlineLevel="0" collapsed="false">
      <c r="A50" s="0" t="s">
        <v>31</v>
      </c>
      <c r="B50" s="64" t="n">
        <f aca="false">+E45</f>
        <v>36798</v>
      </c>
      <c r="D50" s="0" t="s">
        <v>212</v>
      </c>
      <c r="E50" s="64" t="n">
        <v>36801</v>
      </c>
    </row>
    <row r="51" customFormat="false" ht="15.75" hidden="false" customHeight="false" outlineLevel="0" collapsed="false">
      <c r="A51" s="0" t="s">
        <v>202</v>
      </c>
      <c r="B51" s="73" t="n">
        <f aca="false">+B46+B48</f>
        <v>72311954.575</v>
      </c>
      <c r="D51" s="0" t="s">
        <v>213</v>
      </c>
      <c r="E51" s="26" t="n">
        <f aca="false">+B52-B50</f>
        <v>3</v>
      </c>
    </row>
    <row r="52" customFormat="false" ht="15.75" hidden="false" customHeight="false" outlineLevel="0" collapsed="false">
      <c r="A52" s="0" t="s">
        <v>31</v>
      </c>
      <c r="B52" s="64" t="n">
        <f aca="false">IF(Summary!$C$5&lt;B50,+B50,IF(Summary!$C$5&gt;E50,+E50,Summary!$C$5))</f>
        <v>36801</v>
      </c>
      <c r="D52" s="0" t="s">
        <v>214</v>
      </c>
      <c r="E52" s="154" t="n">
        <v>0.0662063</v>
      </c>
    </row>
    <row r="53" customFormat="false" ht="15.75" hidden="false" customHeight="false" outlineLevel="0" collapsed="false">
      <c r="A53" s="0" t="s">
        <v>215</v>
      </c>
      <c r="B53" s="155" t="n">
        <f aca="false">+B51*(E52+0.0045)/360*E51</f>
        <v>42607.5896147194</v>
      </c>
    </row>
    <row r="55" customFormat="false" ht="15.75" hidden="false" customHeight="false" outlineLevel="0" collapsed="false">
      <c r="A55" s="0" t="s">
        <v>31</v>
      </c>
      <c r="B55" s="64" t="n">
        <f aca="false">+E50</f>
        <v>36801</v>
      </c>
      <c r="D55" s="0" t="s">
        <v>212</v>
      </c>
      <c r="E55" s="64" t="n">
        <v>36889</v>
      </c>
    </row>
    <row r="56" customFormat="false" ht="15.75" hidden="false" customHeight="false" outlineLevel="0" collapsed="false">
      <c r="A56" s="0" t="s">
        <v>202</v>
      </c>
      <c r="B56" s="73" t="n">
        <f aca="false">+B51+B53+B12+B13</f>
        <v>32454562.1646147</v>
      </c>
      <c r="D56" s="0" t="s">
        <v>213</v>
      </c>
      <c r="E56" s="26" t="n">
        <f aca="false">+B57-B55</f>
        <v>88</v>
      </c>
    </row>
    <row r="57" customFormat="false" ht="15.75" hidden="false" customHeight="false" outlineLevel="0" collapsed="false">
      <c r="A57" s="0" t="s">
        <v>31</v>
      </c>
      <c r="B57" s="64" t="n">
        <f aca="false">IF(Summary!$C$5&lt;B55,+B55,IF(Summary!$C$5&gt;E55,+E55,Summary!$C$5))</f>
        <v>36889</v>
      </c>
      <c r="D57" s="0" t="s">
        <v>214</v>
      </c>
      <c r="E57" s="154" t="n">
        <v>0.0662063</v>
      </c>
    </row>
    <row r="58" customFormat="false" ht="15.75" hidden="false" customHeight="false" outlineLevel="0" collapsed="false">
      <c r="A58" s="0" t="s">
        <v>215</v>
      </c>
      <c r="B58" s="155" t="n">
        <f aca="false">+B56*(E57+0.0045)/360*E56</f>
        <v>560936.935479531</v>
      </c>
    </row>
    <row r="60" customFormat="false" ht="15.75" hidden="false" customHeight="false" outlineLevel="0" collapsed="false">
      <c r="A60" s="0" t="s">
        <v>31</v>
      </c>
      <c r="B60" s="64" t="n">
        <f aca="false">+E55</f>
        <v>36889</v>
      </c>
      <c r="D60" s="0" t="s">
        <v>212</v>
      </c>
      <c r="E60" s="64" t="n">
        <v>36979</v>
      </c>
    </row>
    <row r="61" customFormat="false" ht="15.75" hidden="false" customHeight="false" outlineLevel="0" collapsed="false">
      <c r="A61" s="0" t="s">
        <v>202</v>
      </c>
      <c r="B61" s="73" t="n">
        <f aca="false">+B56+B58+B16</f>
        <v>34794665.7667609</v>
      </c>
      <c r="D61" s="0" t="s">
        <v>213</v>
      </c>
      <c r="E61" s="26" t="n">
        <f aca="false">+B62-B60</f>
        <v>90</v>
      </c>
    </row>
    <row r="62" customFormat="false" ht="15.75" hidden="false" customHeight="false" outlineLevel="0" collapsed="false">
      <c r="A62" s="0" t="s">
        <v>31</v>
      </c>
      <c r="B62" s="64" t="n">
        <f aca="false">IF(Summary!$C$5&lt;B60,+B60,IF(Summary!$C$5&gt;E60,+E60,Summary!$C$5))</f>
        <v>36979</v>
      </c>
      <c r="D62" s="0" t="s">
        <v>214</v>
      </c>
      <c r="E62" s="154" t="n">
        <v>0.0640125</v>
      </c>
    </row>
    <row r="63" customFormat="false" ht="15.75" hidden="false" customHeight="false" outlineLevel="0" collapsed="false">
      <c r="A63" s="0" t="s">
        <v>215</v>
      </c>
      <c r="B63" s="155" t="n">
        <f aca="false">+B61*(E62+0.0045)/360*E61</f>
        <v>595967.384586302</v>
      </c>
    </row>
    <row r="65" customFormat="false" ht="15.75" hidden="false" customHeight="false" outlineLevel="0" collapsed="false">
      <c r="A65" s="0" t="s">
        <v>31</v>
      </c>
      <c r="B65" s="64" t="n">
        <f aca="false">+E60</f>
        <v>36979</v>
      </c>
      <c r="D65" s="0" t="s">
        <v>212</v>
      </c>
      <c r="E65" s="64" t="n">
        <v>37071</v>
      </c>
    </row>
    <row r="66" customFormat="false" ht="15.75" hidden="false" customHeight="false" outlineLevel="0" collapsed="false">
      <c r="A66" s="0" t="s">
        <v>202</v>
      </c>
      <c r="B66" s="73" t="n">
        <f aca="false">+B61+B63</f>
        <v>35390633.1513472</v>
      </c>
      <c r="D66" s="0" t="s">
        <v>213</v>
      </c>
      <c r="E66" s="26" t="n">
        <f aca="false">+B67-B65</f>
        <v>92</v>
      </c>
    </row>
    <row r="67" customFormat="false" ht="15.75" hidden="false" customHeight="false" outlineLevel="0" collapsed="false">
      <c r="A67" s="0" t="s">
        <v>31</v>
      </c>
      <c r="B67" s="64" t="n">
        <f aca="false">IF(Summary!$C$5&lt;B65,+B65,IF(Summary!$C$5&gt;E65,+E65,Summary!$C$5))</f>
        <v>37071</v>
      </c>
      <c r="D67" s="0" t="s">
        <v>214</v>
      </c>
      <c r="E67" s="154" t="n">
        <v>0.049025</v>
      </c>
    </row>
    <row r="68" customFormat="false" ht="15.75" hidden="false" customHeight="false" outlineLevel="0" collapsed="false">
      <c r="A68" s="0" t="s">
        <v>215</v>
      </c>
      <c r="B68" s="155" t="n">
        <f aca="false">+B66*(E67+0.0045)/360*E66</f>
        <v>484094.707853275</v>
      </c>
    </row>
    <row r="69" customFormat="false" ht="15.75" hidden="false" customHeight="false" outlineLevel="0" collapsed="false">
      <c r="B69" s="155"/>
    </row>
    <row r="70" customFormat="false" ht="15.75" hidden="false" customHeight="false" outlineLevel="0" collapsed="false">
      <c r="A70" s="0" t="s">
        <v>31</v>
      </c>
      <c r="B70" s="64" t="n">
        <f aca="false">+E65</f>
        <v>37071</v>
      </c>
      <c r="D70" s="0" t="s">
        <v>212</v>
      </c>
      <c r="E70" s="64" t="n">
        <v>38412</v>
      </c>
    </row>
    <row r="71" customFormat="false" ht="15.75" hidden="false" customHeight="false" outlineLevel="0" collapsed="false">
      <c r="A71" s="0" t="s">
        <v>202</v>
      </c>
      <c r="B71" s="73" t="n">
        <f aca="false">+B66+B68+B19</f>
        <v>37644172.3036449</v>
      </c>
      <c r="D71" s="0" t="s">
        <v>213</v>
      </c>
      <c r="E71" s="26" t="n">
        <f aca="false">+B72-B70</f>
        <v>90</v>
      </c>
    </row>
    <row r="72" customFormat="false" ht="15.75" hidden="false" customHeight="false" outlineLevel="0" collapsed="false">
      <c r="A72" s="0" t="s">
        <v>31</v>
      </c>
      <c r="B72" s="64" t="n">
        <f aca="false">IF(Summary!$C$5&lt;B70,+B70,IF(Summary!$C$5&gt;E70,+E70,Summary!$C$5))</f>
        <v>37161</v>
      </c>
      <c r="D72" s="0" t="s">
        <v>214</v>
      </c>
      <c r="E72" s="154" t="n">
        <v>0.0371</v>
      </c>
    </row>
    <row r="73" customFormat="false" ht="15.75" hidden="false" customHeight="false" outlineLevel="0" collapsed="false">
      <c r="A73" s="0" t="s">
        <v>215</v>
      </c>
      <c r="B73" s="155" t="n">
        <f aca="false">+B71*(E72+0.0045)/360*E71</f>
        <v>391499.391957907</v>
      </c>
    </row>
    <row r="74" customFormat="false" ht="15.75" hidden="false" customHeight="false" outlineLevel="0" collapsed="false">
      <c r="B74" s="155"/>
      <c r="E74" s="156"/>
      <c r="F74" s="157"/>
    </row>
    <row r="75" customFormat="false" ht="16.5" hidden="false" customHeight="false" outlineLevel="0" collapsed="false">
      <c r="A75" s="149" t="s">
        <v>216</v>
      </c>
      <c r="B75" s="149"/>
      <c r="C75" s="149"/>
      <c r="D75" s="149"/>
      <c r="E75" s="149"/>
      <c r="F75" s="149"/>
    </row>
    <row r="76" customFormat="false" ht="15.75" hidden="false" customHeight="false" outlineLevel="0" collapsed="false">
      <c r="A76" s="152" t="s">
        <v>120</v>
      </c>
      <c r="B76" s="153" t="n">
        <f aca="false">+B78+B85+E89+E93</f>
        <v>55222064.0517303</v>
      </c>
    </row>
    <row r="77" customFormat="false" ht="15.75" hidden="false" customHeight="false" outlineLevel="0" collapsed="false">
      <c r="A77" s="158"/>
    </row>
    <row r="78" customFormat="false" ht="15.75" hidden="false" customHeight="false" outlineLevel="0" collapsed="false">
      <c r="A78" s="0" t="s">
        <v>217</v>
      </c>
      <c r="B78" s="26" t="n">
        <f aca="false">+Amort!B61</f>
        <v>45759366.8798249</v>
      </c>
      <c r="E78" s="159"/>
      <c r="F78" s="159"/>
    </row>
    <row r="79" customFormat="false" ht="15.75" hidden="false" customHeight="false" outlineLevel="0" collapsed="false">
      <c r="B79" s="26"/>
      <c r="E79" s="159"/>
      <c r="F79" s="160"/>
    </row>
    <row r="80" customFormat="false" ht="15.75" hidden="false" customHeight="false" outlineLevel="0" collapsed="false">
      <c r="A80" s="0" t="s">
        <v>218</v>
      </c>
      <c r="B80" s="73"/>
      <c r="E80" s="161"/>
      <c r="F80" s="162"/>
    </row>
    <row r="81" customFormat="false" ht="15.75" hidden="false" customHeight="false" outlineLevel="0" collapsed="false">
      <c r="A81" s="0" t="s">
        <v>219</v>
      </c>
      <c r="B81" s="64" t="n">
        <v>36791</v>
      </c>
      <c r="E81" s="161"/>
      <c r="F81" s="162"/>
    </row>
    <row r="82" customFormat="false" ht="15.75" hidden="false" customHeight="false" outlineLevel="0" collapsed="false">
      <c r="A82" s="0" t="s">
        <v>220</v>
      </c>
      <c r="B82" s="26" t="n">
        <f aca="false">+B9</f>
        <v>6733589</v>
      </c>
      <c r="E82" s="161"/>
      <c r="F82" s="162"/>
    </row>
    <row r="83" customFormat="false" ht="15.75" hidden="false" customHeight="false" outlineLevel="0" collapsed="false">
      <c r="A83" s="0" t="s">
        <v>31</v>
      </c>
      <c r="B83" s="64" t="n">
        <f aca="false">IF(+Summary!C5&gt;Amort!A43,Amort!A43,Summary!C5)</f>
        <v>36889</v>
      </c>
    </row>
    <row r="84" customFormat="false" ht="15.75" hidden="false" customHeight="false" outlineLevel="0" collapsed="false">
      <c r="A84" s="0" t="s">
        <v>213</v>
      </c>
      <c r="B84" s="26" t="n">
        <f aca="false">+B83-B81</f>
        <v>98</v>
      </c>
    </row>
    <row r="85" customFormat="false" ht="15.75" hidden="false" customHeight="false" outlineLevel="0" collapsed="false">
      <c r="A85" s="0" t="s">
        <v>221</v>
      </c>
      <c r="B85" s="155" t="n">
        <f aca="false">+B82*0.07/360*B84</f>
        <v>128312.279277778</v>
      </c>
    </row>
    <row r="87" customFormat="false" ht="15.75" hidden="false" customHeight="false" outlineLevel="0" collapsed="false">
      <c r="A87" s="0" t="s">
        <v>219</v>
      </c>
      <c r="B87" s="64" t="n">
        <v>36970</v>
      </c>
      <c r="D87" s="0" t="s">
        <v>31</v>
      </c>
      <c r="E87" s="64" t="n">
        <f aca="false">IF(Summary!$C$5&gt;Amort!$A$44,Amort!$A$44,Summary!$C$5)</f>
        <v>37071</v>
      </c>
    </row>
    <row r="88" customFormat="false" ht="15.75" hidden="false" customHeight="false" outlineLevel="0" collapsed="false">
      <c r="A88" s="0" t="s">
        <v>220</v>
      </c>
      <c r="B88" s="26" t="n">
        <f aca="false">(+'Daily Position'!L10+'Daily Position'!L11)*('Daily Position'!G9-'Daily Position'!G8)</f>
        <v>11278182.528</v>
      </c>
      <c r="D88" s="0" t="s">
        <v>213</v>
      </c>
      <c r="E88" s="26" t="n">
        <f aca="false">IF(E87&gt;B87,+E87-B87,0)</f>
        <v>101</v>
      </c>
    </row>
    <row r="89" customFormat="false" ht="15.75" hidden="false" customHeight="false" outlineLevel="0" collapsed="false">
      <c r="A89" s="0" t="s">
        <v>222</v>
      </c>
      <c r="B89" s="64" t="n">
        <v>36966</v>
      </c>
      <c r="D89" s="0" t="s">
        <v>221</v>
      </c>
      <c r="E89" s="155" t="n">
        <f aca="false">+B88*0.07/360*E88</f>
        <v>221490.973536</v>
      </c>
    </row>
    <row r="91" customFormat="false" ht="15.75" hidden="false" customHeight="false" outlineLevel="0" collapsed="false">
      <c r="A91" s="0" t="s">
        <v>219</v>
      </c>
      <c r="B91" s="64" t="n">
        <f aca="false">+[2]Table!$I$2</f>
        <v>36976</v>
      </c>
      <c r="D91" s="0" t="s">
        <v>31</v>
      </c>
      <c r="E91" s="64" t="n">
        <f aca="false">IF(Summary!$C$5&gt;Amort!$A$44,Amort!$A$44,Summary!$C$5)</f>
        <v>37071</v>
      </c>
    </row>
    <row r="92" customFormat="false" ht="15.75" hidden="false" customHeight="false" outlineLevel="0" collapsed="false">
      <c r="A92" s="0" t="s">
        <v>220</v>
      </c>
      <c r="B92" s="26" t="n">
        <f aca="false">IF([2]Table!$C$4=1,[2]Table!$H$4,0)+Shares!D39+'Jedi Shares'!B9</f>
        <v>493329595.62</v>
      </c>
      <c r="D92" s="0" t="s">
        <v>213</v>
      </c>
      <c r="E92" s="26" t="n">
        <f aca="false">IF(E91&gt;B91,+E91-B91,0)</f>
        <v>95</v>
      </c>
    </row>
    <row r="93" customFormat="false" ht="15.75" hidden="false" customHeight="false" outlineLevel="0" collapsed="false">
      <c r="A93" s="0" t="s">
        <v>223</v>
      </c>
      <c r="B93" s="64" t="n">
        <f aca="false">+B91</f>
        <v>36976</v>
      </c>
      <c r="D93" s="0" t="s">
        <v>221</v>
      </c>
      <c r="E93" s="155" t="n">
        <f aca="false">+B92*0.07/360*E92</f>
        <v>9112893.91909167</v>
      </c>
    </row>
    <row r="101" customFormat="false" ht="16.5" hidden="false" customHeight="false" outlineLevel="0" collapsed="false">
      <c r="A101" s="149" t="s">
        <v>224</v>
      </c>
      <c r="B101" s="149"/>
      <c r="C101" s="149"/>
      <c r="D101" s="149"/>
      <c r="E101" s="149"/>
      <c r="F101" s="149"/>
    </row>
    <row r="103" customFormat="false" ht="15.75" hidden="false" customHeight="false" outlineLevel="0" collapsed="false">
      <c r="A103" s="0" t="s">
        <v>39</v>
      </c>
      <c r="B103" s="64" t="n">
        <f aca="false">+Summary!C5</f>
        <v>37161</v>
      </c>
    </row>
    <row r="104" customFormat="false" ht="15.75" hidden="false" customHeight="false" outlineLevel="0" collapsed="false">
      <c r="A104" s="0" t="s">
        <v>225</v>
      </c>
      <c r="B104" s="64" t="n">
        <v>36706</v>
      </c>
      <c r="D104" s="15" t="n">
        <f aca="false">IF(B103&gt;(B104-1),30000000,0)</f>
        <v>30000000</v>
      </c>
    </row>
    <row r="105" customFormat="false" ht="15.75" hidden="false" customHeight="false" outlineLevel="0" collapsed="false">
      <c r="A105" s="0" t="s">
        <v>226</v>
      </c>
      <c r="B105" s="64" t="n">
        <v>36791</v>
      </c>
      <c r="D105" s="15" t="n">
        <f aca="false">IF(B103&gt;(B105-1),1100000,0)</f>
        <v>1100000</v>
      </c>
    </row>
    <row r="106" customFormat="false" ht="18" hidden="false" customHeight="false" outlineLevel="0" collapsed="false">
      <c r="A106" s="0" t="s">
        <v>227</v>
      </c>
      <c r="B106" s="64" t="n">
        <f aca="false">+Summary!C5</f>
        <v>37161</v>
      </c>
      <c r="D106" s="163" t="n">
        <f aca="false">IF(B106&gt;B105,+(+B106-B105)/365*0.12*D105,0)</f>
        <v>133808.219178082</v>
      </c>
    </row>
    <row r="107" customFormat="false" ht="15.75" hidden="false" customHeight="false" outlineLevel="0" collapsed="false">
      <c r="A107" s="0" t="s">
        <v>228</v>
      </c>
      <c r="D107" s="50" t="n">
        <f aca="false">SUM(D104:D106)</f>
        <v>31233808.2191781</v>
      </c>
    </row>
  </sheetData>
  <mergeCells count="6">
    <mergeCell ref="A1:B1"/>
    <mergeCell ref="A21:B21"/>
    <mergeCell ref="A42:F42"/>
    <mergeCell ref="A75:F75"/>
    <mergeCell ref="E78:F78"/>
    <mergeCell ref="A101:F10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3" activeCellId="0" sqref="B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26" width="16.49"/>
    <col collapsed="false" customWidth="true" hidden="false" outlineLevel="0" max="2" min="2" style="26" width="16.62"/>
    <col collapsed="false" customWidth="false" hidden="false" outlineLevel="0" max="257" min="3" style="26" width="8.99"/>
  </cols>
  <sheetData>
    <row r="1" customFormat="false" ht="15.75" hidden="false" customHeight="false" outlineLevel="0" collapsed="false">
      <c r="A1" s="26" t="s">
        <v>133</v>
      </c>
      <c r="B1" s="164" t="n">
        <v>36976</v>
      </c>
    </row>
    <row r="3" customFormat="false" ht="15.75" hidden="false" customHeight="false" outlineLevel="0" collapsed="false">
      <c r="A3" s="26" t="s">
        <v>229</v>
      </c>
      <c r="B3" s="165" t="n">
        <f aca="false">IF(Summary!C5&lt;'Jedi Shares'!B1,0,7919393)</f>
        <v>7919393</v>
      </c>
    </row>
    <row r="4" customFormat="false" ht="15.75" hidden="false" customHeight="false" outlineLevel="0" collapsed="false">
      <c r="A4" s="26" t="s">
        <v>230</v>
      </c>
      <c r="B4" s="166" t="n">
        <v>61.48</v>
      </c>
    </row>
    <row r="6" customFormat="false" ht="15.75" hidden="false" customHeight="false" outlineLevel="0" collapsed="false">
      <c r="A6" s="26" t="s">
        <v>231</v>
      </c>
      <c r="B6" s="26" t="n">
        <f aca="false">ROUND(+B3*B4,2)</f>
        <v>486884281.64</v>
      </c>
    </row>
    <row r="7" customFormat="false" ht="15.75" hidden="false" customHeight="false" outlineLevel="0" collapsed="false">
      <c r="A7" s="26" t="s">
        <v>232</v>
      </c>
      <c r="B7" s="167" t="n">
        <f aca="false">ROUND(B3*D7-B6,2)</f>
        <v>-111980217.02</v>
      </c>
      <c r="C7" s="168" t="n">
        <v>0.23</v>
      </c>
      <c r="D7" s="65" t="n">
        <f aca="false">ROUND(B4*(1-C7),2)</f>
        <v>47.34</v>
      </c>
    </row>
    <row r="9" customFormat="false" ht="16.5" hidden="false" customHeight="false" outlineLevel="0" collapsed="false">
      <c r="A9" s="26" t="s">
        <v>6</v>
      </c>
      <c r="B9" s="169" t="n">
        <f aca="false">+B6+B7</f>
        <v>374904064.62</v>
      </c>
    </row>
    <row r="10" customFormat="false" ht="16.5" hidden="false" customHeight="false" outlineLevel="0" collapsed="false"/>
    <row r="11" customFormat="false" ht="16.5" hidden="false" customHeight="false" outlineLevel="0" collapsed="false">
      <c r="A11" s="26" t="s">
        <v>233</v>
      </c>
      <c r="B11" s="170" t="n">
        <v>493326421.975311</v>
      </c>
    </row>
    <row r="12" customFormat="false" ht="16.5" hidden="false" customHeight="false" outlineLevel="0" collapsed="false"/>
    <row r="14" customFormat="false" ht="15.75" hidden="false" customHeight="false" outlineLevel="0" collapsed="false">
      <c r="A14" s="26" t="s">
        <v>31</v>
      </c>
      <c r="B14" s="171" t="n">
        <v>36976</v>
      </c>
    </row>
    <row r="15" customFormat="false" ht="15.75" hidden="false" customHeight="false" outlineLevel="0" collapsed="false">
      <c r="A15" s="26" t="s">
        <v>234</v>
      </c>
    </row>
    <row r="17" customFormat="false" ht="15.75" hidden="false" customHeight="false" outlineLevel="0" collapsed="false">
      <c r="A17" s="26" t="s">
        <v>87</v>
      </c>
      <c r="B17" s="26" t="n">
        <f aca="false">+B9+B43</f>
        <v>389330485.336365</v>
      </c>
    </row>
    <row r="18" customFormat="false" ht="15.75" hidden="false" customHeight="false" outlineLevel="0" collapsed="false">
      <c r="A18" s="26" t="s">
        <v>235</v>
      </c>
      <c r="B18" s="26" t="n">
        <f aca="false">-B9</f>
        <v>-374904064.62</v>
      </c>
    </row>
    <row r="19" customFormat="false" ht="15.75" hidden="false" customHeight="false" outlineLevel="0" collapsed="false">
      <c r="A19" s="26" t="s">
        <v>236</v>
      </c>
      <c r="B19" s="167" t="n">
        <f aca="false">-B43</f>
        <v>-14426420.7163649</v>
      </c>
    </row>
    <row r="20" customFormat="false" ht="15.75" hidden="false" customHeight="false" outlineLevel="0" collapsed="false">
      <c r="B20" s="26" t="n">
        <f aca="false">SUM(B17:B19)</f>
        <v>0</v>
      </c>
      <c r="C20" s="26" t="s">
        <v>237</v>
      </c>
    </row>
    <row r="23" customFormat="false" ht="15.75" hidden="false" customHeight="false" outlineLevel="0" collapsed="false">
      <c r="A23" s="26" t="s">
        <v>238</v>
      </c>
    </row>
    <row r="24" customFormat="false" ht="15.75" hidden="false" customHeight="false" outlineLevel="0" collapsed="false">
      <c r="A24" s="26" t="s">
        <v>239</v>
      </c>
      <c r="B24" s="26" t="n">
        <f aca="false">+B43</f>
        <v>14426420.7163649</v>
      </c>
    </row>
    <row r="27" customFormat="false" ht="15.75" hidden="false" customHeight="false" outlineLevel="0" collapsed="false">
      <c r="A27" s="26" t="s">
        <v>13</v>
      </c>
    </row>
    <row r="28" customFormat="false" ht="15.75" hidden="false" customHeight="false" outlineLevel="0" collapsed="false">
      <c r="A28" s="26" t="s">
        <v>87</v>
      </c>
      <c r="B28" s="26" t="n">
        <f aca="false">+B6</f>
        <v>486884281.64</v>
      </c>
      <c r="C28" s="25" t="n">
        <f aca="false">+B4</f>
        <v>61.48</v>
      </c>
    </row>
    <row r="29" customFormat="false" ht="15.75" hidden="false" customHeight="false" outlineLevel="0" collapsed="false">
      <c r="A29" s="26" t="s">
        <v>240</v>
      </c>
      <c r="B29" s="167" t="n">
        <f aca="false">(+C29-C28)*B3</f>
        <v>-286919608.39</v>
      </c>
      <c r="C29" s="25" t="n">
        <f aca="false">Financials!I5</f>
        <v>25.25</v>
      </c>
    </row>
    <row r="30" customFormat="false" ht="15.75" hidden="false" customHeight="false" outlineLevel="0" collapsed="false">
      <c r="A30" s="26" t="s">
        <v>6</v>
      </c>
      <c r="B30" s="26" t="n">
        <f aca="false">+B28+B29</f>
        <v>199964673.25</v>
      </c>
      <c r="C30" s="25" t="n">
        <f aca="false">+B30/B3</f>
        <v>25.25</v>
      </c>
    </row>
    <row r="31" customFormat="false" ht="15.75" hidden="false" customHeight="false" outlineLevel="0" collapsed="false">
      <c r="A31" s="26" t="s">
        <v>241</v>
      </c>
      <c r="B31" s="167" t="n">
        <f aca="false">+B18</f>
        <v>-374904064.62</v>
      </c>
      <c r="C31" s="25"/>
    </row>
    <row r="32" customFormat="false" ht="15.75" hidden="false" customHeight="false" outlineLevel="0" collapsed="false">
      <c r="A32" s="26" t="s">
        <v>242</v>
      </c>
      <c r="B32" s="26" t="n">
        <f aca="false">+B30+B31</f>
        <v>-174939391.37</v>
      </c>
      <c r="C32" s="25"/>
    </row>
    <row r="33" customFormat="false" ht="15.75" hidden="false" customHeight="false" outlineLevel="0" collapsed="false">
      <c r="C33" s="25"/>
    </row>
    <row r="36" customFormat="false" ht="15.75" hidden="false" customHeight="false" outlineLevel="0" collapsed="false">
      <c r="A36" s="26" t="s">
        <v>243</v>
      </c>
      <c r="B36" s="26" t="n">
        <f aca="false">-B7</f>
        <v>111980217.02</v>
      </c>
    </row>
    <row r="37" customFormat="false" ht="15.75" hidden="false" customHeight="false" outlineLevel="0" collapsed="false">
      <c r="A37" s="26" t="s">
        <v>244</v>
      </c>
      <c r="B37" s="171" t="n">
        <v>38412</v>
      </c>
    </row>
    <row r="38" customFormat="false" ht="15.75" hidden="false" customHeight="false" outlineLevel="0" collapsed="false">
      <c r="A38" s="26" t="s">
        <v>245</v>
      </c>
      <c r="B38" s="26" t="n">
        <f aca="false">+B37-B14</f>
        <v>1436</v>
      </c>
    </row>
    <row r="40" customFormat="false" ht="15.75" hidden="false" customHeight="false" outlineLevel="0" collapsed="false">
      <c r="A40" s="26" t="s">
        <v>246</v>
      </c>
      <c r="B40" s="172" t="n">
        <f aca="false">+Summary!C5</f>
        <v>37161</v>
      </c>
    </row>
    <row r="41" customFormat="false" ht="15.75" hidden="false" customHeight="false" outlineLevel="0" collapsed="false">
      <c r="A41" s="26" t="s">
        <v>247</v>
      </c>
      <c r="B41" s="26" t="n">
        <f aca="false">IF(C41&gt;B38,B38,C41)</f>
        <v>185</v>
      </c>
      <c r="C41" s="26" t="n">
        <f aca="false">+B40-B14</f>
        <v>185</v>
      </c>
    </row>
    <row r="43" customFormat="false" ht="15.75" hidden="false" customHeight="false" outlineLevel="0" collapsed="false">
      <c r="A43" s="26" t="s">
        <v>248</v>
      </c>
      <c r="B43" s="26" t="n">
        <f aca="false">+B36/B38*B41</f>
        <v>14426420.7163649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73" width="17.12"/>
    <col collapsed="false" customWidth="true" hidden="false" outlineLevel="0" max="2" min="2" style="73" width="13.11"/>
    <col collapsed="false" customWidth="true" hidden="false" outlineLevel="0" max="3" min="3" style="73" width="13.24"/>
    <col collapsed="false" customWidth="true" hidden="false" outlineLevel="0" max="4" min="4" style="73" width="15.49"/>
    <col collapsed="false" customWidth="true" hidden="false" outlineLevel="0" max="5" min="5" style="73" width="12.12"/>
    <col collapsed="false" customWidth="true" hidden="false" outlineLevel="0" max="6" min="6" style="73" width="11.49"/>
    <col collapsed="false" customWidth="true" hidden="false" outlineLevel="0" max="7" min="7" style="73" width="13.24"/>
    <col collapsed="false" customWidth="true" hidden="false" outlineLevel="0" max="8" min="8" style="73" width="11.49"/>
    <col collapsed="false" customWidth="true" hidden="false" outlineLevel="0" max="9" min="9" style="73" width="9.99"/>
    <col collapsed="false" customWidth="false" hidden="false" outlineLevel="0" max="257" min="10" style="73" width="8.99"/>
  </cols>
  <sheetData>
    <row r="1" customFormat="false" ht="15.75" hidden="false" customHeight="false" outlineLevel="0" collapsed="false">
      <c r="A1" s="76" t="s">
        <v>249</v>
      </c>
      <c r="B1" s="76"/>
      <c r="G1" s="150"/>
      <c r="H1" s="150"/>
    </row>
    <row r="2" customFormat="false" ht="15.75" hidden="false" customHeight="false" outlineLevel="0" collapsed="false">
      <c r="B2" s="173" t="s">
        <v>250</v>
      </c>
    </row>
    <row r="3" customFormat="false" ht="15.75" hidden="false" customHeight="false" outlineLevel="0" collapsed="false">
      <c r="A3" s="73" t="s">
        <v>251</v>
      </c>
      <c r="B3" s="174" t="n">
        <v>50000000</v>
      </c>
    </row>
    <row r="4" customFormat="false" ht="15.75" hidden="false" customHeight="false" outlineLevel="0" collapsed="false">
      <c r="A4" s="73" t="s">
        <v>252</v>
      </c>
      <c r="B4" s="175" t="n">
        <v>0.07</v>
      </c>
    </row>
    <row r="5" customFormat="false" ht="15.75" hidden="false" customHeight="false" outlineLevel="0" collapsed="false">
      <c r="A5" s="73" t="s">
        <v>253</v>
      </c>
      <c r="B5" s="176" t="n">
        <f aca="false">5*12</f>
        <v>60</v>
      </c>
    </row>
    <row r="6" customFormat="false" ht="15.75" hidden="false" customHeight="false" outlineLevel="0" collapsed="false">
      <c r="A6" s="73" t="s">
        <v>254</v>
      </c>
      <c r="B6" s="177" t="n">
        <v>2</v>
      </c>
    </row>
    <row r="7" customFormat="false" ht="15.75" hidden="false" customHeight="false" outlineLevel="0" collapsed="false">
      <c r="A7" s="73" t="s">
        <v>255</v>
      </c>
      <c r="B7" s="73" t="n">
        <v>0</v>
      </c>
    </row>
    <row r="9" customFormat="false" ht="25.5" hidden="false" customHeight="false" outlineLevel="0" collapsed="false">
      <c r="A9" s="178"/>
      <c r="B9" s="179" t="s">
        <v>256</v>
      </c>
      <c r="C9" s="180" t="s">
        <v>202</v>
      </c>
      <c r="D9" s="180" t="s">
        <v>255</v>
      </c>
      <c r="E9" s="180" t="s">
        <v>251</v>
      </c>
      <c r="F9" s="180" t="s">
        <v>215</v>
      </c>
      <c r="G9" s="180" t="s">
        <v>210</v>
      </c>
      <c r="H9" s="180" t="s">
        <v>257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  <c r="IW9" s="178"/>
    </row>
    <row r="10" customFormat="false" ht="15.75" hidden="false" customHeight="false" outlineLevel="0" collapsed="false">
      <c r="A10" s="64" t="n">
        <v>36706</v>
      </c>
      <c r="B10" s="181" t="n">
        <v>0</v>
      </c>
      <c r="C10" s="73" t="n">
        <f aca="false">B3</f>
        <v>50000000</v>
      </c>
      <c r="D10" s="73" t="n">
        <v>0</v>
      </c>
      <c r="E10" s="73" t="n">
        <f aca="false">D10-F10</f>
        <v>0</v>
      </c>
      <c r="F10" s="73" t="n">
        <v>0</v>
      </c>
      <c r="G10" s="73" t="n">
        <f aca="false">C10-E10</f>
        <v>50000000</v>
      </c>
      <c r="H10" s="73" t="n">
        <f aca="false">+F10</f>
        <v>0</v>
      </c>
      <c r="I10" s="64" t="n">
        <f aca="false">+A10</f>
        <v>36706</v>
      </c>
    </row>
    <row r="11" customFormat="false" ht="15.75" hidden="false" customHeight="false" outlineLevel="0" collapsed="false">
      <c r="A11" s="64" t="n">
        <v>36889</v>
      </c>
      <c r="B11" s="181" t="n">
        <f aca="false">+B10+1</f>
        <v>1</v>
      </c>
      <c r="C11" s="73" t="n">
        <f aca="false">G10</f>
        <v>50000000</v>
      </c>
      <c r="D11" s="73" t="n">
        <f aca="false">+F11</f>
        <v>1779166.66666667</v>
      </c>
      <c r="E11" s="73" t="n">
        <f aca="false">D11-F11</f>
        <v>0</v>
      </c>
      <c r="F11" s="73" t="n">
        <f aca="false">C11*$B$4/360*(A11-A10)</f>
        <v>1779166.66666667</v>
      </c>
      <c r="G11" s="73" t="n">
        <f aca="false">C11-E11</f>
        <v>50000000</v>
      </c>
      <c r="H11" s="73" t="n">
        <f aca="false">+H10+F11</f>
        <v>1779166.66666667</v>
      </c>
      <c r="I11" s="64" t="n">
        <f aca="false">+A11</f>
        <v>36889</v>
      </c>
    </row>
    <row r="12" customFormat="false" ht="15.75" hidden="false" customHeight="false" outlineLevel="0" collapsed="false">
      <c r="A12" s="64" t="n">
        <v>37071</v>
      </c>
      <c r="B12" s="181" t="n">
        <f aca="false">+B11+1</f>
        <v>2</v>
      </c>
      <c r="C12" s="73" t="n">
        <f aca="false">G11</f>
        <v>50000000</v>
      </c>
      <c r="D12" s="73" t="n">
        <f aca="false">+F12</f>
        <v>1769444.44444444</v>
      </c>
      <c r="E12" s="73" t="n">
        <f aca="false">D12-F12</f>
        <v>0</v>
      </c>
      <c r="F12" s="73" t="n">
        <f aca="false">C12*$B$4/360*(A12-A11)</f>
        <v>1769444.44444444</v>
      </c>
      <c r="G12" s="73" t="n">
        <f aca="false">C12-E12</f>
        <v>50000000</v>
      </c>
      <c r="H12" s="73" t="n">
        <f aca="false">+H11+F12</f>
        <v>3548611.11111111</v>
      </c>
      <c r="I12" s="64" t="n">
        <f aca="false">+A12</f>
        <v>37071</v>
      </c>
    </row>
    <row r="13" customFormat="false" ht="15.75" hidden="false" customHeight="false" outlineLevel="0" collapsed="false">
      <c r="A13" s="64" t="n">
        <v>37256</v>
      </c>
      <c r="B13" s="181" t="n">
        <f aca="false">+B12+1</f>
        <v>3</v>
      </c>
      <c r="C13" s="73" t="n">
        <f aca="false">G12</f>
        <v>50000000</v>
      </c>
      <c r="D13" s="73" t="n">
        <f aca="false">+F13</f>
        <v>1798611.11111111</v>
      </c>
      <c r="E13" s="73" t="n">
        <f aca="false">D13-F13</f>
        <v>0</v>
      </c>
      <c r="F13" s="73" t="n">
        <f aca="false">C13*$B$4/360*(A13-A12)</f>
        <v>1798611.11111111</v>
      </c>
      <c r="G13" s="73" t="n">
        <f aca="false">C13-E13</f>
        <v>50000000</v>
      </c>
      <c r="H13" s="73" t="n">
        <f aca="false">+H12+F13</f>
        <v>5347222.22222222</v>
      </c>
      <c r="I13" s="64" t="n">
        <f aca="false">+A13</f>
        <v>37256</v>
      </c>
    </row>
    <row r="14" customFormat="false" ht="15.75" hidden="false" customHeight="false" outlineLevel="0" collapsed="false">
      <c r="A14" s="64" t="n">
        <v>37436</v>
      </c>
      <c r="B14" s="181" t="n">
        <f aca="false">+B13+1</f>
        <v>4</v>
      </c>
      <c r="C14" s="73" t="n">
        <f aca="false">G13</f>
        <v>50000000</v>
      </c>
      <c r="D14" s="73" t="n">
        <f aca="false">+F14</f>
        <v>1750000</v>
      </c>
      <c r="E14" s="73" t="n">
        <f aca="false">D14-F14</f>
        <v>0</v>
      </c>
      <c r="F14" s="73" t="n">
        <f aca="false">C14*$B$4/360*(A14-A13)</f>
        <v>1750000</v>
      </c>
      <c r="G14" s="73" t="n">
        <f aca="false">C14-E14</f>
        <v>50000000</v>
      </c>
      <c r="H14" s="73" t="n">
        <f aca="false">+H13+F14</f>
        <v>7097222.22222222</v>
      </c>
      <c r="I14" s="64" t="n">
        <f aca="false">+A14</f>
        <v>37436</v>
      </c>
    </row>
    <row r="15" customFormat="false" ht="15.75" hidden="false" customHeight="false" outlineLevel="0" collapsed="false">
      <c r="A15" s="64" t="n">
        <v>37619</v>
      </c>
      <c r="B15" s="181" t="n">
        <f aca="false">+B14+1</f>
        <v>5</v>
      </c>
      <c r="C15" s="73" t="n">
        <f aca="false">G14</f>
        <v>50000000</v>
      </c>
      <c r="D15" s="73" t="n">
        <f aca="false">+F15</f>
        <v>1779166.66666667</v>
      </c>
      <c r="E15" s="73" t="n">
        <f aca="false">D15-F15</f>
        <v>0</v>
      </c>
      <c r="F15" s="73" t="n">
        <f aca="false">C15*$B$4/360*(A15-A14)</f>
        <v>1779166.66666667</v>
      </c>
      <c r="G15" s="73" t="n">
        <f aca="false">C15-E15</f>
        <v>50000000</v>
      </c>
      <c r="H15" s="73" t="n">
        <f aca="false">+H14+F15</f>
        <v>8876388.88888889</v>
      </c>
      <c r="I15" s="64" t="n">
        <f aca="false">+A15</f>
        <v>37619</v>
      </c>
    </row>
    <row r="16" customFormat="false" ht="15.75" hidden="false" customHeight="false" outlineLevel="0" collapsed="false">
      <c r="A16" s="64" t="n">
        <v>37801</v>
      </c>
      <c r="B16" s="181" t="n">
        <f aca="false">+B15+1</f>
        <v>6</v>
      </c>
      <c r="C16" s="73" t="n">
        <f aca="false">G15</f>
        <v>50000000</v>
      </c>
      <c r="D16" s="73" t="n">
        <f aca="false">+F16</f>
        <v>1769444.44444444</v>
      </c>
      <c r="E16" s="73" t="n">
        <f aca="false">D16-F16</f>
        <v>0</v>
      </c>
      <c r="F16" s="73" t="n">
        <f aca="false">C16*$B$4/360*(A16-A15)</f>
        <v>1769444.44444444</v>
      </c>
      <c r="G16" s="73" t="n">
        <f aca="false">C16-E16</f>
        <v>50000000</v>
      </c>
      <c r="H16" s="73" t="n">
        <f aca="false">+H15+F16</f>
        <v>10645833.3333333</v>
      </c>
      <c r="I16" s="64" t="n">
        <f aca="false">+A16</f>
        <v>37801</v>
      </c>
    </row>
    <row r="17" customFormat="false" ht="15.75" hidden="false" customHeight="false" outlineLevel="0" collapsed="false">
      <c r="A17" s="64" t="n">
        <v>37984</v>
      </c>
      <c r="B17" s="181" t="n">
        <f aca="false">+B16+1</f>
        <v>7</v>
      </c>
      <c r="C17" s="73" t="n">
        <f aca="false">G16</f>
        <v>50000000</v>
      </c>
      <c r="D17" s="73" t="n">
        <f aca="false">+F17</f>
        <v>1779166.66666667</v>
      </c>
      <c r="E17" s="73" t="n">
        <f aca="false">D17-F17</f>
        <v>0</v>
      </c>
      <c r="F17" s="73" t="n">
        <f aca="false">C17*$B$4/360*(A17-A16)</f>
        <v>1779166.66666667</v>
      </c>
      <c r="G17" s="73" t="n">
        <f aca="false">C17-E17</f>
        <v>50000000</v>
      </c>
      <c r="H17" s="73" t="n">
        <f aca="false">+H16+F17</f>
        <v>12425000</v>
      </c>
      <c r="I17" s="64" t="n">
        <f aca="false">+A17</f>
        <v>37984</v>
      </c>
    </row>
    <row r="18" customFormat="false" ht="15.75" hidden="false" customHeight="false" outlineLevel="0" collapsed="false">
      <c r="A18" s="64" t="n">
        <v>38167</v>
      </c>
      <c r="B18" s="181" t="n">
        <f aca="false">+B17+1</f>
        <v>8</v>
      </c>
      <c r="C18" s="73" t="n">
        <f aca="false">G17</f>
        <v>50000000</v>
      </c>
      <c r="D18" s="73" t="n">
        <f aca="false">+F18</f>
        <v>1779166.66666667</v>
      </c>
      <c r="E18" s="73" t="n">
        <f aca="false">D18-F18</f>
        <v>0</v>
      </c>
      <c r="F18" s="73" t="n">
        <f aca="false">C18*$B$4/360*(A18-A17)</f>
        <v>1779166.66666667</v>
      </c>
      <c r="G18" s="73" t="n">
        <f aca="false">C18-E18</f>
        <v>50000000</v>
      </c>
      <c r="H18" s="73" t="n">
        <f aca="false">+H17+F18</f>
        <v>14204166.6666667</v>
      </c>
      <c r="I18" s="64" t="n">
        <f aca="false">+A18</f>
        <v>38167</v>
      </c>
    </row>
    <row r="19" customFormat="false" ht="15.75" hidden="false" customHeight="false" outlineLevel="0" collapsed="false">
      <c r="A19" s="64" t="n">
        <v>38350</v>
      </c>
      <c r="B19" s="181" t="n">
        <f aca="false">+B18+1</f>
        <v>9</v>
      </c>
      <c r="C19" s="73" t="n">
        <f aca="false">G18</f>
        <v>50000000</v>
      </c>
      <c r="D19" s="73" t="n">
        <f aca="false">+F19</f>
        <v>1779166.66666667</v>
      </c>
      <c r="E19" s="73" t="n">
        <f aca="false">D19-F19</f>
        <v>0</v>
      </c>
      <c r="F19" s="73" t="n">
        <f aca="false">C19*$B$4/360*(A19-A18)</f>
        <v>1779166.66666667</v>
      </c>
      <c r="G19" s="73" t="n">
        <f aca="false">C19-E19</f>
        <v>50000000</v>
      </c>
      <c r="H19" s="73" t="n">
        <f aca="false">+H18+F19</f>
        <v>15983333.3333333</v>
      </c>
      <c r="I19" s="64" t="n">
        <f aca="false">+A19</f>
        <v>38350</v>
      </c>
    </row>
    <row r="20" customFormat="false" ht="15.75" hidden="false" customHeight="false" outlineLevel="0" collapsed="false">
      <c r="A20" s="64" t="n">
        <v>38532</v>
      </c>
      <c r="B20" s="181" t="n">
        <f aca="false">+B19+1</f>
        <v>10</v>
      </c>
      <c r="C20" s="73" t="n">
        <f aca="false">G19</f>
        <v>50000000</v>
      </c>
      <c r="D20" s="73" t="n">
        <f aca="false">+F20</f>
        <v>1769444.44444444</v>
      </c>
      <c r="E20" s="73" t="n">
        <f aca="false">D20-F20</f>
        <v>0</v>
      </c>
      <c r="F20" s="73" t="n">
        <f aca="false">C20*$B$4/360*(A20-A19)</f>
        <v>1769444.44444444</v>
      </c>
      <c r="G20" s="73" t="n">
        <f aca="false">C20-E20</f>
        <v>50000000</v>
      </c>
      <c r="H20" s="73" t="n">
        <f aca="false">+H19+F20</f>
        <v>17752777.7777778</v>
      </c>
      <c r="I20" s="64" t="n">
        <f aca="false">+A20</f>
        <v>38532</v>
      </c>
    </row>
    <row r="21" customFormat="false" ht="16.5" hidden="false" customHeight="false" outlineLevel="0" collapsed="false">
      <c r="A21" s="64"/>
      <c r="B21" s="64"/>
      <c r="D21" s="101" t="n">
        <f aca="false">SUM(D11:D20)</f>
        <v>17752777.7777778</v>
      </c>
      <c r="E21" s="101" t="n">
        <f aca="false">SUM(E11:E20)</f>
        <v>0</v>
      </c>
      <c r="F21" s="101" t="n">
        <f aca="false">SUM(F11:F20)</f>
        <v>17752777.7777778</v>
      </c>
    </row>
    <row r="22" customFormat="false" ht="16.5" hidden="false" customHeight="false" outlineLevel="0" collapsed="false">
      <c r="A22" s="182"/>
      <c r="B22" s="182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  <c r="IU22" s="125"/>
      <c r="IV22" s="125"/>
      <c r="IW22" s="125"/>
    </row>
    <row r="23" customFormat="false" ht="15.75" hidden="false" customHeight="false" outlineLevel="0" collapsed="false">
      <c r="A23" s="183" t="n">
        <f aca="false">+Summary!C5</f>
        <v>37161</v>
      </c>
      <c r="B23" s="183"/>
      <c r="C23" s="125"/>
      <c r="D23" s="125"/>
      <c r="E23" s="125" t="s">
        <v>256</v>
      </c>
      <c r="F23" s="125" t="n">
        <f aca="false">VLOOKUP(+A23,Amort,2)</f>
        <v>2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  <c r="EK23" s="125"/>
      <c r="EL23" s="125"/>
      <c r="EM23" s="125"/>
      <c r="EN23" s="125"/>
      <c r="EO23" s="125"/>
      <c r="EP23" s="125"/>
      <c r="EQ23" s="125"/>
      <c r="ER23" s="125"/>
      <c r="ES23" s="125"/>
      <c r="ET23" s="125"/>
      <c r="EU23" s="125"/>
      <c r="EV23" s="125"/>
      <c r="EW23" s="125"/>
      <c r="EX23" s="125"/>
      <c r="EY23" s="125"/>
      <c r="EZ23" s="125"/>
      <c r="FA23" s="125"/>
      <c r="FB23" s="125"/>
      <c r="FC23" s="125"/>
      <c r="FD23" s="125"/>
      <c r="FE23" s="125"/>
      <c r="FF23" s="125"/>
      <c r="FG23" s="125"/>
      <c r="FH23" s="125"/>
      <c r="FI23" s="125"/>
      <c r="FJ23" s="125"/>
      <c r="FK23" s="125"/>
      <c r="FL23" s="125"/>
      <c r="FM23" s="125"/>
      <c r="FN23" s="125"/>
      <c r="FO23" s="125"/>
      <c r="FP23" s="125"/>
      <c r="FQ23" s="125"/>
      <c r="FR23" s="125"/>
      <c r="FS23" s="125"/>
      <c r="FT23" s="125"/>
      <c r="FU23" s="125"/>
      <c r="FV23" s="125"/>
      <c r="FW23" s="125"/>
      <c r="FX23" s="125"/>
      <c r="FY23" s="125"/>
      <c r="FZ23" s="125"/>
      <c r="GA23" s="125"/>
      <c r="GB23" s="125"/>
      <c r="GC23" s="125"/>
      <c r="GD23" s="125"/>
      <c r="GE23" s="125"/>
      <c r="GF23" s="125"/>
      <c r="GG23" s="125"/>
      <c r="GH23" s="125"/>
      <c r="GI23" s="125"/>
      <c r="GJ23" s="125"/>
      <c r="GK23" s="125"/>
      <c r="GL23" s="125"/>
      <c r="GM23" s="125"/>
      <c r="GN23" s="125"/>
      <c r="GO23" s="125"/>
      <c r="GP23" s="125"/>
      <c r="GQ23" s="125"/>
      <c r="GR23" s="125"/>
      <c r="GS23" s="125"/>
      <c r="GT23" s="125"/>
      <c r="GU23" s="125"/>
      <c r="GV23" s="125"/>
      <c r="GW23" s="125"/>
      <c r="GX23" s="125"/>
      <c r="GY23" s="125"/>
      <c r="GZ23" s="125"/>
      <c r="HA23" s="125"/>
      <c r="HB23" s="125"/>
      <c r="HC23" s="125"/>
      <c r="HD23" s="125"/>
      <c r="HE23" s="125"/>
      <c r="HF23" s="125"/>
      <c r="HG23" s="125"/>
      <c r="HH23" s="125"/>
      <c r="HI23" s="125"/>
      <c r="HJ23" s="125"/>
      <c r="HK23" s="125"/>
      <c r="HL23" s="125"/>
      <c r="HM23" s="125"/>
      <c r="HN23" s="125"/>
      <c r="HO23" s="125"/>
      <c r="HP23" s="125"/>
      <c r="HQ23" s="125"/>
      <c r="HR23" s="125"/>
      <c r="HS23" s="125"/>
      <c r="HT23" s="125"/>
      <c r="HU23" s="125"/>
      <c r="HV23" s="125"/>
      <c r="HW23" s="125"/>
      <c r="HX23" s="125"/>
      <c r="HY23" s="125"/>
      <c r="HZ23" s="125"/>
      <c r="IA23" s="125"/>
      <c r="IB23" s="125"/>
      <c r="IC23" s="125"/>
      <c r="ID23" s="125"/>
      <c r="IE23" s="125"/>
      <c r="IF23" s="125"/>
      <c r="IG23" s="125"/>
      <c r="IH23" s="125"/>
      <c r="II23" s="125"/>
      <c r="IJ23" s="125"/>
      <c r="IK23" s="125"/>
      <c r="IL23" s="125"/>
      <c r="IM23" s="125"/>
      <c r="IN23" s="125"/>
      <c r="IO23" s="125"/>
      <c r="IP23" s="125"/>
      <c r="IQ23" s="125"/>
      <c r="IR23" s="125"/>
      <c r="IS23" s="125"/>
      <c r="IT23" s="125"/>
      <c r="IU23" s="125"/>
      <c r="IV23" s="125"/>
      <c r="IW23" s="125"/>
    </row>
    <row r="24" customFormat="false" ht="15.75" hidden="false" customHeight="false" outlineLevel="0" collapsed="false">
      <c r="A24" s="125" t="s">
        <v>258</v>
      </c>
      <c r="B24" s="125" t="n">
        <v>0</v>
      </c>
      <c r="C24" s="125"/>
      <c r="D24" s="125"/>
      <c r="E24" s="125" t="s">
        <v>31</v>
      </c>
      <c r="F24" s="182" t="n">
        <f aca="false">VLOOKUP(+A23,Amort,1)</f>
        <v>37071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  <c r="EK24" s="125"/>
      <c r="EL24" s="125"/>
      <c r="EM24" s="125"/>
      <c r="EN24" s="125"/>
      <c r="EO24" s="125"/>
      <c r="EP24" s="125"/>
      <c r="EQ24" s="125"/>
      <c r="ER24" s="125"/>
      <c r="ES24" s="125"/>
      <c r="ET24" s="125"/>
      <c r="EU24" s="125"/>
      <c r="EV24" s="125"/>
      <c r="EW24" s="125"/>
      <c r="EX24" s="125"/>
      <c r="EY24" s="125"/>
      <c r="EZ24" s="125"/>
      <c r="FA24" s="125"/>
      <c r="FB24" s="125"/>
      <c r="FC24" s="125"/>
      <c r="FD24" s="125"/>
      <c r="FE24" s="125"/>
      <c r="FF24" s="125"/>
      <c r="FG24" s="125"/>
      <c r="FH24" s="125"/>
      <c r="FI24" s="125"/>
      <c r="FJ24" s="125"/>
      <c r="FK24" s="125"/>
      <c r="FL24" s="125"/>
      <c r="FM24" s="125"/>
      <c r="FN24" s="125"/>
      <c r="FO24" s="125"/>
      <c r="FP24" s="125"/>
      <c r="FQ24" s="125"/>
      <c r="FR24" s="125"/>
      <c r="FS24" s="125"/>
      <c r="FT24" s="125"/>
      <c r="FU24" s="125"/>
      <c r="FV24" s="125"/>
      <c r="FW24" s="125"/>
      <c r="FX24" s="125"/>
      <c r="FY24" s="125"/>
      <c r="FZ24" s="125"/>
      <c r="GA24" s="125"/>
      <c r="GB24" s="125"/>
      <c r="GC24" s="125"/>
      <c r="GD24" s="125"/>
      <c r="GE24" s="125"/>
      <c r="GF24" s="125"/>
      <c r="GG24" s="125"/>
      <c r="GH24" s="125"/>
      <c r="GI24" s="125"/>
      <c r="GJ24" s="125"/>
      <c r="GK24" s="125"/>
      <c r="GL24" s="125"/>
      <c r="GM24" s="125"/>
      <c r="GN24" s="125"/>
      <c r="GO24" s="125"/>
      <c r="GP24" s="125"/>
      <c r="GQ24" s="125"/>
      <c r="GR24" s="125"/>
      <c r="GS24" s="125"/>
      <c r="GT24" s="125"/>
      <c r="GU24" s="125"/>
      <c r="GV24" s="125"/>
      <c r="GW24" s="125"/>
      <c r="GX24" s="125"/>
      <c r="GY24" s="125"/>
      <c r="GZ24" s="125"/>
      <c r="HA24" s="125"/>
      <c r="HB24" s="125"/>
      <c r="HC24" s="125"/>
      <c r="HD24" s="125"/>
      <c r="HE24" s="125"/>
      <c r="HF24" s="125"/>
      <c r="HG24" s="125"/>
      <c r="HH24" s="125"/>
      <c r="HI24" s="125"/>
      <c r="HJ24" s="125"/>
      <c r="HK24" s="125"/>
      <c r="HL24" s="125"/>
      <c r="HM24" s="125"/>
      <c r="HN24" s="125"/>
      <c r="HO24" s="125"/>
      <c r="HP24" s="125"/>
      <c r="HQ24" s="125"/>
      <c r="HR24" s="125"/>
      <c r="HS24" s="125"/>
      <c r="HT24" s="125"/>
      <c r="HU24" s="125"/>
      <c r="HV24" s="125"/>
      <c r="HW24" s="125"/>
      <c r="HX24" s="125"/>
      <c r="HY24" s="125"/>
      <c r="HZ24" s="125"/>
      <c r="IA24" s="125"/>
      <c r="IB24" s="125"/>
      <c r="IC24" s="125"/>
      <c r="ID24" s="125"/>
      <c r="IE24" s="125"/>
      <c r="IF24" s="125"/>
      <c r="IG24" s="125"/>
      <c r="IH24" s="125"/>
      <c r="II24" s="125"/>
      <c r="IJ24" s="125"/>
      <c r="IK24" s="125"/>
      <c r="IL24" s="125"/>
      <c r="IM24" s="125"/>
      <c r="IN24" s="125"/>
      <c r="IO24" s="125"/>
      <c r="IP24" s="125"/>
      <c r="IQ24" s="125"/>
      <c r="IR24" s="125"/>
      <c r="IS24" s="125"/>
      <c r="IT24" s="125"/>
      <c r="IU24" s="125"/>
      <c r="IV24" s="125"/>
      <c r="IW24" s="125"/>
    </row>
    <row r="25" customFormat="false" ht="15.75" hidden="false" customHeight="false" outlineLevel="0" collapsed="false">
      <c r="A25" s="125" t="s">
        <v>259</v>
      </c>
      <c r="B25" s="184" t="n">
        <f aca="false">VLOOKUP(+A23,Note,8)</f>
        <v>3548611.11111111</v>
      </c>
      <c r="C25" s="125"/>
      <c r="D25" s="125"/>
      <c r="E25" s="125" t="s">
        <v>260</v>
      </c>
      <c r="F25" s="125" t="n">
        <f aca="false">VLOOKUP(+F23+1,NotePeriod,5)</f>
        <v>1798611.11111111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  <c r="EK25" s="125"/>
      <c r="EL25" s="125"/>
      <c r="EM25" s="125"/>
      <c r="EN25" s="125"/>
      <c r="EO25" s="125"/>
      <c r="EP25" s="125"/>
      <c r="EQ25" s="125"/>
      <c r="ER25" s="125"/>
      <c r="ES25" s="125"/>
      <c r="ET25" s="125"/>
      <c r="EU25" s="125"/>
      <c r="EV25" s="125"/>
      <c r="EW25" s="125"/>
      <c r="EX25" s="125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5"/>
      <c r="FL25" s="125"/>
      <c r="FM25" s="125"/>
      <c r="FN25" s="125"/>
      <c r="FO25" s="125"/>
      <c r="FP25" s="125"/>
      <c r="FQ25" s="125"/>
      <c r="FR25" s="125"/>
      <c r="FS25" s="125"/>
      <c r="FT25" s="125"/>
      <c r="FU25" s="125"/>
      <c r="FV25" s="125"/>
      <c r="FW25" s="125"/>
      <c r="FX25" s="125"/>
      <c r="FY25" s="125"/>
      <c r="FZ25" s="125"/>
      <c r="GA25" s="125"/>
      <c r="GB25" s="125"/>
      <c r="GC25" s="125"/>
      <c r="GD25" s="125"/>
      <c r="GE25" s="125"/>
      <c r="GF25" s="125"/>
      <c r="GG25" s="125"/>
      <c r="GH25" s="125"/>
      <c r="GI25" s="125"/>
      <c r="GJ25" s="125"/>
      <c r="GK25" s="125"/>
      <c r="GL25" s="125"/>
      <c r="GM25" s="125"/>
      <c r="GN25" s="125"/>
      <c r="GO25" s="125"/>
      <c r="GP25" s="125"/>
      <c r="GQ25" s="125"/>
      <c r="GR25" s="125"/>
      <c r="GS25" s="125"/>
      <c r="GT25" s="125"/>
      <c r="GU25" s="125"/>
      <c r="GV25" s="125"/>
      <c r="GW25" s="125"/>
      <c r="GX25" s="125"/>
      <c r="GY25" s="125"/>
      <c r="GZ25" s="125"/>
      <c r="HA25" s="125"/>
      <c r="HB25" s="125"/>
      <c r="HC25" s="125"/>
      <c r="HD25" s="125"/>
      <c r="HE25" s="125"/>
      <c r="HF25" s="125"/>
      <c r="HG25" s="125"/>
      <c r="HH25" s="125"/>
      <c r="HI25" s="125"/>
      <c r="HJ25" s="125"/>
      <c r="HK25" s="125"/>
      <c r="HL25" s="125"/>
      <c r="HM25" s="125"/>
      <c r="HN25" s="125"/>
      <c r="HO25" s="125"/>
      <c r="HP25" s="125"/>
      <c r="HQ25" s="125"/>
      <c r="HR25" s="125"/>
      <c r="HS25" s="125"/>
      <c r="HT25" s="125"/>
      <c r="HU25" s="125"/>
      <c r="HV25" s="125"/>
      <c r="HW25" s="125"/>
      <c r="HX25" s="125"/>
      <c r="HY25" s="125"/>
      <c r="HZ25" s="125"/>
      <c r="IA25" s="125"/>
      <c r="IB25" s="125"/>
      <c r="IC25" s="125"/>
      <c r="ID25" s="125"/>
      <c r="IE25" s="125"/>
      <c r="IF25" s="125"/>
      <c r="IG25" s="125"/>
      <c r="IH25" s="125"/>
      <c r="II25" s="125"/>
      <c r="IJ25" s="125"/>
      <c r="IK25" s="125"/>
      <c r="IL25" s="125"/>
      <c r="IM25" s="125"/>
      <c r="IN25" s="125"/>
      <c r="IO25" s="125"/>
      <c r="IP25" s="125"/>
      <c r="IQ25" s="125"/>
      <c r="IR25" s="125"/>
      <c r="IS25" s="125"/>
      <c r="IT25" s="125"/>
      <c r="IU25" s="125"/>
      <c r="IV25" s="125"/>
      <c r="IW25" s="125"/>
    </row>
    <row r="26" customFormat="false" ht="15.75" hidden="false" customHeight="false" outlineLevel="0" collapsed="false">
      <c r="A26" s="182" t="s">
        <v>261</v>
      </c>
      <c r="B26" s="125" t="n">
        <f aca="false">+B24+B25</f>
        <v>3548611.11111111</v>
      </c>
      <c r="C26" s="125"/>
      <c r="D26" s="125"/>
      <c r="E26" s="125" t="s">
        <v>262</v>
      </c>
      <c r="F26" s="182" t="n">
        <f aca="false">VLOOKUP(+F23+1,NotePeriod,8)</f>
        <v>37256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5"/>
      <c r="DT26" s="125"/>
      <c r="DU26" s="125"/>
      <c r="DV26" s="125"/>
      <c r="DW26" s="125"/>
      <c r="DX26" s="125"/>
      <c r="DY26" s="125"/>
      <c r="DZ26" s="125"/>
      <c r="EA26" s="125"/>
      <c r="EB26" s="125"/>
      <c r="EC26" s="125"/>
      <c r="ED26" s="125"/>
      <c r="EE26" s="125"/>
      <c r="EF26" s="125"/>
      <c r="EG26" s="125"/>
      <c r="EH26" s="125"/>
      <c r="EI26" s="125"/>
      <c r="EJ26" s="125"/>
      <c r="EK26" s="125"/>
      <c r="EL26" s="125"/>
      <c r="EM26" s="125"/>
      <c r="EN26" s="125"/>
      <c r="EO26" s="125"/>
      <c r="EP26" s="125"/>
      <c r="EQ26" s="125"/>
      <c r="ER26" s="125"/>
      <c r="ES26" s="125"/>
      <c r="ET26" s="125"/>
      <c r="EU26" s="125"/>
      <c r="EV26" s="125"/>
      <c r="EW26" s="125"/>
      <c r="EX26" s="125"/>
      <c r="EY26" s="125"/>
      <c r="EZ26" s="125"/>
      <c r="FA26" s="125"/>
      <c r="FB26" s="125"/>
      <c r="FC26" s="125"/>
      <c r="FD26" s="125"/>
      <c r="FE26" s="125"/>
      <c r="FF26" s="125"/>
      <c r="FG26" s="125"/>
      <c r="FH26" s="125"/>
      <c r="FI26" s="125"/>
      <c r="FJ26" s="125"/>
      <c r="FK26" s="125"/>
      <c r="FL26" s="125"/>
      <c r="FM26" s="125"/>
      <c r="FN26" s="125"/>
      <c r="FO26" s="125"/>
      <c r="FP26" s="125"/>
      <c r="FQ26" s="125"/>
      <c r="FR26" s="125"/>
      <c r="FS26" s="125"/>
      <c r="FT26" s="125"/>
      <c r="FU26" s="125"/>
      <c r="FV26" s="125"/>
      <c r="FW26" s="125"/>
      <c r="FX26" s="125"/>
      <c r="FY26" s="125"/>
      <c r="FZ26" s="125"/>
      <c r="GA26" s="125"/>
      <c r="GB26" s="125"/>
      <c r="GC26" s="125"/>
      <c r="GD26" s="125"/>
      <c r="GE26" s="125"/>
      <c r="GF26" s="125"/>
      <c r="GG26" s="125"/>
      <c r="GH26" s="125"/>
      <c r="GI26" s="125"/>
      <c r="GJ26" s="125"/>
      <c r="GK26" s="125"/>
      <c r="GL26" s="125"/>
      <c r="GM26" s="125"/>
      <c r="GN26" s="125"/>
      <c r="GO26" s="125"/>
      <c r="GP26" s="125"/>
      <c r="GQ26" s="125"/>
      <c r="GR26" s="125"/>
      <c r="GS26" s="125"/>
      <c r="GT26" s="125"/>
      <c r="GU26" s="125"/>
      <c r="GV26" s="125"/>
      <c r="GW26" s="125"/>
      <c r="GX26" s="125"/>
      <c r="GY26" s="125"/>
      <c r="GZ26" s="125"/>
      <c r="HA26" s="125"/>
      <c r="HB26" s="125"/>
      <c r="HC26" s="125"/>
      <c r="HD26" s="125"/>
      <c r="HE26" s="125"/>
      <c r="HF26" s="125"/>
      <c r="HG26" s="125"/>
      <c r="HH26" s="125"/>
      <c r="HI26" s="125"/>
      <c r="HJ26" s="125"/>
      <c r="HK26" s="125"/>
      <c r="HL26" s="125"/>
      <c r="HM26" s="125"/>
      <c r="HN26" s="125"/>
      <c r="HO26" s="125"/>
      <c r="HP26" s="125"/>
      <c r="HQ26" s="125"/>
      <c r="HR26" s="125"/>
      <c r="HS26" s="125"/>
      <c r="HT26" s="125"/>
      <c r="HU26" s="125"/>
      <c r="HV26" s="125"/>
      <c r="HW26" s="125"/>
      <c r="HX26" s="125"/>
      <c r="HY26" s="125"/>
      <c r="HZ26" s="125"/>
      <c r="IA26" s="125"/>
      <c r="IB26" s="125"/>
      <c r="IC26" s="125"/>
      <c r="ID26" s="125"/>
      <c r="IE26" s="125"/>
      <c r="IF26" s="125"/>
      <c r="IG26" s="125"/>
      <c r="IH26" s="125"/>
      <c r="II26" s="125"/>
      <c r="IJ26" s="125"/>
      <c r="IK26" s="125"/>
      <c r="IL26" s="125"/>
      <c r="IM26" s="125"/>
      <c r="IN26" s="125"/>
      <c r="IO26" s="125"/>
      <c r="IP26" s="125"/>
      <c r="IQ26" s="125"/>
      <c r="IR26" s="125"/>
      <c r="IS26" s="125"/>
      <c r="IT26" s="125"/>
      <c r="IU26" s="125"/>
      <c r="IV26" s="125"/>
      <c r="IW26" s="125"/>
    </row>
    <row r="27" customFormat="false" ht="15.75" hidden="false" customHeight="false" outlineLevel="0" collapsed="false">
      <c r="A27" s="182" t="s">
        <v>263</v>
      </c>
      <c r="B27" s="125" t="n">
        <f aca="false">A23-F24</f>
        <v>90</v>
      </c>
      <c r="C27" s="125"/>
      <c r="D27" s="125"/>
      <c r="E27" s="182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/>
      <c r="EJ27" s="125"/>
      <c r="EK27" s="125"/>
      <c r="EL27" s="125"/>
      <c r="EM27" s="125"/>
      <c r="EN27" s="125"/>
      <c r="EO27" s="125"/>
      <c r="EP27" s="125"/>
      <c r="EQ27" s="125"/>
      <c r="ER27" s="125"/>
      <c r="ES27" s="125"/>
      <c r="ET27" s="125"/>
      <c r="EU27" s="125"/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25"/>
      <c r="IF27" s="125"/>
      <c r="IG27" s="125"/>
      <c r="IH27" s="125"/>
      <c r="II27" s="125"/>
      <c r="IJ27" s="125"/>
      <c r="IK27" s="125"/>
      <c r="IL27" s="125"/>
      <c r="IM27" s="125"/>
      <c r="IN27" s="125"/>
      <c r="IO27" s="125"/>
      <c r="IP27" s="125"/>
      <c r="IQ27" s="125"/>
      <c r="IR27" s="125"/>
      <c r="IS27" s="125"/>
      <c r="IT27" s="125"/>
      <c r="IU27" s="125"/>
      <c r="IV27" s="125"/>
      <c r="IW27" s="125"/>
    </row>
    <row r="28" customFormat="false" ht="15.75" hidden="false" customHeight="false" outlineLevel="0" collapsed="false">
      <c r="A28" s="182" t="s">
        <v>264</v>
      </c>
      <c r="B28" s="125" t="n">
        <f aca="false">F25*B27/(F26-F24)</f>
        <v>875000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  <c r="EE28" s="125"/>
      <c r="EF28" s="125"/>
      <c r="EG28" s="125"/>
      <c r="EH28" s="125"/>
      <c r="EI28" s="125"/>
      <c r="EJ28" s="125"/>
      <c r="EK28" s="125"/>
      <c r="EL28" s="125"/>
      <c r="EM28" s="125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25"/>
      <c r="FC28" s="125"/>
      <c r="FD28" s="125"/>
      <c r="FE28" s="125"/>
      <c r="FF28" s="125"/>
      <c r="FG28" s="125"/>
      <c r="FH28" s="125"/>
      <c r="FI28" s="125"/>
      <c r="FJ28" s="125"/>
      <c r="FK28" s="125"/>
      <c r="FL28" s="125"/>
      <c r="FM28" s="125"/>
      <c r="FN28" s="125"/>
      <c r="FO28" s="125"/>
      <c r="FP28" s="125"/>
      <c r="FQ28" s="125"/>
      <c r="FR28" s="125"/>
      <c r="FS28" s="125"/>
      <c r="FT28" s="125"/>
      <c r="FU28" s="125"/>
      <c r="FV28" s="125"/>
      <c r="FW28" s="125"/>
      <c r="FX28" s="125"/>
      <c r="FY28" s="125"/>
      <c r="FZ28" s="125"/>
      <c r="GA28" s="125"/>
      <c r="GB28" s="125"/>
      <c r="GC28" s="125"/>
      <c r="GD28" s="125"/>
      <c r="GE28" s="125"/>
      <c r="GF28" s="125"/>
      <c r="GG28" s="125"/>
      <c r="GH28" s="125"/>
      <c r="GI28" s="125"/>
      <c r="GJ28" s="125"/>
      <c r="GK28" s="125"/>
      <c r="GL28" s="125"/>
      <c r="GM28" s="125"/>
      <c r="GN28" s="125"/>
      <c r="GO28" s="125"/>
      <c r="GP28" s="125"/>
      <c r="GQ28" s="125"/>
      <c r="GR28" s="125"/>
      <c r="GS28" s="125"/>
      <c r="GT28" s="125"/>
      <c r="GU28" s="125"/>
      <c r="GV28" s="125"/>
      <c r="GW28" s="125"/>
      <c r="GX28" s="125"/>
      <c r="GY28" s="125"/>
      <c r="GZ28" s="125"/>
      <c r="HA28" s="125"/>
      <c r="HB28" s="125"/>
      <c r="HC28" s="125"/>
      <c r="HD28" s="125"/>
      <c r="HE28" s="125"/>
      <c r="HF28" s="125"/>
      <c r="HG28" s="125"/>
      <c r="HH28" s="125"/>
      <c r="HI28" s="125"/>
      <c r="HJ28" s="125"/>
      <c r="HK28" s="125"/>
      <c r="HL28" s="125"/>
      <c r="HM28" s="125"/>
      <c r="HN28" s="125"/>
      <c r="HO28" s="125"/>
      <c r="HP28" s="125"/>
      <c r="HQ28" s="125"/>
      <c r="HR28" s="125"/>
      <c r="HS28" s="125"/>
      <c r="HT28" s="125"/>
      <c r="HU28" s="125"/>
      <c r="HV28" s="125"/>
      <c r="HW28" s="125"/>
      <c r="HX28" s="125"/>
      <c r="HY28" s="125"/>
      <c r="HZ28" s="125"/>
      <c r="IA28" s="125"/>
      <c r="IB28" s="125"/>
      <c r="IC28" s="125"/>
      <c r="ID28" s="125"/>
      <c r="IE28" s="125"/>
      <c r="IF28" s="125"/>
      <c r="IG28" s="125"/>
      <c r="IH28" s="125"/>
      <c r="II28" s="125"/>
      <c r="IJ28" s="125"/>
      <c r="IK28" s="125"/>
      <c r="IL28" s="125"/>
      <c r="IM28" s="125"/>
      <c r="IN28" s="125"/>
      <c r="IO28" s="125"/>
      <c r="IP28" s="125"/>
      <c r="IQ28" s="125"/>
      <c r="IR28" s="125"/>
      <c r="IS28" s="125"/>
      <c r="IT28" s="125"/>
      <c r="IU28" s="125"/>
      <c r="IV28" s="125"/>
      <c r="IW28" s="125"/>
    </row>
    <row r="29" customFormat="false" ht="15.75" hidden="false" customHeight="false" outlineLevel="0" collapsed="false">
      <c r="A29" s="182" t="s">
        <v>265</v>
      </c>
      <c r="B29" s="125" t="n">
        <f aca="false">+B25+B28</f>
        <v>4423611.11111111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  <c r="DC29" s="125"/>
      <c r="DD29" s="125"/>
      <c r="DE29" s="125"/>
      <c r="DF29" s="125"/>
      <c r="DG29" s="125"/>
      <c r="DH29" s="125"/>
      <c r="DI29" s="125"/>
      <c r="DJ29" s="125"/>
      <c r="DK29" s="125"/>
      <c r="DL29" s="125"/>
      <c r="DM29" s="125"/>
      <c r="DN29" s="125"/>
      <c r="DO29" s="125"/>
      <c r="DP29" s="125"/>
      <c r="DQ29" s="125"/>
      <c r="DR29" s="125"/>
      <c r="DS29" s="125"/>
      <c r="DT29" s="125"/>
      <c r="DU29" s="125"/>
      <c r="DV29" s="125"/>
      <c r="DW29" s="125"/>
      <c r="DX29" s="125"/>
      <c r="DY29" s="125"/>
      <c r="DZ29" s="125"/>
      <c r="EA29" s="125"/>
      <c r="EB29" s="125"/>
      <c r="EC29" s="125"/>
      <c r="ED29" s="125"/>
      <c r="EE29" s="125"/>
      <c r="EF29" s="125"/>
      <c r="EG29" s="125"/>
      <c r="EH29" s="125"/>
      <c r="EI29" s="125"/>
      <c r="EJ29" s="125"/>
      <c r="EK29" s="125"/>
      <c r="EL29" s="125"/>
      <c r="EM29" s="125"/>
      <c r="EN29" s="125"/>
      <c r="EO29" s="125"/>
      <c r="EP29" s="125"/>
      <c r="EQ29" s="125"/>
      <c r="ER29" s="125"/>
      <c r="ES29" s="125"/>
      <c r="ET29" s="125"/>
      <c r="EU29" s="125"/>
      <c r="EV29" s="125"/>
      <c r="EW29" s="125"/>
      <c r="EX29" s="125"/>
      <c r="EY29" s="125"/>
      <c r="EZ29" s="125"/>
      <c r="FA29" s="125"/>
      <c r="FB29" s="125"/>
      <c r="FC29" s="125"/>
      <c r="FD29" s="125"/>
      <c r="FE29" s="125"/>
      <c r="FF29" s="125"/>
      <c r="FG29" s="125"/>
      <c r="FH29" s="125"/>
      <c r="FI29" s="125"/>
      <c r="FJ29" s="125"/>
      <c r="FK29" s="125"/>
      <c r="FL29" s="125"/>
      <c r="FM29" s="125"/>
      <c r="FN29" s="125"/>
      <c r="FO29" s="125"/>
      <c r="FP29" s="125"/>
      <c r="FQ29" s="125"/>
      <c r="FR29" s="125"/>
      <c r="FS29" s="125"/>
      <c r="FT29" s="125"/>
      <c r="FU29" s="125"/>
      <c r="FV29" s="125"/>
      <c r="FW29" s="125"/>
      <c r="FX29" s="125"/>
      <c r="FY29" s="125"/>
      <c r="FZ29" s="125"/>
      <c r="GA29" s="125"/>
      <c r="GB29" s="125"/>
      <c r="GC29" s="125"/>
      <c r="GD29" s="125"/>
      <c r="GE29" s="125"/>
      <c r="GF29" s="125"/>
      <c r="GG29" s="125"/>
      <c r="GH29" s="125"/>
      <c r="GI29" s="125"/>
      <c r="GJ29" s="125"/>
      <c r="GK29" s="125"/>
      <c r="GL29" s="125"/>
      <c r="GM29" s="125"/>
      <c r="GN29" s="125"/>
      <c r="GO29" s="125"/>
      <c r="GP29" s="125"/>
      <c r="GQ29" s="125"/>
      <c r="GR29" s="125"/>
      <c r="GS29" s="125"/>
      <c r="GT29" s="125"/>
      <c r="GU29" s="125"/>
      <c r="GV29" s="125"/>
      <c r="GW29" s="125"/>
      <c r="GX29" s="125"/>
      <c r="GY29" s="125"/>
      <c r="GZ29" s="125"/>
      <c r="HA29" s="125"/>
      <c r="HB29" s="125"/>
      <c r="HC29" s="125"/>
      <c r="HD29" s="125"/>
      <c r="HE29" s="125"/>
      <c r="HF29" s="125"/>
      <c r="HG29" s="125"/>
      <c r="HH29" s="125"/>
      <c r="HI29" s="125"/>
      <c r="HJ29" s="125"/>
      <c r="HK29" s="125"/>
      <c r="HL29" s="125"/>
      <c r="HM29" s="125"/>
      <c r="HN29" s="125"/>
      <c r="HO29" s="125"/>
      <c r="HP29" s="125"/>
      <c r="HQ29" s="125"/>
      <c r="HR29" s="125"/>
      <c r="HS29" s="125"/>
      <c r="HT29" s="125"/>
      <c r="HU29" s="125"/>
      <c r="HV29" s="125"/>
      <c r="HW29" s="125"/>
      <c r="HX29" s="125"/>
      <c r="HY29" s="125"/>
      <c r="HZ29" s="125"/>
      <c r="IA29" s="125"/>
      <c r="IB29" s="125"/>
      <c r="IC29" s="125"/>
      <c r="ID29" s="125"/>
      <c r="IE29" s="125"/>
      <c r="IF29" s="125"/>
      <c r="IG29" s="125"/>
      <c r="IH29" s="125"/>
      <c r="II29" s="125"/>
      <c r="IJ29" s="125"/>
      <c r="IK29" s="125"/>
      <c r="IL29" s="125"/>
      <c r="IM29" s="125"/>
      <c r="IN29" s="125"/>
      <c r="IO29" s="125"/>
      <c r="IP29" s="125"/>
      <c r="IQ29" s="125"/>
      <c r="IR29" s="125"/>
      <c r="IS29" s="125"/>
      <c r="IT29" s="125"/>
      <c r="IU29" s="125"/>
      <c r="IV29" s="125"/>
      <c r="IW29" s="125"/>
    </row>
    <row r="30" customFormat="false" ht="15.75" hidden="false" customHeight="false" outlineLevel="0" collapsed="false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125"/>
      <c r="FY30" s="125"/>
      <c r="FZ30" s="125"/>
      <c r="GA30" s="125"/>
      <c r="GB30" s="125"/>
      <c r="GC30" s="125"/>
      <c r="GD30" s="125"/>
      <c r="GE30" s="125"/>
      <c r="GF30" s="125"/>
      <c r="GG30" s="125"/>
      <c r="GH30" s="125"/>
      <c r="GI30" s="125"/>
      <c r="GJ30" s="125"/>
      <c r="GK30" s="125"/>
      <c r="GL30" s="125"/>
      <c r="GM30" s="125"/>
      <c r="GN30" s="125"/>
      <c r="GO30" s="125"/>
      <c r="GP30" s="125"/>
      <c r="GQ30" s="125"/>
      <c r="GR30" s="125"/>
      <c r="GS30" s="125"/>
      <c r="GT30" s="125"/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/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/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  <c r="IH30" s="125"/>
      <c r="II30" s="125"/>
      <c r="IJ30" s="125"/>
      <c r="IK30" s="125"/>
      <c r="IL30" s="125"/>
      <c r="IM30" s="125"/>
      <c r="IN30" s="125"/>
      <c r="IO30" s="125"/>
      <c r="IP30" s="125"/>
      <c r="IQ30" s="125"/>
      <c r="IR30" s="125"/>
      <c r="IS30" s="125"/>
      <c r="IT30" s="125"/>
      <c r="IU30" s="125"/>
      <c r="IV30" s="125"/>
      <c r="IW30" s="125"/>
    </row>
    <row r="31" customFormat="false" ht="15.75" hidden="false" customHeight="false" outlineLevel="0" collapsed="false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5"/>
      <c r="GI31" s="125"/>
      <c r="GJ31" s="125"/>
      <c r="GK31" s="125"/>
      <c r="GL31" s="125"/>
      <c r="GM31" s="125"/>
      <c r="GN31" s="125"/>
      <c r="GO31" s="125"/>
      <c r="GP31" s="125"/>
      <c r="GQ31" s="125"/>
      <c r="GR31" s="125"/>
      <c r="GS31" s="125"/>
      <c r="GT31" s="125"/>
      <c r="GU31" s="125"/>
      <c r="GV31" s="125"/>
      <c r="GW31" s="125"/>
      <c r="GX31" s="125"/>
      <c r="GY31" s="125"/>
      <c r="GZ31" s="125"/>
      <c r="HA31" s="125"/>
      <c r="HB31" s="125"/>
      <c r="HC31" s="125"/>
      <c r="HD31" s="125"/>
      <c r="HE31" s="125"/>
      <c r="HF31" s="125"/>
      <c r="HG31" s="125"/>
      <c r="HH31" s="125"/>
      <c r="HI31" s="125"/>
      <c r="HJ31" s="125"/>
      <c r="HK31" s="125"/>
      <c r="HL31" s="125"/>
      <c r="HM31" s="125"/>
      <c r="HN31" s="125"/>
      <c r="HO31" s="125"/>
      <c r="HP31" s="125"/>
      <c r="HQ31" s="125"/>
      <c r="HR31" s="125"/>
      <c r="HS31" s="125"/>
      <c r="HT31" s="125"/>
      <c r="HU31" s="125"/>
      <c r="HV31" s="125"/>
      <c r="HW31" s="125"/>
      <c r="HX31" s="125"/>
      <c r="HY31" s="125"/>
      <c r="HZ31" s="125"/>
      <c r="IA31" s="125"/>
      <c r="IB31" s="125"/>
      <c r="IC31" s="125"/>
      <c r="ID31" s="125"/>
      <c r="IE31" s="125"/>
      <c r="IF31" s="125"/>
      <c r="IG31" s="125"/>
      <c r="IH31" s="125"/>
      <c r="II31" s="125"/>
      <c r="IJ31" s="125"/>
      <c r="IK31" s="125"/>
      <c r="IL31" s="125"/>
      <c r="IM31" s="125"/>
      <c r="IN31" s="125"/>
      <c r="IO31" s="125"/>
      <c r="IP31" s="125"/>
      <c r="IQ31" s="125"/>
      <c r="IR31" s="125"/>
      <c r="IS31" s="125"/>
      <c r="IT31" s="125"/>
      <c r="IU31" s="125"/>
      <c r="IV31" s="125"/>
      <c r="IW31" s="125"/>
    </row>
    <row r="32" customFormat="false" ht="15.75" hidden="false" customHeight="false" outlineLevel="0" collapsed="false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  <c r="CU32" s="125"/>
      <c r="CV32" s="125"/>
      <c r="CW32" s="125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5"/>
      <c r="DS32" s="125"/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5"/>
      <c r="FL32" s="125"/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5"/>
      <c r="GA32" s="125"/>
      <c r="GB32" s="125"/>
      <c r="GC32" s="125"/>
      <c r="GD32" s="125"/>
      <c r="GE32" s="125"/>
      <c r="GF32" s="125"/>
      <c r="GG32" s="125"/>
      <c r="GH32" s="125"/>
      <c r="GI32" s="125"/>
      <c r="GJ32" s="125"/>
      <c r="GK32" s="125"/>
      <c r="GL32" s="125"/>
      <c r="GM32" s="125"/>
      <c r="GN32" s="125"/>
      <c r="GO32" s="125"/>
      <c r="GP32" s="125"/>
      <c r="GQ32" s="125"/>
      <c r="GR32" s="125"/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5"/>
      <c r="HG32" s="125"/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5"/>
      <c r="HV32" s="125"/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5"/>
      <c r="IK32" s="125"/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</row>
    <row r="33" customFormat="false" ht="15.75" hidden="false" customHeight="false" outlineLevel="0" collapsed="false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  <c r="GP33" s="125"/>
      <c r="GQ33" s="125"/>
      <c r="GR33" s="125"/>
      <c r="GS33" s="125"/>
      <c r="GT33" s="125"/>
      <c r="GU33" s="125"/>
      <c r="GV33" s="125"/>
      <c r="GW33" s="125"/>
      <c r="GX33" s="125"/>
      <c r="GY33" s="125"/>
      <c r="GZ33" s="125"/>
      <c r="HA33" s="125"/>
      <c r="HB33" s="125"/>
      <c r="HC33" s="125"/>
      <c r="HD33" s="125"/>
      <c r="HE33" s="125"/>
      <c r="HF33" s="125"/>
      <c r="HG33" s="125"/>
      <c r="HH33" s="125"/>
      <c r="HI33" s="125"/>
      <c r="HJ33" s="125"/>
      <c r="HK33" s="125"/>
      <c r="HL33" s="125"/>
      <c r="HM33" s="125"/>
      <c r="HN33" s="125"/>
      <c r="HO33" s="125"/>
      <c r="HP33" s="125"/>
      <c r="HQ33" s="125"/>
      <c r="HR33" s="125"/>
      <c r="HS33" s="125"/>
      <c r="HT33" s="125"/>
      <c r="HU33" s="125"/>
      <c r="HV33" s="125"/>
      <c r="HW33" s="125"/>
      <c r="HX33" s="125"/>
      <c r="HY33" s="125"/>
      <c r="HZ33" s="125"/>
      <c r="IA33" s="125"/>
      <c r="IB33" s="125"/>
      <c r="IC33" s="125"/>
      <c r="ID33" s="125"/>
      <c r="IE33" s="125"/>
      <c r="IF33" s="125"/>
      <c r="IG33" s="125"/>
      <c r="IH33" s="125"/>
      <c r="II33" s="125"/>
      <c r="IJ33" s="125"/>
      <c r="IK33" s="125"/>
      <c r="IL33" s="125"/>
      <c r="IM33" s="125"/>
      <c r="IN33" s="125"/>
      <c r="IO33" s="125"/>
      <c r="IP33" s="125"/>
      <c r="IQ33" s="125"/>
      <c r="IR33" s="125"/>
      <c r="IS33" s="125"/>
      <c r="IT33" s="125"/>
      <c r="IU33" s="125"/>
      <c r="IV33" s="125"/>
      <c r="IW33" s="125"/>
    </row>
    <row r="34" customFormat="false" ht="15.75" hidden="false" customHeight="false" outlineLevel="0" collapsed="false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5"/>
      <c r="GA34" s="125"/>
      <c r="GB34" s="125"/>
      <c r="GC34" s="125"/>
      <c r="GD34" s="125"/>
      <c r="GE34" s="125"/>
      <c r="GF34" s="125"/>
      <c r="GG34" s="125"/>
      <c r="GH34" s="125"/>
      <c r="GI34" s="125"/>
      <c r="GJ34" s="125"/>
      <c r="GK34" s="125"/>
      <c r="GL34" s="125"/>
      <c r="GM34" s="125"/>
      <c r="GN34" s="125"/>
      <c r="GO34" s="125"/>
      <c r="GP34" s="125"/>
      <c r="GQ34" s="125"/>
      <c r="GR34" s="125"/>
      <c r="GS34" s="125"/>
      <c r="GT34" s="125"/>
      <c r="GU34" s="125"/>
      <c r="GV34" s="125"/>
      <c r="GW34" s="125"/>
      <c r="GX34" s="125"/>
      <c r="GY34" s="125"/>
      <c r="GZ34" s="125"/>
      <c r="HA34" s="125"/>
      <c r="HB34" s="125"/>
      <c r="HC34" s="125"/>
      <c r="HD34" s="125"/>
      <c r="HE34" s="125"/>
      <c r="HF34" s="125"/>
      <c r="HG34" s="125"/>
      <c r="HH34" s="125"/>
      <c r="HI34" s="125"/>
      <c r="HJ34" s="125"/>
      <c r="HK34" s="125"/>
      <c r="HL34" s="125"/>
      <c r="HM34" s="125"/>
      <c r="HN34" s="125"/>
      <c r="HO34" s="125"/>
      <c r="HP34" s="125"/>
      <c r="HQ34" s="125"/>
      <c r="HR34" s="125"/>
      <c r="HS34" s="125"/>
      <c r="HT34" s="125"/>
      <c r="HU34" s="125"/>
      <c r="HV34" s="125"/>
      <c r="HW34" s="125"/>
      <c r="HX34" s="125"/>
      <c r="HY34" s="125"/>
      <c r="HZ34" s="125"/>
      <c r="IA34" s="125"/>
      <c r="IB34" s="125"/>
      <c r="IC34" s="125"/>
      <c r="ID34" s="125"/>
      <c r="IE34" s="125"/>
      <c r="IF34" s="125"/>
      <c r="IG34" s="125"/>
      <c r="IH34" s="125"/>
      <c r="II34" s="125"/>
      <c r="IJ34" s="125"/>
      <c r="IK34" s="125"/>
      <c r="IL34" s="125"/>
      <c r="IM34" s="125"/>
      <c r="IN34" s="125"/>
      <c r="IO34" s="125"/>
      <c r="IP34" s="125"/>
      <c r="IQ34" s="125"/>
      <c r="IR34" s="125"/>
      <c r="IS34" s="125"/>
      <c r="IT34" s="125"/>
      <c r="IU34" s="125"/>
      <c r="IV34" s="125"/>
      <c r="IW34" s="125"/>
    </row>
    <row r="35" customFormat="false" ht="15.75" hidden="false" customHeight="false" outlineLevel="0" collapsed="false">
      <c r="A35" s="76" t="s">
        <v>266</v>
      </c>
      <c r="B35" s="76"/>
      <c r="G35" s="150"/>
      <c r="H35" s="18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25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125"/>
      <c r="GI35" s="125"/>
      <c r="GJ35" s="125"/>
      <c r="GK35" s="125"/>
      <c r="GL35" s="125"/>
      <c r="GM35" s="125"/>
      <c r="GN35" s="125"/>
      <c r="GO35" s="125"/>
      <c r="GP35" s="125"/>
      <c r="GQ35" s="125"/>
      <c r="GR35" s="125"/>
      <c r="GS35" s="125"/>
      <c r="GT35" s="125"/>
      <c r="GU35" s="125"/>
      <c r="GV35" s="125"/>
      <c r="GW35" s="125"/>
      <c r="GX35" s="125"/>
      <c r="GY35" s="125"/>
      <c r="GZ35" s="125"/>
      <c r="HA35" s="125"/>
      <c r="HB35" s="125"/>
      <c r="HC35" s="125"/>
      <c r="HD35" s="125"/>
      <c r="HE35" s="125"/>
      <c r="HF35" s="125"/>
      <c r="HG35" s="125"/>
      <c r="HH35" s="125"/>
      <c r="HI35" s="125"/>
      <c r="HJ35" s="125"/>
      <c r="HK35" s="125"/>
      <c r="HL35" s="125"/>
      <c r="HM35" s="125"/>
      <c r="HN35" s="125"/>
      <c r="HO35" s="125"/>
      <c r="HP35" s="125"/>
      <c r="HQ35" s="125"/>
      <c r="HR35" s="125"/>
      <c r="HS35" s="125"/>
      <c r="HT35" s="125"/>
      <c r="HU35" s="125"/>
      <c r="HV35" s="125"/>
      <c r="HW35" s="125"/>
      <c r="HX35" s="125"/>
      <c r="HY35" s="125"/>
      <c r="HZ35" s="125"/>
      <c r="IA35" s="125"/>
      <c r="IB35" s="125"/>
      <c r="IC35" s="125"/>
      <c r="ID35" s="125"/>
      <c r="IE35" s="125"/>
      <c r="IF35" s="125"/>
      <c r="IG35" s="125"/>
      <c r="IH35" s="125"/>
      <c r="II35" s="125"/>
      <c r="IJ35" s="125"/>
      <c r="IK35" s="125"/>
      <c r="IL35" s="125"/>
      <c r="IM35" s="125"/>
      <c r="IN35" s="125"/>
      <c r="IO35" s="125"/>
      <c r="IP35" s="125"/>
      <c r="IQ35" s="125"/>
      <c r="IR35" s="125"/>
      <c r="IS35" s="125"/>
      <c r="IT35" s="125"/>
      <c r="IU35" s="125"/>
      <c r="IV35" s="125"/>
      <c r="IW35" s="125"/>
    </row>
    <row r="36" customFormat="false" ht="15.75" hidden="false" customHeight="false" outlineLevel="0" collapsed="false">
      <c r="B36" s="173" t="s">
        <v>250</v>
      </c>
      <c r="H36" s="18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  <c r="EC36" s="125"/>
      <c r="ED36" s="125"/>
      <c r="EE36" s="125"/>
      <c r="EF36" s="125"/>
      <c r="EG36" s="125"/>
      <c r="EH36" s="125"/>
      <c r="EI36" s="125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5"/>
      <c r="EY36" s="125"/>
      <c r="EZ36" s="125"/>
      <c r="FA36" s="125"/>
      <c r="FB36" s="125"/>
      <c r="FC36" s="125"/>
      <c r="FD36" s="125"/>
      <c r="FE36" s="125"/>
      <c r="FF36" s="125"/>
      <c r="FG36" s="125"/>
      <c r="FH36" s="125"/>
      <c r="FI36" s="125"/>
      <c r="FJ36" s="125"/>
      <c r="FK36" s="125"/>
      <c r="FL36" s="125"/>
      <c r="FM36" s="125"/>
      <c r="FN36" s="125"/>
      <c r="FO36" s="125"/>
      <c r="FP36" s="125"/>
      <c r="FQ36" s="125"/>
      <c r="FR36" s="125"/>
      <c r="FS36" s="125"/>
      <c r="FT36" s="125"/>
      <c r="FU36" s="125"/>
      <c r="FV36" s="125"/>
      <c r="FW36" s="125"/>
      <c r="FX36" s="125"/>
      <c r="FY36" s="125"/>
      <c r="FZ36" s="125"/>
      <c r="GA36" s="125"/>
      <c r="GB36" s="125"/>
      <c r="GC36" s="125"/>
      <c r="GD36" s="125"/>
      <c r="GE36" s="125"/>
      <c r="GF36" s="125"/>
      <c r="GG36" s="125"/>
      <c r="GH36" s="125"/>
      <c r="GI36" s="125"/>
      <c r="GJ36" s="125"/>
      <c r="GK36" s="125"/>
      <c r="GL36" s="125"/>
      <c r="GM36" s="125"/>
      <c r="GN36" s="125"/>
      <c r="GO36" s="125"/>
      <c r="GP36" s="125"/>
      <c r="GQ36" s="125"/>
      <c r="GR36" s="125"/>
      <c r="GS36" s="125"/>
      <c r="GT36" s="125"/>
      <c r="GU36" s="125"/>
      <c r="GV36" s="125"/>
      <c r="GW36" s="125"/>
      <c r="GX36" s="125"/>
      <c r="GY36" s="125"/>
      <c r="GZ36" s="125"/>
      <c r="HA36" s="125"/>
      <c r="HB36" s="125"/>
      <c r="HC36" s="125"/>
      <c r="HD36" s="125"/>
      <c r="HE36" s="125"/>
      <c r="HF36" s="125"/>
      <c r="HG36" s="125"/>
      <c r="HH36" s="125"/>
      <c r="HI36" s="125"/>
      <c r="HJ36" s="125"/>
      <c r="HK36" s="125"/>
      <c r="HL36" s="125"/>
      <c r="HM36" s="125"/>
      <c r="HN36" s="125"/>
      <c r="HO36" s="125"/>
      <c r="HP36" s="125"/>
      <c r="HQ36" s="125"/>
      <c r="HR36" s="125"/>
      <c r="HS36" s="125"/>
      <c r="HT36" s="125"/>
      <c r="HU36" s="125"/>
      <c r="HV36" s="125"/>
      <c r="HW36" s="125"/>
      <c r="HX36" s="125"/>
      <c r="HY36" s="125"/>
      <c r="HZ36" s="125"/>
      <c r="IA36" s="125"/>
      <c r="IB36" s="125"/>
      <c r="IC36" s="125"/>
      <c r="ID36" s="125"/>
      <c r="IE36" s="125"/>
      <c r="IF36" s="125"/>
      <c r="IG36" s="125"/>
      <c r="IH36" s="125"/>
      <c r="II36" s="125"/>
      <c r="IJ36" s="125"/>
      <c r="IK36" s="125"/>
      <c r="IL36" s="125"/>
      <c r="IM36" s="125"/>
      <c r="IN36" s="125"/>
      <c r="IO36" s="125"/>
      <c r="IP36" s="125"/>
      <c r="IQ36" s="125"/>
      <c r="IR36" s="125"/>
      <c r="IS36" s="125"/>
      <c r="IT36" s="125"/>
      <c r="IU36" s="125"/>
      <c r="IV36" s="125"/>
      <c r="IW36" s="125"/>
    </row>
    <row r="37" customFormat="false" ht="15.75" hidden="false" customHeight="false" outlineLevel="0" collapsed="false">
      <c r="A37" s="73" t="s">
        <v>251</v>
      </c>
      <c r="B37" s="174" t="n">
        <v>400000000</v>
      </c>
      <c r="H37" s="18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  <c r="IP37" s="125"/>
      <c r="IQ37" s="125"/>
      <c r="IR37" s="125"/>
      <c r="IS37" s="125"/>
      <c r="IT37" s="125"/>
      <c r="IU37" s="125"/>
      <c r="IV37" s="125"/>
      <c r="IW37" s="125"/>
    </row>
    <row r="38" customFormat="false" ht="15.75" hidden="false" customHeight="false" outlineLevel="0" collapsed="false">
      <c r="A38" s="73" t="s">
        <v>252</v>
      </c>
      <c r="B38" s="175" t="n">
        <v>0.07</v>
      </c>
      <c r="H38" s="18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  <c r="ID38" s="125"/>
      <c r="IE38" s="125"/>
      <c r="IF38" s="125"/>
      <c r="IG38" s="125"/>
      <c r="IH38" s="125"/>
      <c r="II38" s="125"/>
      <c r="IJ38" s="125"/>
      <c r="IK38" s="125"/>
      <c r="IL38" s="125"/>
      <c r="IM38" s="125"/>
      <c r="IN38" s="125"/>
      <c r="IO38" s="125"/>
      <c r="IP38" s="125"/>
      <c r="IQ38" s="125"/>
      <c r="IR38" s="125"/>
      <c r="IS38" s="125"/>
      <c r="IT38" s="125"/>
      <c r="IU38" s="125"/>
      <c r="IV38" s="125"/>
      <c r="IW38" s="125"/>
    </row>
    <row r="39" customFormat="false" ht="15.75" hidden="false" customHeight="false" outlineLevel="0" collapsed="false">
      <c r="A39" s="73" t="s">
        <v>254</v>
      </c>
      <c r="B39" s="177" t="n">
        <v>2</v>
      </c>
      <c r="H39" s="18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  <c r="IW39" s="125"/>
    </row>
    <row r="40" customFormat="false" ht="15.75" hidden="false" customHeight="false" outlineLevel="0" collapsed="false">
      <c r="H40" s="18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25"/>
      <c r="CU40" s="125"/>
      <c r="CV40" s="125"/>
      <c r="CW40" s="125"/>
      <c r="CX40" s="125"/>
      <c r="CY40" s="125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  <c r="DQ40" s="125"/>
      <c r="DR40" s="125"/>
      <c r="DS40" s="125"/>
      <c r="DT40" s="125"/>
      <c r="DU40" s="125"/>
      <c r="DV40" s="125"/>
      <c r="DW40" s="125"/>
      <c r="DX40" s="125"/>
      <c r="DY40" s="125"/>
      <c r="DZ40" s="125"/>
      <c r="EA40" s="125"/>
      <c r="EB40" s="125"/>
      <c r="EC40" s="125"/>
      <c r="ED40" s="125"/>
      <c r="EE40" s="125"/>
      <c r="EF40" s="125"/>
      <c r="EG40" s="125"/>
      <c r="EH40" s="125"/>
      <c r="EI40" s="125"/>
      <c r="EJ40" s="125"/>
      <c r="EK40" s="125"/>
      <c r="EL40" s="125"/>
      <c r="EM40" s="125"/>
      <c r="EN40" s="125"/>
      <c r="EO40" s="125"/>
      <c r="EP40" s="125"/>
      <c r="EQ40" s="125"/>
      <c r="ER40" s="125"/>
      <c r="ES40" s="125"/>
      <c r="ET40" s="125"/>
      <c r="EU40" s="125"/>
      <c r="EV40" s="125"/>
      <c r="EW40" s="125"/>
      <c r="EX40" s="125"/>
      <c r="EY40" s="125"/>
      <c r="EZ40" s="125"/>
      <c r="FA40" s="125"/>
      <c r="FB40" s="125"/>
      <c r="FC40" s="125"/>
      <c r="FD40" s="125"/>
      <c r="FE40" s="125"/>
      <c r="FF40" s="125"/>
      <c r="FG40" s="125"/>
      <c r="FH40" s="125"/>
      <c r="FI40" s="125"/>
      <c r="FJ40" s="125"/>
      <c r="FK40" s="125"/>
      <c r="FL40" s="125"/>
      <c r="FM40" s="125"/>
      <c r="FN40" s="125"/>
      <c r="FO40" s="125"/>
      <c r="FP40" s="125"/>
      <c r="FQ40" s="125"/>
      <c r="FR40" s="125"/>
      <c r="FS40" s="125"/>
      <c r="FT40" s="125"/>
      <c r="FU40" s="125"/>
      <c r="FV40" s="125"/>
      <c r="FW40" s="125"/>
      <c r="FX40" s="125"/>
      <c r="FY40" s="125"/>
      <c r="FZ40" s="125"/>
      <c r="GA40" s="125"/>
      <c r="GB40" s="125"/>
      <c r="GC40" s="125"/>
      <c r="GD40" s="125"/>
      <c r="GE40" s="125"/>
      <c r="GF40" s="125"/>
      <c r="GG40" s="125"/>
      <c r="GH40" s="125"/>
      <c r="GI40" s="125"/>
      <c r="GJ40" s="125"/>
      <c r="GK40" s="125"/>
      <c r="GL40" s="125"/>
      <c r="GM40" s="125"/>
      <c r="GN40" s="125"/>
      <c r="GO40" s="125"/>
      <c r="GP40" s="125"/>
      <c r="GQ40" s="125"/>
      <c r="GR40" s="125"/>
      <c r="GS40" s="125"/>
      <c r="GT40" s="125"/>
      <c r="GU40" s="125"/>
      <c r="GV40" s="125"/>
      <c r="GW40" s="125"/>
      <c r="GX40" s="125"/>
      <c r="GY40" s="125"/>
      <c r="GZ40" s="125"/>
      <c r="HA40" s="125"/>
      <c r="HB40" s="125"/>
      <c r="HC40" s="125"/>
      <c r="HD40" s="125"/>
      <c r="HE40" s="125"/>
      <c r="HF40" s="125"/>
      <c r="HG40" s="125"/>
      <c r="HH40" s="125"/>
      <c r="HI40" s="125"/>
      <c r="HJ40" s="125"/>
      <c r="HK40" s="125"/>
      <c r="HL40" s="125"/>
      <c r="HM40" s="125"/>
      <c r="HN40" s="125"/>
      <c r="HO40" s="125"/>
      <c r="HP40" s="125"/>
      <c r="HQ40" s="125"/>
      <c r="HR40" s="125"/>
      <c r="HS40" s="125"/>
      <c r="HT40" s="125"/>
      <c r="HU40" s="125"/>
      <c r="HV40" s="125"/>
      <c r="HW40" s="125"/>
      <c r="HX40" s="125"/>
      <c r="HY40" s="125"/>
      <c r="HZ40" s="125"/>
      <c r="IA40" s="125"/>
      <c r="IB40" s="125"/>
      <c r="IC40" s="125"/>
      <c r="ID40" s="125"/>
      <c r="IE40" s="125"/>
      <c r="IF40" s="125"/>
      <c r="IG40" s="125"/>
      <c r="IH40" s="125"/>
      <c r="II40" s="125"/>
      <c r="IJ40" s="125"/>
      <c r="IK40" s="125"/>
      <c r="IL40" s="125"/>
      <c r="IM40" s="125"/>
      <c r="IN40" s="125"/>
      <c r="IO40" s="125"/>
      <c r="IP40" s="125"/>
      <c r="IQ40" s="125"/>
      <c r="IR40" s="125"/>
      <c r="IS40" s="125"/>
      <c r="IT40" s="125"/>
      <c r="IU40" s="125"/>
      <c r="IV40" s="125"/>
      <c r="IW40" s="125"/>
    </row>
    <row r="41" customFormat="false" ht="26.25" hidden="false" customHeight="false" outlineLevel="0" collapsed="false">
      <c r="A41" s="178"/>
      <c r="B41" s="179" t="s">
        <v>256</v>
      </c>
      <c r="C41" s="180" t="s">
        <v>202</v>
      </c>
      <c r="D41" s="180" t="s">
        <v>267</v>
      </c>
      <c r="E41" s="180" t="s">
        <v>251</v>
      </c>
      <c r="F41" s="180" t="s">
        <v>215</v>
      </c>
      <c r="G41" s="180" t="s">
        <v>210</v>
      </c>
      <c r="H41" s="180" t="s">
        <v>257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  <c r="CQ41" s="125"/>
      <c r="CR41" s="125"/>
      <c r="CS41" s="125"/>
      <c r="CT41" s="125"/>
      <c r="CU41" s="125"/>
      <c r="CV41" s="125"/>
      <c r="CW41" s="125"/>
      <c r="CX41" s="125"/>
      <c r="CY41" s="125"/>
      <c r="CZ41" s="125"/>
      <c r="DA41" s="125"/>
      <c r="DB41" s="125"/>
      <c r="DC41" s="125"/>
      <c r="DD41" s="125"/>
      <c r="DE41" s="125"/>
      <c r="DF41" s="125"/>
      <c r="DG41" s="125"/>
      <c r="DH41" s="125"/>
      <c r="DI41" s="125"/>
      <c r="DJ41" s="125"/>
      <c r="DK41" s="125"/>
      <c r="DL41" s="125"/>
      <c r="DM41" s="125"/>
      <c r="DN41" s="125"/>
      <c r="DO41" s="125"/>
      <c r="DP41" s="125"/>
      <c r="DQ41" s="125"/>
      <c r="DR41" s="125"/>
      <c r="DS41" s="125"/>
      <c r="DT41" s="125"/>
      <c r="DU41" s="125"/>
      <c r="DV41" s="125"/>
      <c r="DW41" s="125"/>
      <c r="DX41" s="125"/>
      <c r="DY41" s="125"/>
      <c r="DZ41" s="125"/>
      <c r="EA41" s="125"/>
      <c r="EB41" s="125"/>
      <c r="EC41" s="125"/>
      <c r="ED41" s="125"/>
      <c r="EE41" s="125"/>
      <c r="EF41" s="125"/>
      <c r="EG41" s="125"/>
      <c r="EH41" s="125"/>
      <c r="EI41" s="125"/>
      <c r="EJ41" s="125"/>
      <c r="EK41" s="125"/>
      <c r="EL41" s="125"/>
      <c r="EM41" s="125"/>
      <c r="EN41" s="125"/>
      <c r="EO41" s="125"/>
      <c r="EP41" s="125"/>
      <c r="EQ41" s="125"/>
      <c r="ER41" s="125"/>
      <c r="ES41" s="125"/>
      <c r="ET41" s="125"/>
      <c r="EU41" s="125"/>
      <c r="EV41" s="125"/>
      <c r="EW41" s="125"/>
      <c r="EX41" s="125"/>
      <c r="EY41" s="125"/>
      <c r="EZ41" s="125"/>
      <c r="FA41" s="125"/>
      <c r="FB41" s="125"/>
      <c r="FC41" s="125"/>
      <c r="FD41" s="125"/>
      <c r="FE41" s="125"/>
      <c r="FF41" s="125"/>
      <c r="FG41" s="125"/>
      <c r="FH41" s="125"/>
      <c r="FI41" s="125"/>
      <c r="FJ41" s="125"/>
      <c r="FK41" s="125"/>
      <c r="FL41" s="125"/>
      <c r="FM41" s="125"/>
      <c r="FN41" s="125"/>
      <c r="FO41" s="125"/>
      <c r="FP41" s="125"/>
      <c r="FQ41" s="125"/>
      <c r="FR41" s="125"/>
      <c r="FS41" s="125"/>
      <c r="FT41" s="125"/>
      <c r="FU41" s="125"/>
      <c r="FV41" s="125"/>
      <c r="FW41" s="125"/>
      <c r="FX41" s="125"/>
      <c r="FY41" s="125"/>
      <c r="FZ41" s="125"/>
      <c r="GA41" s="125"/>
      <c r="GB41" s="125"/>
      <c r="GC41" s="125"/>
      <c r="GD41" s="125"/>
      <c r="GE41" s="125"/>
      <c r="GF41" s="125"/>
      <c r="GG41" s="125"/>
      <c r="GH41" s="125"/>
      <c r="GI41" s="125"/>
      <c r="GJ41" s="125"/>
      <c r="GK41" s="125"/>
      <c r="GL41" s="125"/>
      <c r="GM41" s="125"/>
      <c r="GN41" s="125"/>
      <c r="GO41" s="125"/>
      <c r="GP41" s="125"/>
      <c r="GQ41" s="125"/>
      <c r="GR41" s="125"/>
      <c r="GS41" s="125"/>
      <c r="GT41" s="125"/>
      <c r="GU41" s="125"/>
      <c r="GV41" s="125"/>
      <c r="GW41" s="125"/>
      <c r="GX41" s="125"/>
      <c r="GY41" s="125"/>
      <c r="GZ41" s="125"/>
      <c r="HA41" s="125"/>
      <c r="HB41" s="125"/>
      <c r="HC41" s="125"/>
      <c r="HD41" s="125"/>
      <c r="HE41" s="125"/>
      <c r="HF41" s="125"/>
      <c r="HG41" s="125"/>
      <c r="HH41" s="125"/>
      <c r="HI41" s="125"/>
      <c r="HJ41" s="125"/>
      <c r="HK41" s="125"/>
      <c r="HL41" s="125"/>
      <c r="HM41" s="125"/>
      <c r="HN41" s="125"/>
      <c r="HO41" s="125"/>
      <c r="HP41" s="125"/>
      <c r="HQ41" s="125"/>
      <c r="HR41" s="125"/>
      <c r="HS41" s="125"/>
      <c r="HT41" s="125"/>
      <c r="HU41" s="125"/>
      <c r="HV41" s="125"/>
      <c r="HW41" s="125"/>
      <c r="HX41" s="125"/>
      <c r="HY41" s="125"/>
      <c r="HZ41" s="125"/>
      <c r="IA41" s="125"/>
      <c r="IB41" s="125"/>
      <c r="IC41" s="125"/>
      <c r="ID41" s="125"/>
      <c r="IE41" s="125"/>
      <c r="IF41" s="125"/>
      <c r="IG41" s="125"/>
      <c r="IH41" s="125"/>
      <c r="II41" s="125"/>
      <c r="IJ41" s="125"/>
      <c r="IK41" s="125"/>
      <c r="IL41" s="125"/>
      <c r="IM41" s="125"/>
      <c r="IN41" s="125"/>
      <c r="IO41" s="125"/>
      <c r="IP41" s="125"/>
      <c r="IQ41" s="125"/>
      <c r="IR41" s="125"/>
      <c r="IS41" s="125"/>
      <c r="IT41" s="125"/>
      <c r="IU41" s="125"/>
      <c r="IV41" s="125"/>
      <c r="IW41" s="125"/>
    </row>
    <row r="42" customFormat="false" ht="15.75" hidden="false" customHeight="false" outlineLevel="0" collapsed="false">
      <c r="A42" s="64" t="n">
        <v>36706</v>
      </c>
      <c r="B42" s="181" t="n">
        <v>0</v>
      </c>
      <c r="C42" s="73" t="n">
        <f aca="false">B37</f>
        <v>400000000</v>
      </c>
      <c r="D42" s="73" t="n">
        <v>0</v>
      </c>
      <c r="E42" s="73" t="n">
        <v>0</v>
      </c>
      <c r="F42" s="73" t="n">
        <v>0</v>
      </c>
      <c r="G42" s="73" t="n">
        <f aca="false">+C42+D42+E42+F42</f>
        <v>400000000</v>
      </c>
      <c r="H42" s="73" t="n">
        <f aca="false">+F42</f>
        <v>0</v>
      </c>
      <c r="I42" s="64" t="n">
        <f aca="false">+A42</f>
        <v>36706</v>
      </c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  <c r="IW42" s="125"/>
    </row>
    <row r="43" customFormat="false" ht="15.75" hidden="false" customHeight="false" outlineLevel="0" collapsed="false">
      <c r="A43" s="64" t="n">
        <v>36889</v>
      </c>
      <c r="B43" s="181" t="n">
        <f aca="false">+B42+1</f>
        <v>1</v>
      </c>
      <c r="C43" s="73" t="n">
        <f aca="false">G42</f>
        <v>400000000</v>
      </c>
      <c r="D43" s="73" t="n">
        <f aca="false">+E66</f>
        <v>6861901.27927778</v>
      </c>
      <c r="E43" s="73" t="n">
        <v>0</v>
      </c>
      <c r="F43" s="73" t="n">
        <f aca="false">C43*$B$38/360*(A43-A42)</f>
        <v>14233333.3333333</v>
      </c>
      <c r="G43" s="73" t="n">
        <f aca="false">+C43+D43+E43+F43</f>
        <v>421095234.612611</v>
      </c>
      <c r="H43" s="73" t="n">
        <f aca="false">+H42+F43</f>
        <v>14233333.3333333</v>
      </c>
      <c r="I43" s="64" t="n">
        <f aca="false">+A43</f>
        <v>36889</v>
      </c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  <c r="IW43" s="125"/>
    </row>
    <row r="44" customFormat="false" ht="15.75" hidden="false" customHeight="false" outlineLevel="0" collapsed="false">
      <c r="A44" s="64" t="n">
        <v>37071</v>
      </c>
      <c r="B44" s="181" t="n">
        <f aca="false">+B43+1</f>
        <v>2</v>
      </c>
      <c r="C44" s="73" t="n">
        <f aca="false">G43</f>
        <v>421095234.612611</v>
      </c>
      <c r="D44" s="73" t="n">
        <f aca="false">+E71</f>
        <v>513942163.040628</v>
      </c>
      <c r="E44" s="73" t="n">
        <v>0</v>
      </c>
      <c r="F44" s="73" t="n">
        <f aca="false">C44*$B$38/360*(A44-A43)</f>
        <v>14902092.4693463</v>
      </c>
      <c r="G44" s="73" t="n">
        <f aca="false">+C44+D44+E44+F44</f>
        <v>949939490.122585</v>
      </c>
      <c r="H44" s="73" t="n">
        <f aca="false">+H43+F44</f>
        <v>29135425.8026796</v>
      </c>
      <c r="I44" s="64" t="n">
        <f aca="false">+A44</f>
        <v>37071</v>
      </c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5"/>
      <c r="DY44" s="125"/>
      <c r="DZ44" s="125"/>
      <c r="EA44" s="125"/>
      <c r="EB44" s="125"/>
      <c r="EC44" s="125"/>
      <c r="ED44" s="125"/>
      <c r="EE44" s="125"/>
      <c r="EF44" s="125"/>
      <c r="EG44" s="125"/>
      <c r="EH44" s="125"/>
      <c r="EI44" s="125"/>
      <c r="EJ44" s="125"/>
      <c r="EK44" s="125"/>
      <c r="EL44" s="125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125"/>
      <c r="EX44" s="125"/>
      <c r="EY44" s="125"/>
      <c r="EZ44" s="125"/>
      <c r="FA44" s="125"/>
      <c r="FB44" s="125"/>
      <c r="FC44" s="125"/>
      <c r="FD44" s="125"/>
      <c r="FE44" s="125"/>
      <c r="FF44" s="125"/>
      <c r="FG44" s="125"/>
      <c r="FH44" s="125"/>
      <c r="FI44" s="125"/>
      <c r="FJ44" s="125"/>
      <c r="FK44" s="125"/>
      <c r="FL44" s="125"/>
      <c r="FM44" s="125"/>
      <c r="FN44" s="125"/>
      <c r="FO44" s="125"/>
      <c r="FP44" s="125"/>
      <c r="FQ44" s="125"/>
      <c r="FR44" s="125"/>
      <c r="FS44" s="125"/>
      <c r="FT44" s="125"/>
      <c r="FU44" s="125"/>
      <c r="FV44" s="125"/>
      <c r="FW44" s="125"/>
      <c r="FX44" s="125"/>
      <c r="FY44" s="125"/>
      <c r="FZ44" s="125"/>
      <c r="GA44" s="125"/>
      <c r="GB44" s="125"/>
      <c r="GC44" s="125"/>
      <c r="GD44" s="125"/>
      <c r="GE44" s="125"/>
      <c r="GF44" s="125"/>
      <c r="GG44" s="125"/>
      <c r="GH44" s="125"/>
      <c r="GI44" s="125"/>
      <c r="GJ44" s="125"/>
      <c r="GK44" s="125"/>
      <c r="GL44" s="125"/>
      <c r="GM44" s="125"/>
      <c r="GN44" s="125"/>
      <c r="GO44" s="125"/>
      <c r="GP44" s="125"/>
      <c r="GQ44" s="125"/>
      <c r="GR44" s="125"/>
      <c r="GS44" s="125"/>
      <c r="GT44" s="125"/>
      <c r="GU44" s="125"/>
      <c r="GV44" s="125"/>
      <c r="GW44" s="125"/>
      <c r="GX44" s="125"/>
      <c r="GY44" s="125"/>
      <c r="GZ44" s="125"/>
      <c r="HA44" s="125"/>
      <c r="HB44" s="125"/>
      <c r="HC44" s="125"/>
      <c r="HD44" s="125"/>
      <c r="HE44" s="125"/>
      <c r="HF44" s="125"/>
      <c r="HG44" s="125"/>
      <c r="HH44" s="125"/>
      <c r="HI44" s="125"/>
      <c r="HJ44" s="125"/>
      <c r="HK44" s="125"/>
      <c r="HL44" s="125"/>
      <c r="HM44" s="125"/>
      <c r="HN44" s="125"/>
      <c r="HO44" s="125"/>
      <c r="HP44" s="125"/>
      <c r="HQ44" s="125"/>
      <c r="HR44" s="125"/>
      <c r="HS44" s="125"/>
      <c r="HT44" s="125"/>
      <c r="HU44" s="12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125"/>
      <c r="IG44" s="125"/>
      <c r="IH44" s="125"/>
      <c r="II44" s="125"/>
      <c r="IJ44" s="125"/>
      <c r="IK44" s="125"/>
      <c r="IL44" s="125"/>
      <c r="IM44" s="125"/>
      <c r="IN44" s="125"/>
      <c r="IO44" s="125"/>
      <c r="IP44" s="125"/>
      <c r="IQ44" s="125"/>
      <c r="IR44" s="125"/>
      <c r="IS44" s="125"/>
      <c r="IT44" s="125"/>
      <c r="IU44" s="125"/>
      <c r="IV44" s="125"/>
      <c r="IW44" s="125"/>
    </row>
    <row r="45" customFormat="false" ht="15.75" hidden="false" customHeight="false" outlineLevel="0" collapsed="false">
      <c r="A45" s="64" t="n">
        <v>37256</v>
      </c>
      <c r="B45" s="181" t="n">
        <f aca="false">+B44+1</f>
        <v>3</v>
      </c>
      <c r="C45" s="73" t="n">
        <f aca="false">G44</f>
        <v>949939490.122585</v>
      </c>
      <c r="D45" s="73" t="n">
        <v>0</v>
      </c>
      <c r="E45" s="73" t="n">
        <v>0</v>
      </c>
      <c r="F45" s="73" t="n">
        <f aca="false">C45*$B$38/360*(A45-A44)</f>
        <v>34171434.4363541</v>
      </c>
      <c r="G45" s="73" t="n">
        <f aca="false">+C45+D45+E45+F45</f>
        <v>984110924.558939</v>
      </c>
      <c r="H45" s="73" t="n">
        <f aca="false">+H44+F45</f>
        <v>63306860.2390337</v>
      </c>
      <c r="I45" s="64" t="n">
        <f aca="false">+A45</f>
        <v>37256</v>
      </c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25"/>
      <c r="EG45" s="125"/>
      <c r="EH45" s="125"/>
      <c r="EI45" s="125"/>
      <c r="EJ45" s="125"/>
      <c r="EK45" s="125"/>
      <c r="EL45" s="125"/>
      <c r="EM45" s="125"/>
      <c r="EN45" s="125"/>
      <c r="EO45" s="125"/>
      <c r="EP45" s="125"/>
      <c r="EQ45" s="125"/>
      <c r="ER45" s="125"/>
      <c r="ES45" s="125"/>
      <c r="ET45" s="125"/>
      <c r="EU45" s="125"/>
      <c r="EV45" s="125"/>
      <c r="EW45" s="125"/>
      <c r="EX45" s="125"/>
      <c r="EY45" s="125"/>
      <c r="EZ45" s="125"/>
      <c r="FA45" s="125"/>
      <c r="FB45" s="125"/>
      <c r="FC45" s="125"/>
      <c r="FD45" s="125"/>
      <c r="FE45" s="125"/>
      <c r="FF45" s="125"/>
      <c r="FG45" s="125"/>
      <c r="FH45" s="125"/>
      <c r="FI45" s="125"/>
      <c r="FJ45" s="125"/>
      <c r="FK45" s="125"/>
      <c r="FL45" s="125"/>
      <c r="FM45" s="125"/>
      <c r="FN45" s="125"/>
      <c r="FO45" s="125"/>
      <c r="FP45" s="125"/>
      <c r="FQ45" s="125"/>
      <c r="FR45" s="125"/>
      <c r="FS45" s="125"/>
      <c r="FT45" s="125"/>
      <c r="FU45" s="125"/>
      <c r="FV45" s="125"/>
      <c r="FW45" s="125"/>
      <c r="FX45" s="125"/>
      <c r="FY45" s="125"/>
      <c r="FZ45" s="125"/>
      <c r="GA45" s="125"/>
      <c r="GB45" s="125"/>
      <c r="GC45" s="125"/>
      <c r="GD45" s="125"/>
      <c r="GE45" s="125"/>
      <c r="GF45" s="125"/>
      <c r="GG45" s="125"/>
      <c r="GH45" s="125"/>
      <c r="GI45" s="125"/>
      <c r="GJ45" s="125"/>
      <c r="GK45" s="125"/>
      <c r="GL45" s="125"/>
      <c r="GM45" s="125"/>
      <c r="GN45" s="125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B45" s="125"/>
      <c r="HC45" s="125"/>
      <c r="HD45" s="125"/>
      <c r="HE45" s="125"/>
      <c r="HF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125"/>
      <c r="IG45" s="125"/>
      <c r="IH45" s="125"/>
      <c r="II45" s="125"/>
      <c r="IJ45" s="125"/>
      <c r="IK45" s="125"/>
      <c r="IL45" s="125"/>
      <c r="IM45" s="125"/>
      <c r="IN45" s="125"/>
      <c r="IO45" s="125"/>
      <c r="IP45" s="125"/>
      <c r="IQ45" s="125"/>
      <c r="IR45" s="125"/>
      <c r="IS45" s="125"/>
      <c r="IT45" s="125"/>
      <c r="IU45" s="125"/>
      <c r="IV45" s="125"/>
      <c r="IW45" s="125"/>
    </row>
    <row r="46" customFormat="false" ht="15.75" hidden="false" customHeight="false" outlineLevel="0" collapsed="false">
      <c r="A46" s="64" t="n">
        <v>37436</v>
      </c>
      <c r="B46" s="181" t="n">
        <f aca="false">+B45+1</f>
        <v>4</v>
      </c>
      <c r="C46" s="73" t="n">
        <f aca="false">G45</f>
        <v>984110924.558939</v>
      </c>
      <c r="D46" s="73" t="n">
        <v>0</v>
      </c>
      <c r="E46" s="73" t="n">
        <v>0</v>
      </c>
      <c r="F46" s="73" t="n">
        <f aca="false">C46*$B$38/360*(A46-A45)</f>
        <v>34443882.3595629</v>
      </c>
      <c r="G46" s="73" t="n">
        <f aca="false">+C46+D46+E46+F46</f>
        <v>1018554806.9185</v>
      </c>
      <c r="H46" s="73" t="n">
        <f aca="false">+H45+F46</f>
        <v>97750742.5985966</v>
      </c>
      <c r="I46" s="64" t="n">
        <f aca="false">+A46</f>
        <v>37436</v>
      </c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  <c r="FE46" s="125"/>
      <c r="FF46" s="125"/>
      <c r="FG46" s="125"/>
      <c r="FH46" s="125"/>
      <c r="FI46" s="125"/>
      <c r="FJ46" s="125"/>
      <c r="FK46" s="125"/>
      <c r="FL46" s="125"/>
      <c r="FM46" s="125"/>
      <c r="FN46" s="125"/>
      <c r="FO46" s="125"/>
      <c r="FP46" s="125"/>
      <c r="FQ46" s="125"/>
      <c r="FR46" s="125"/>
      <c r="FS46" s="125"/>
      <c r="FT46" s="125"/>
      <c r="FU46" s="125"/>
      <c r="FV46" s="125"/>
      <c r="FW46" s="125"/>
      <c r="FX46" s="125"/>
      <c r="FY46" s="125"/>
      <c r="FZ46" s="125"/>
      <c r="GA46" s="125"/>
      <c r="GB46" s="125"/>
      <c r="GC46" s="125"/>
      <c r="GD46" s="125"/>
      <c r="GE46" s="125"/>
      <c r="GF46" s="125"/>
      <c r="GG46" s="125"/>
      <c r="GH46" s="125"/>
      <c r="GI46" s="125"/>
      <c r="GJ46" s="125"/>
      <c r="GK46" s="125"/>
      <c r="GL46" s="125"/>
      <c r="GM46" s="125"/>
      <c r="GN46" s="125"/>
      <c r="GO46" s="125"/>
      <c r="GP46" s="125"/>
      <c r="GQ46" s="125"/>
      <c r="GR46" s="125"/>
      <c r="GS46" s="125"/>
      <c r="GT46" s="125"/>
      <c r="GU46" s="125"/>
      <c r="GV46" s="125"/>
      <c r="GW46" s="125"/>
      <c r="GX46" s="125"/>
      <c r="GY46" s="125"/>
      <c r="GZ46" s="125"/>
      <c r="HA46" s="125"/>
      <c r="HB46" s="125"/>
      <c r="HC46" s="125"/>
      <c r="HD46" s="125"/>
      <c r="HE46" s="125"/>
      <c r="HF46" s="125"/>
      <c r="HG46" s="125"/>
      <c r="HH46" s="125"/>
      <c r="HI46" s="125"/>
      <c r="HJ46" s="125"/>
      <c r="HK46" s="125"/>
      <c r="HL46" s="125"/>
      <c r="HM46" s="125"/>
      <c r="HN46" s="125"/>
      <c r="HO46" s="125"/>
      <c r="HP46" s="125"/>
      <c r="HQ46" s="125"/>
      <c r="HR46" s="125"/>
      <c r="HS46" s="125"/>
      <c r="HT46" s="125"/>
      <c r="HU46" s="12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125"/>
      <c r="IG46" s="125"/>
      <c r="IH46" s="125"/>
      <c r="II46" s="125"/>
      <c r="IJ46" s="125"/>
      <c r="IK46" s="125"/>
      <c r="IL46" s="125"/>
      <c r="IM46" s="125"/>
      <c r="IN46" s="125"/>
      <c r="IO46" s="125"/>
      <c r="IP46" s="125"/>
      <c r="IQ46" s="125"/>
      <c r="IR46" s="125"/>
      <c r="IS46" s="125"/>
      <c r="IT46" s="125"/>
      <c r="IU46" s="125"/>
      <c r="IV46" s="125"/>
      <c r="IW46" s="125"/>
    </row>
    <row r="47" customFormat="false" ht="15.75" hidden="false" customHeight="false" outlineLevel="0" collapsed="false">
      <c r="A47" s="64" t="n">
        <v>37619</v>
      </c>
      <c r="B47" s="181" t="n">
        <f aca="false">+B46+1</f>
        <v>5</v>
      </c>
      <c r="C47" s="73" t="n">
        <f aca="false">G46</f>
        <v>1018554806.9185</v>
      </c>
      <c r="D47" s="73" t="n">
        <v>0</v>
      </c>
      <c r="E47" s="73" t="n">
        <v>0</v>
      </c>
      <c r="F47" s="73" t="n">
        <f aca="false">C47*$B$38/360*(A47-A46)</f>
        <v>36243575.21285</v>
      </c>
      <c r="G47" s="73" t="n">
        <f aca="false">+C47+D47+E47+F47</f>
        <v>1054798382.13135</v>
      </c>
      <c r="H47" s="73" t="n">
        <f aca="false">+H46+F47</f>
        <v>133994317.811447</v>
      </c>
      <c r="I47" s="64" t="n">
        <f aca="false">+A47</f>
        <v>37619</v>
      </c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5"/>
      <c r="DU47" s="125"/>
      <c r="DV47" s="125"/>
      <c r="DW47" s="125"/>
      <c r="DX47" s="125"/>
      <c r="DY47" s="125"/>
      <c r="DZ47" s="125"/>
      <c r="EA47" s="125"/>
      <c r="EB47" s="125"/>
      <c r="EC47" s="125"/>
      <c r="ED47" s="125"/>
      <c r="EE47" s="125"/>
      <c r="EF47" s="125"/>
      <c r="EG47" s="125"/>
      <c r="EH47" s="125"/>
      <c r="EI47" s="125"/>
      <c r="EJ47" s="125"/>
      <c r="EK47" s="125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125"/>
      <c r="FF47" s="125"/>
      <c r="FG47" s="125"/>
      <c r="FH47" s="125"/>
      <c r="FI47" s="125"/>
      <c r="FJ47" s="125"/>
      <c r="FK47" s="125"/>
      <c r="FL47" s="125"/>
      <c r="FM47" s="125"/>
      <c r="FN47" s="125"/>
      <c r="FO47" s="125"/>
      <c r="FP47" s="125"/>
      <c r="FQ47" s="125"/>
      <c r="FR47" s="125"/>
      <c r="FS47" s="125"/>
      <c r="FT47" s="125"/>
      <c r="FU47" s="125"/>
      <c r="FV47" s="125"/>
      <c r="FW47" s="125"/>
      <c r="FX47" s="125"/>
      <c r="FY47" s="125"/>
      <c r="FZ47" s="125"/>
      <c r="GA47" s="125"/>
      <c r="GB47" s="125"/>
      <c r="GC47" s="125"/>
      <c r="GD47" s="125"/>
      <c r="GE47" s="125"/>
      <c r="GF47" s="125"/>
      <c r="GG47" s="125"/>
      <c r="GH47" s="125"/>
      <c r="GI47" s="125"/>
      <c r="GJ47" s="125"/>
      <c r="GK47" s="125"/>
      <c r="GL47" s="125"/>
      <c r="GM47" s="125"/>
      <c r="GN47" s="125"/>
      <c r="GO47" s="125"/>
      <c r="GP47" s="125"/>
      <c r="GQ47" s="125"/>
      <c r="GR47" s="125"/>
      <c r="GS47" s="125"/>
      <c r="GT47" s="125"/>
      <c r="GU47" s="125"/>
      <c r="GV47" s="125"/>
      <c r="GW47" s="125"/>
      <c r="GX47" s="125"/>
      <c r="GY47" s="125"/>
      <c r="GZ47" s="125"/>
      <c r="HA47" s="125"/>
      <c r="HB47" s="125"/>
      <c r="HC47" s="125"/>
      <c r="HD47" s="125"/>
      <c r="HE47" s="125"/>
      <c r="HF47" s="125"/>
      <c r="HG47" s="125"/>
      <c r="HH47" s="125"/>
      <c r="HI47" s="125"/>
      <c r="HJ47" s="125"/>
      <c r="HK47" s="125"/>
      <c r="HL47" s="125"/>
      <c r="HM47" s="125"/>
      <c r="HN47" s="125"/>
      <c r="HO47" s="125"/>
      <c r="HP47" s="125"/>
      <c r="HQ47" s="125"/>
      <c r="HR47" s="125"/>
      <c r="HS47" s="125"/>
      <c r="HT47" s="125"/>
      <c r="HU47" s="12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125"/>
      <c r="IG47" s="125"/>
      <c r="IH47" s="125"/>
      <c r="II47" s="125"/>
      <c r="IJ47" s="125"/>
      <c r="IK47" s="125"/>
      <c r="IL47" s="125"/>
      <c r="IM47" s="125"/>
      <c r="IN47" s="125"/>
      <c r="IO47" s="125"/>
      <c r="IP47" s="125"/>
      <c r="IQ47" s="125"/>
      <c r="IR47" s="125"/>
      <c r="IS47" s="125"/>
      <c r="IT47" s="125"/>
      <c r="IU47" s="125"/>
      <c r="IV47" s="125"/>
      <c r="IW47" s="125"/>
    </row>
    <row r="48" customFormat="false" ht="15.75" hidden="false" customHeight="false" outlineLevel="0" collapsed="false">
      <c r="A48" s="64" t="n">
        <v>37801</v>
      </c>
      <c r="B48" s="181" t="n">
        <f aca="false">+B47+1</f>
        <v>6</v>
      </c>
      <c r="C48" s="73" t="n">
        <f aca="false">G47</f>
        <v>1054798382.13135</v>
      </c>
      <c r="D48" s="73" t="n">
        <v>0</v>
      </c>
      <c r="E48" s="73" t="n">
        <v>0</v>
      </c>
      <c r="F48" s="73" t="n">
        <f aca="false">C48*$B$38/360*(A48-A47)</f>
        <v>37328142.7454262</v>
      </c>
      <c r="G48" s="73" t="n">
        <f aca="false">+C48+D48+E48+F48</f>
        <v>1092126524.87678</v>
      </c>
      <c r="H48" s="73" t="n">
        <f aca="false">+H47+F48</f>
        <v>171322460.556873</v>
      </c>
      <c r="I48" s="64" t="n">
        <f aca="false">+A48</f>
        <v>37801</v>
      </c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5"/>
      <c r="CP48" s="125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25"/>
      <c r="EG48" s="125"/>
      <c r="EH48" s="125"/>
      <c r="EI48" s="125"/>
      <c r="EJ48" s="125"/>
      <c r="EK48" s="125"/>
      <c r="EL48" s="125"/>
      <c r="EM48" s="125"/>
      <c r="EN48" s="125"/>
      <c r="EO48" s="125"/>
      <c r="EP48" s="125"/>
      <c r="EQ48" s="125"/>
      <c r="ER48" s="125"/>
      <c r="ES48" s="125"/>
      <c r="ET48" s="125"/>
      <c r="EU48" s="125"/>
      <c r="EV48" s="125"/>
      <c r="EW48" s="125"/>
      <c r="EX48" s="125"/>
      <c r="EY48" s="125"/>
      <c r="EZ48" s="125"/>
      <c r="FA48" s="125"/>
      <c r="FB48" s="125"/>
      <c r="FC48" s="125"/>
      <c r="FD48" s="125"/>
      <c r="FE48" s="125"/>
      <c r="FF48" s="125"/>
      <c r="FG48" s="125"/>
      <c r="FH48" s="125"/>
      <c r="FI48" s="125"/>
      <c r="FJ48" s="125"/>
      <c r="FK48" s="125"/>
      <c r="FL48" s="125"/>
      <c r="FM48" s="125"/>
      <c r="FN48" s="125"/>
      <c r="FO48" s="125"/>
      <c r="FP48" s="125"/>
      <c r="FQ48" s="125"/>
      <c r="FR48" s="125"/>
      <c r="FS48" s="125"/>
      <c r="FT48" s="125"/>
      <c r="FU48" s="125"/>
      <c r="FV48" s="125"/>
      <c r="FW48" s="125"/>
      <c r="FX48" s="125"/>
      <c r="FY48" s="125"/>
      <c r="FZ48" s="125"/>
      <c r="GA48" s="125"/>
      <c r="GB48" s="125"/>
      <c r="GC48" s="125"/>
      <c r="GD48" s="125"/>
      <c r="GE48" s="125"/>
      <c r="GF48" s="125"/>
      <c r="GG48" s="125"/>
      <c r="GH48" s="125"/>
      <c r="GI48" s="125"/>
      <c r="GJ48" s="125"/>
      <c r="GK48" s="125"/>
      <c r="GL48" s="125"/>
      <c r="GM48" s="125"/>
      <c r="GN48" s="125"/>
      <c r="GO48" s="125"/>
      <c r="GP48" s="125"/>
      <c r="GQ48" s="125"/>
      <c r="GR48" s="125"/>
      <c r="GS48" s="125"/>
      <c r="GT48" s="125"/>
      <c r="GU48" s="125"/>
      <c r="GV48" s="125"/>
      <c r="GW48" s="125"/>
      <c r="GX48" s="125"/>
      <c r="GY48" s="125"/>
      <c r="GZ48" s="125"/>
      <c r="HA48" s="125"/>
      <c r="HB48" s="125"/>
      <c r="HC48" s="125"/>
      <c r="HD48" s="125"/>
      <c r="HE48" s="125"/>
      <c r="HF48" s="125"/>
      <c r="HG48" s="125"/>
      <c r="HH48" s="125"/>
      <c r="HI48" s="125"/>
      <c r="HJ48" s="125"/>
      <c r="HK48" s="125"/>
      <c r="HL48" s="125"/>
      <c r="HM48" s="125"/>
      <c r="HN48" s="125"/>
      <c r="HO48" s="125"/>
      <c r="HP48" s="125"/>
      <c r="HQ48" s="125"/>
      <c r="HR48" s="125"/>
      <c r="HS48" s="125"/>
      <c r="HT48" s="125"/>
      <c r="HU48" s="12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125"/>
      <c r="IG48" s="125"/>
      <c r="IH48" s="125"/>
      <c r="II48" s="125"/>
      <c r="IJ48" s="125"/>
      <c r="IK48" s="125"/>
      <c r="IL48" s="125"/>
      <c r="IM48" s="125"/>
      <c r="IN48" s="125"/>
      <c r="IO48" s="125"/>
      <c r="IP48" s="125"/>
      <c r="IQ48" s="125"/>
      <c r="IR48" s="125"/>
      <c r="IS48" s="125"/>
      <c r="IT48" s="125"/>
      <c r="IU48" s="125"/>
      <c r="IV48" s="125"/>
      <c r="IW48" s="125"/>
    </row>
    <row r="49" customFormat="false" ht="15.75" hidden="false" customHeight="false" outlineLevel="0" collapsed="false">
      <c r="A49" s="64" t="n">
        <v>37984</v>
      </c>
      <c r="B49" s="181" t="n">
        <f aca="false">+B48+1</f>
        <v>7</v>
      </c>
      <c r="C49" s="73" t="n">
        <f aca="false">G48</f>
        <v>1092126524.87678</v>
      </c>
      <c r="D49" s="73" t="n">
        <v>0</v>
      </c>
      <c r="E49" s="73" t="n">
        <v>0</v>
      </c>
      <c r="F49" s="73" t="n">
        <f aca="false">C49*$B$38/360*(A49-A48)</f>
        <v>38861502.1768654</v>
      </c>
      <c r="G49" s="73" t="n">
        <f aca="false">+C49+D49+E49+F49</f>
        <v>1130988027.05364</v>
      </c>
      <c r="H49" s="73" t="n">
        <f aca="false">+H48+F49</f>
        <v>210183962.733738</v>
      </c>
      <c r="I49" s="64" t="n">
        <f aca="false">+A49</f>
        <v>37984</v>
      </c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  <c r="EC49" s="125"/>
      <c r="ED49" s="125"/>
      <c r="EE49" s="125"/>
      <c r="EF49" s="125"/>
      <c r="EG49" s="125"/>
      <c r="EH49" s="125"/>
      <c r="EI49" s="125"/>
      <c r="EJ49" s="125"/>
      <c r="EK49" s="125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125"/>
      <c r="FF49" s="125"/>
      <c r="FG49" s="125"/>
      <c r="FH49" s="125"/>
      <c r="FI49" s="125"/>
      <c r="FJ49" s="125"/>
      <c r="FK49" s="125"/>
      <c r="FL49" s="125"/>
      <c r="FM49" s="125"/>
      <c r="FN49" s="125"/>
      <c r="FO49" s="125"/>
      <c r="FP49" s="125"/>
      <c r="FQ49" s="125"/>
      <c r="FR49" s="125"/>
      <c r="FS49" s="125"/>
      <c r="FT49" s="125"/>
      <c r="FU49" s="125"/>
      <c r="FV49" s="125"/>
      <c r="FW49" s="125"/>
      <c r="FX49" s="125"/>
      <c r="FY49" s="125"/>
      <c r="FZ49" s="125"/>
      <c r="GA49" s="125"/>
      <c r="GB49" s="125"/>
      <c r="GC49" s="125"/>
      <c r="GD49" s="125"/>
      <c r="GE49" s="125"/>
      <c r="GF49" s="125"/>
      <c r="GG49" s="125"/>
      <c r="GH49" s="125"/>
      <c r="GI49" s="125"/>
      <c r="GJ49" s="125"/>
      <c r="GK49" s="125"/>
      <c r="GL49" s="125"/>
      <c r="GM49" s="125"/>
      <c r="GN49" s="125"/>
      <c r="GO49" s="125"/>
      <c r="GP49" s="125"/>
      <c r="GQ49" s="125"/>
      <c r="GR49" s="125"/>
      <c r="GS49" s="125"/>
      <c r="GT49" s="125"/>
      <c r="GU49" s="125"/>
      <c r="GV49" s="125"/>
      <c r="GW49" s="125"/>
      <c r="GX49" s="125"/>
      <c r="GY49" s="125"/>
      <c r="GZ49" s="125"/>
      <c r="HA49" s="125"/>
      <c r="HB49" s="125"/>
      <c r="HC49" s="125"/>
      <c r="HD49" s="125"/>
      <c r="HE49" s="125"/>
      <c r="HF49" s="125"/>
      <c r="HG49" s="125"/>
      <c r="HH49" s="125"/>
      <c r="HI49" s="125"/>
      <c r="HJ49" s="125"/>
      <c r="HK49" s="125"/>
      <c r="HL49" s="125"/>
      <c r="HM49" s="125"/>
      <c r="HN49" s="125"/>
      <c r="HO49" s="125"/>
      <c r="HP49" s="125"/>
      <c r="HQ49" s="125"/>
      <c r="HR49" s="125"/>
      <c r="HS49" s="125"/>
      <c r="HT49" s="125"/>
      <c r="HU49" s="12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125"/>
      <c r="IG49" s="125"/>
      <c r="IH49" s="125"/>
      <c r="II49" s="125"/>
      <c r="IJ49" s="125"/>
      <c r="IK49" s="125"/>
      <c r="IL49" s="125"/>
      <c r="IM49" s="125"/>
      <c r="IN49" s="125"/>
      <c r="IO49" s="125"/>
      <c r="IP49" s="125"/>
      <c r="IQ49" s="125"/>
      <c r="IR49" s="125"/>
      <c r="IS49" s="125"/>
      <c r="IT49" s="125"/>
      <c r="IU49" s="125"/>
      <c r="IV49" s="125"/>
      <c r="IW49" s="125"/>
    </row>
    <row r="50" customFormat="false" ht="15.75" hidden="false" customHeight="false" outlineLevel="0" collapsed="false">
      <c r="A50" s="64" t="n">
        <v>38167</v>
      </c>
      <c r="B50" s="181" t="n">
        <f aca="false">+B49+1</f>
        <v>8</v>
      </c>
      <c r="C50" s="73" t="n">
        <f aca="false">G49</f>
        <v>1130988027.05364</v>
      </c>
      <c r="D50" s="73" t="n">
        <v>0</v>
      </c>
      <c r="E50" s="73" t="n">
        <v>0</v>
      </c>
      <c r="F50" s="73" t="n">
        <f aca="false">C50*$B$38/360*(A50-A49)</f>
        <v>40244323.9626588</v>
      </c>
      <c r="G50" s="73" t="n">
        <f aca="false">+C50+D50+E50+F50</f>
        <v>1171232351.0163</v>
      </c>
      <c r="H50" s="73" t="n">
        <f aca="false">+H49+F50</f>
        <v>250428286.696397</v>
      </c>
      <c r="I50" s="64" t="n">
        <f aca="false">+A50</f>
        <v>38167</v>
      </c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5"/>
      <c r="DU50" s="125"/>
      <c r="DV50" s="125"/>
      <c r="DW50" s="125"/>
      <c r="DX50" s="125"/>
      <c r="DY50" s="125"/>
      <c r="DZ50" s="125"/>
      <c r="EA50" s="125"/>
      <c r="EB50" s="125"/>
      <c r="EC50" s="125"/>
      <c r="ED50" s="125"/>
      <c r="EE50" s="125"/>
      <c r="EF50" s="125"/>
      <c r="EG50" s="125"/>
      <c r="EH50" s="125"/>
      <c r="EI50" s="125"/>
      <c r="EJ50" s="125"/>
      <c r="EK50" s="125"/>
      <c r="EL50" s="125"/>
      <c r="EM50" s="125"/>
      <c r="EN50" s="125"/>
      <c r="EO50" s="125"/>
      <c r="EP50" s="125"/>
      <c r="EQ50" s="125"/>
      <c r="ER50" s="125"/>
      <c r="ES50" s="125"/>
      <c r="ET50" s="125"/>
      <c r="EU50" s="125"/>
      <c r="EV50" s="125"/>
      <c r="EW50" s="125"/>
      <c r="EX50" s="125"/>
      <c r="EY50" s="125"/>
      <c r="EZ50" s="125"/>
      <c r="FA50" s="125"/>
      <c r="FB50" s="125"/>
      <c r="FC50" s="125"/>
      <c r="FD50" s="125"/>
      <c r="FE50" s="125"/>
      <c r="FF50" s="125"/>
      <c r="FG50" s="125"/>
      <c r="FH50" s="125"/>
      <c r="FI50" s="125"/>
      <c r="FJ50" s="125"/>
      <c r="FK50" s="125"/>
      <c r="FL50" s="125"/>
      <c r="FM50" s="125"/>
      <c r="FN50" s="125"/>
      <c r="FO50" s="125"/>
      <c r="FP50" s="125"/>
      <c r="FQ50" s="125"/>
      <c r="FR50" s="125"/>
      <c r="FS50" s="125"/>
      <c r="FT50" s="125"/>
      <c r="FU50" s="125"/>
      <c r="FV50" s="125"/>
      <c r="FW50" s="125"/>
      <c r="FX50" s="125"/>
      <c r="FY50" s="125"/>
      <c r="FZ50" s="125"/>
      <c r="GA50" s="125"/>
      <c r="GB50" s="125"/>
      <c r="GC50" s="125"/>
      <c r="GD50" s="125"/>
      <c r="GE50" s="125"/>
      <c r="GF50" s="125"/>
      <c r="GG50" s="125"/>
      <c r="GH50" s="125"/>
      <c r="GI50" s="125"/>
      <c r="GJ50" s="125"/>
      <c r="GK50" s="125"/>
      <c r="GL50" s="125"/>
      <c r="GM50" s="125"/>
      <c r="GN50" s="125"/>
      <c r="GO50" s="125"/>
      <c r="GP50" s="125"/>
      <c r="GQ50" s="125"/>
      <c r="GR50" s="125"/>
      <c r="GS50" s="125"/>
      <c r="GT50" s="125"/>
      <c r="GU50" s="125"/>
      <c r="GV50" s="125"/>
      <c r="GW50" s="125"/>
      <c r="GX50" s="125"/>
      <c r="GY50" s="125"/>
      <c r="GZ50" s="125"/>
      <c r="HA50" s="125"/>
      <c r="HB50" s="125"/>
      <c r="HC50" s="125"/>
      <c r="HD50" s="125"/>
      <c r="HE50" s="125"/>
      <c r="HF50" s="125"/>
      <c r="HG50" s="125"/>
      <c r="HH50" s="125"/>
      <c r="HI50" s="125"/>
      <c r="HJ50" s="125"/>
      <c r="HK50" s="125"/>
      <c r="HL50" s="125"/>
      <c r="HM50" s="125"/>
      <c r="HN50" s="125"/>
      <c r="HO50" s="125"/>
      <c r="HP50" s="125"/>
      <c r="HQ50" s="125"/>
      <c r="HR50" s="125"/>
      <c r="HS50" s="125"/>
      <c r="HT50" s="125"/>
      <c r="HU50" s="125"/>
      <c r="HV50" s="125"/>
      <c r="HW50" s="125"/>
      <c r="HX50" s="125"/>
      <c r="HY50" s="125"/>
      <c r="HZ50" s="125"/>
      <c r="IA50" s="125"/>
      <c r="IB50" s="125"/>
      <c r="IC50" s="125"/>
      <c r="ID50" s="125"/>
      <c r="IE50" s="125"/>
      <c r="IF50" s="125"/>
      <c r="IG50" s="125"/>
      <c r="IH50" s="125"/>
      <c r="II50" s="125"/>
      <c r="IJ50" s="125"/>
      <c r="IK50" s="125"/>
      <c r="IL50" s="125"/>
      <c r="IM50" s="125"/>
      <c r="IN50" s="125"/>
      <c r="IO50" s="125"/>
      <c r="IP50" s="125"/>
      <c r="IQ50" s="125"/>
      <c r="IR50" s="125"/>
      <c r="IS50" s="125"/>
      <c r="IT50" s="125"/>
      <c r="IU50" s="125"/>
      <c r="IV50" s="125"/>
      <c r="IW50" s="125"/>
    </row>
    <row r="51" customFormat="false" ht="15.75" hidden="false" customHeight="false" outlineLevel="0" collapsed="false">
      <c r="A51" s="64" t="n">
        <v>38350</v>
      </c>
      <c r="B51" s="181" t="n">
        <f aca="false">+B50+1</f>
        <v>9</v>
      </c>
      <c r="C51" s="73" t="n">
        <f aca="false">G50</f>
        <v>1171232351.0163</v>
      </c>
      <c r="D51" s="73" t="n">
        <v>0</v>
      </c>
      <c r="E51" s="73" t="n">
        <v>0</v>
      </c>
      <c r="F51" s="73" t="n">
        <f aca="false">C51*$B$38/360*(A51-A50)</f>
        <v>41676351.1569968</v>
      </c>
      <c r="G51" s="73" t="n">
        <f aca="false">+C51+D51+E51+F51</f>
        <v>1212908702.1733</v>
      </c>
      <c r="H51" s="73" t="n">
        <f aca="false">+H50+F51</f>
        <v>292104637.853394</v>
      </c>
      <c r="I51" s="64" t="n">
        <f aca="false">+A51</f>
        <v>38350</v>
      </c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  <c r="EC51" s="125"/>
      <c r="ED51" s="125"/>
      <c r="EE51" s="125"/>
      <c r="EF51" s="125"/>
      <c r="EG51" s="125"/>
      <c r="EH51" s="125"/>
      <c r="EI51" s="125"/>
      <c r="EJ51" s="125"/>
      <c r="EK51" s="125"/>
      <c r="EL51" s="125"/>
      <c r="EM51" s="125"/>
      <c r="EN51" s="125"/>
      <c r="EO51" s="125"/>
      <c r="EP51" s="125"/>
      <c r="EQ51" s="125"/>
      <c r="ER51" s="125"/>
      <c r="ES51" s="125"/>
      <c r="ET51" s="125"/>
      <c r="EU51" s="125"/>
      <c r="EV51" s="125"/>
      <c r="EW51" s="125"/>
      <c r="EX51" s="125"/>
      <c r="EY51" s="125"/>
      <c r="EZ51" s="125"/>
      <c r="FA51" s="125"/>
      <c r="FB51" s="125"/>
      <c r="FC51" s="125"/>
      <c r="FD51" s="125"/>
      <c r="FE51" s="125"/>
      <c r="FF51" s="125"/>
      <c r="FG51" s="125"/>
      <c r="FH51" s="125"/>
      <c r="FI51" s="125"/>
      <c r="FJ51" s="125"/>
      <c r="FK51" s="125"/>
      <c r="FL51" s="125"/>
      <c r="FM51" s="125"/>
      <c r="FN51" s="125"/>
      <c r="FO51" s="125"/>
      <c r="FP51" s="125"/>
      <c r="FQ51" s="125"/>
      <c r="FR51" s="125"/>
      <c r="FS51" s="125"/>
      <c r="FT51" s="125"/>
      <c r="FU51" s="125"/>
      <c r="FV51" s="125"/>
      <c r="FW51" s="125"/>
      <c r="FX51" s="125"/>
      <c r="FY51" s="125"/>
      <c r="FZ51" s="125"/>
      <c r="GA51" s="125"/>
      <c r="GB51" s="125"/>
      <c r="GC51" s="125"/>
      <c r="GD51" s="125"/>
      <c r="GE51" s="125"/>
      <c r="GF51" s="125"/>
      <c r="GG51" s="125"/>
      <c r="GH51" s="125"/>
      <c r="GI51" s="125"/>
      <c r="GJ51" s="125"/>
      <c r="GK51" s="125"/>
      <c r="GL51" s="125"/>
      <c r="GM51" s="125"/>
      <c r="GN51" s="125"/>
      <c r="GO51" s="125"/>
      <c r="GP51" s="125"/>
      <c r="GQ51" s="125"/>
      <c r="GR51" s="125"/>
      <c r="GS51" s="125"/>
      <c r="GT51" s="125"/>
      <c r="GU51" s="125"/>
      <c r="GV51" s="125"/>
      <c r="GW51" s="125"/>
      <c r="GX51" s="125"/>
      <c r="GY51" s="125"/>
      <c r="GZ51" s="125"/>
      <c r="HA51" s="125"/>
      <c r="HB51" s="125"/>
      <c r="HC51" s="125"/>
      <c r="HD51" s="125"/>
      <c r="HE51" s="125"/>
      <c r="HF51" s="125"/>
      <c r="HG51" s="125"/>
      <c r="HH51" s="125"/>
      <c r="HI51" s="125"/>
      <c r="HJ51" s="125"/>
      <c r="HK51" s="125"/>
      <c r="HL51" s="125"/>
      <c r="HM51" s="125"/>
      <c r="HN51" s="125"/>
      <c r="HO51" s="125"/>
      <c r="HP51" s="125"/>
      <c r="HQ51" s="125"/>
      <c r="HR51" s="125"/>
      <c r="HS51" s="125"/>
      <c r="HT51" s="125"/>
      <c r="HU51" s="125"/>
      <c r="HV51" s="125"/>
      <c r="HW51" s="125"/>
      <c r="HX51" s="125"/>
      <c r="HY51" s="125"/>
      <c r="HZ51" s="125"/>
      <c r="IA51" s="125"/>
      <c r="IB51" s="125"/>
      <c r="IC51" s="125"/>
      <c r="ID51" s="125"/>
      <c r="IE51" s="125"/>
      <c r="IF51" s="125"/>
      <c r="IG51" s="125"/>
      <c r="IH51" s="125"/>
      <c r="II51" s="125"/>
      <c r="IJ51" s="125"/>
      <c r="IK51" s="125"/>
      <c r="IL51" s="125"/>
      <c r="IM51" s="125"/>
      <c r="IN51" s="125"/>
      <c r="IO51" s="125"/>
      <c r="IP51" s="125"/>
      <c r="IQ51" s="125"/>
      <c r="IR51" s="125"/>
      <c r="IS51" s="125"/>
      <c r="IT51" s="125"/>
      <c r="IU51" s="125"/>
      <c r="IV51" s="125"/>
      <c r="IW51" s="125"/>
    </row>
    <row r="52" customFormat="false" ht="15.75" hidden="false" customHeight="false" outlineLevel="0" collapsed="false">
      <c r="A52" s="64" t="n">
        <v>38532</v>
      </c>
      <c r="B52" s="181" t="n">
        <f aca="false">+B51+1</f>
        <v>10</v>
      </c>
      <c r="C52" s="73" t="n">
        <f aca="false">G51</f>
        <v>1212908702.1733</v>
      </c>
      <c r="D52" s="73" t="n">
        <v>0</v>
      </c>
      <c r="E52" s="73" t="n">
        <v>0</v>
      </c>
      <c r="F52" s="73" t="n">
        <f aca="false">C52*$B$38/360*(A52-A51)</f>
        <v>42923491.2935773</v>
      </c>
      <c r="G52" s="73" t="n">
        <f aca="false">+C52+D52+E52+F52</f>
        <v>1255832193.46688</v>
      </c>
      <c r="H52" s="73" t="n">
        <f aca="false">+H51+F52</f>
        <v>335028129.146971</v>
      </c>
      <c r="I52" s="64" t="n">
        <f aca="false">+A52</f>
        <v>38532</v>
      </c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125"/>
      <c r="FY52" s="125"/>
      <c r="FZ52" s="125"/>
      <c r="GA52" s="125"/>
      <c r="GB52" s="125"/>
      <c r="GC52" s="125"/>
      <c r="GD52" s="125"/>
      <c r="GE52" s="125"/>
      <c r="GF52" s="125"/>
      <c r="GG52" s="125"/>
      <c r="GH52" s="125"/>
      <c r="GI52" s="125"/>
      <c r="GJ52" s="125"/>
      <c r="GK52" s="125"/>
      <c r="GL52" s="125"/>
      <c r="GM52" s="125"/>
      <c r="GN52" s="125"/>
      <c r="GO52" s="125"/>
      <c r="GP52" s="125"/>
      <c r="GQ52" s="125"/>
      <c r="GR52" s="125"/>
      <c r="GS52" s="125"/>
      <c r="GT52" s="125"/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  <c r="HH52" s="125"/>
      <c r="HI52" s="125"/>
      <c r="HJ52" s="125"/>
      <c r="HK52" s="125"/>
      <c r="HL52" s="125"/>
      <c r="HM52" s="125"/>
      <c r="HN52" s="125"/>
      <c r="HO52" s="125"/>
      <c r="HP52" s="125"/>
      <c r="HQ52" s="125"/>
      <c r="HR52" s="125"/>
      <c r="HS52" s="125"/>
      <c r="HT52" s="125"/>
      <c r="HU52" s="125"/>
      <c r="HV52" s="125"/>
      <c r="HW52" s="125"/>
      <c r="HX52" s="125"/>
      <c r="HY52" s="125"/>
      <c r="HZ52" s="125"/>
      <c r="IA52" s="125"/>
      <c r="IB52" s="125"/>
      <c r="IC52" s="125"/>
      <c r="ID52" s="125"/>
      <c r="IE52" s="125"/>
      <c r="IF52" s="125"/>
      <c r="IG52" s="125"/>
      <c r="IH52" s="125"/>
      <c r="II52" s="125"/>
      <c r="IJ52" s="125"/>
      <c r="IK52" s="125"/>
      <c r="IL52" s="125"/>
      <c r="IM52" s="125"/>
      <c r="IN52" s="125"/>
      <c r="IO52" s="125"/>
      <c r="IP52" s="125"/>
      <c r="IQ52" s="125"/>
      <c r="IR52" s="125"/>
      <c r="IS52" s="125"/>
      <c r="IT52" s="125"/>
      <c r="IU52" s="125"/>
      <c r="IV52" s="125"/>
      <c r="IW52" s="125"/>
    </row>
    <row r="53" customFormat="false" ht="16.5" hidden="false" customHeight="false" outlineLevel="0" collapsed="false">
      <c r="A53" s="64"/>
      <c r="B53" s="64"/>
      <c r="D53" s="101" t="n">
        <f aca="false">SUM(D43:D52)</f>
        <v>520804064.319905</v>
      </c>
      <c r="E53" s="101" t="n">
        <f aca="false">SUM(E43:E52)</f>
        <v>0</v>
      </c>
      <c r="F53" s="101" t="n">
        <f aca="false">SUM(F43:F52)</f>
        <v>335028129.146971</v>
      </c>
      <c r="H53" s="74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/>
      <c r="DU53" s="125"/>
      <c r="DV53" s="125"/>
      <c r="DW53" s="125"/>
      <c r="DX53" s="125"/>
      <c r="DY53" s="125"/>
      <c r="DZ53" s="125"/>
      <c r="EA53" s="125"/>
      <c r="EB53" s="125"/>
      <c r="EC53" s="125"/>
      <c r="ED53" s="125"/>
      <c r="EE53" s="125"/>
      <c r="EF53" s="125"/>
      <c r="EG53" s="125"/>
      <c r="EH53" s="125"/>
      <c r="EI53" s="125"/>
      <c r="EJ53" s="125"/>
      <c r="EK53" s="125"/>
      <c r="EL53" s="125"/>
      <c r="EM53" s="125"/>
      <c r="EN53" s="125"/>
      <c r="EO53" s="125"/>
      <c r="EP53" s="125"/>
      <c r="EQ53" s="125"/>
      <c r="ER53" s="125"/>
      <c r="ES53" s="125"/>
      <c r="ET53" s="125"/>
      <c r="EU53" s="125"/>
      <c r="EV53" s="125"/>
      <c r="EW53" s="125"/>
      <c r="EX53" s="125"/>
      <c r="EY53" s="125"/>
      <c r="EZ53" s="125"/>
      <c r="FA53" s="125"/>
      <c r="FB53" s="125"/>
      <c r="FC53" s="125"/>
      <c r="FD53" s="125"/>
      <c r="FE53" s="125"/>
      <c r="FF53" s="125"/>
      <c r="FG53" s="125"/>
      <c r="FH53" s="125"/>
      <c r="FI53" s="125"/>
      <c r="FJ53" s="125"/>
      <c r="FK53" s="125"/>
      <c r="FL53" s="125"/>
      <c r="FM53" s="125"/>
      <c r="FN53" s="125"/>
      <c r="FO53" s="125"/>
      <c r="FP53" s="125"/>
      <c r="FQ53" s="125"/>
      <c r="FR53" s="125"/>
      <c r="FS53" s="125"/>
      <c r="FT53" s="125"/>
      <c r="FU53" s="125"/>
      <c r="FV53" s="125"/>
      <c r="FW53" s="125"/>
      <c r="FX53" s="125"/>
      <c r="FY53" s="125"/>
      <c r="FZ53" s="125"/>
      <c r="GA53" s="125"/>
      <c r="GB53" s="125"/>
      <c r="GC53" s="125"/>
      <c r="GD53" s="125"/>
      <c r="GE53" s="125"/>
      <c r="GF53" s="125"/>
      <c r="GG53" s="125"/>
      <c r="GH53" s="125"/>
      <c r="GI53" s="125"/>
      <c r="GJ53" s="125"/>
      <c r="GK53" s="125"/>
      <c r="GL53" s="125"/>
      <c r="GM53" s="125"/>
      <c r="GN53" s="125"/>
      <c r="GO53" s="125"/>
      <c r="GP53" s="125"/>
      <c r="GQ53" s="125"/>
      <c r="GR53" s="125"/>
      <c r="GS53" s="125"/>
      <c r="GT53" s="125"/>
      <c r="GU53" s="125"/>
      <c r="GV53" s="125"/>
      <c r="GW53" s="125"/>
      <c r="GX53" s="125"/>
      <c r="GY53" s="125"/>
      <c r="GZ53" s="125"/>
      <c r="HA53" s="125"/>
      <c r="HB53" s="125"/>
      <c r="HC53" s="125"/>
      <c r="HD53" s="125"/>
      <c r="HE53" s="125"/>
      <c r="HF53" s="125"/>
      <c r="HG53" s="125"/>
      <c r="HH53" s="125"/>
      <c r="HI53" s="125"/>
      <c r="HJ53" s="125"/>
      <c r="HK53" s="125"/>
      <c r="HL53" s="125"/>
      <c r="HM53" s="125"/>
      <c r="HN53" s="125"/>
      <c r="HO53" s="125"/>
      <c r="HP53" s="125"/>
      <c r="HQ53" s="125"/>
      <c r="HR53" s="125"/>
      <c r="HS53" s="125"/>
      <c r="HT53" s="125"/>
      <c r="HU53" s="125"/>
      <c r="HV53" s="125"/>
      <c r="HW53" s="125"/>
      <c r="HX53" s="125"/>
      <c r="HY53" s="125"/>
      <c r="HZ53" s="125"/>
      <c r="IA53" s="125"/>
      <c r="IB53" s="125"/>
      <c r="IC53" s="125"/>
      <c r="ID53" s="125"/>
      <c r="IE53" s="125"/>
      <c r="IF53" s="125"/>
      <c r="IG53" s="125"/>
      <c r="IH53" s="125"/>
      <c r="II53" s="125"/>
      <c r="IJ53" s="125"/>
      <c r="IK53" s="125"/>
      <c r="IL53" s="125"/>
      <c r="IM53" s="125"/>
      <c r="IN53" s="125"/>
      <c r="IO53" s="125"/>
      <c r="IP53" s="125"/>
      <c r="IQ53" s="125"/>
      <c r="IR53" s="125"/>
      <c r="IS53" s="125"/>
      <c r="IT53" s="125"/>
      <c r="IU53" s="125"/>
      <c r="IV53" s="125"/>
      <c r="IW53" s="125"/>
    </row>
    <row r="54" customFormat="false" ht="16.5" hidden="false" customHeight="false" outlineLevel="0" collapsed="false">
      <c r="A54" s="182"/>
      <c r="B54" s="182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125"/>
      <c r="GI54" s="125"/>
      <c r="GJ54" s="125"/>
      <c r="GK54" s="125"/>
      <c r="GL54" s="12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/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5"/>
      <c r="IK54" s="125"/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</row>
    <row r="55" customFormat="false" ht="15.75" hidden="false" customHeight="false" outlineLevel="0" collapsed="false">
      <c r="A55" s="183" t="n">
        <f aca="false">+Summary!C5</f>
        <v>37161</v>
      </c>
      <c r="B55" s="183"/>
      <c r="C55" s="125"/>
      <c r="D55" s="125"/>
      <c r="E55" s="125" t="s">
        <v>256</v>
      </c>
      <c r="F55" s="125" t="n">
        <f aca="false">VLOOKUP(+A55,Note,2)</f>
        <v>2</v>
      </c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5"/>
      <c r="HV55" s="125"/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  <c r="IG55" s="125"/>
      <c r="IH55" s="125"/>
      <c r="II55" s="125"/>
      <c r="IJ55" s="125"/>
      <c r="IK55" s="125"/>
      <c r="IL55" s="125"/>
      <c r="IM55" s="125"/>
      <c r="IN55" s="125"/>
      <c r="IO55" s="125"/>
      <c r="IP55" s="125"/>
      <c r="IQ55" s="125"/>
      <c r="IR55" s="125"/>
      <c r="IS55" s="125"/>
      <c r="IT55" s="125"/>
      <c r="IU55" s="125"/>
      <c r="IV55" s="125"/>
      <c r="IW55" s="125"/>
    </row>
    <row r="56" customFormat="false" ht="15.75" hidden="false" customHeight="false" outlineLevel="0" collapsed="false">
      <c r="A56" s="125"/>
      <c r="B56" s="125"/>
      <c r="C56" s="125"/>
      <c r="D56" s="125"/>
      <c r="E56" s="125" t="s">
        <v>31</v>
      </c>
      <c r="F56" s="182" t="n">
        <f aca="false">VLOOKUP(+A55,Note,1)</f>
        <v>37071</v>
      </c>
      <c r="G56" s="125"/>
    </row>
    <row r="57" customFormat="false" ht="15.75" hidden="false" customHeight="false" outlineLevel="0" collapsed="false">
      <c r="A57" s="125" t="s">
        <v>268</v>
      </c>
      <c r="B57" s="184" t="n">
        <f aca="false">VLOOKUP(+A55,Loan,8)</f>
        <v>29135425.8026796</v>
      </c>
      <c r="C57" s="125"/>
      <c r="D57" s="125"/>
      <c r="E57" s="125" t="s">
        <v>260</v>
      </c>
      <c r="F57" s="125" t="n">
        <f aca="false">VLOOKUP(+F55+1,LoanPeriod,5)</f>
        <v>34171434.4363541</v>
      </c>
      <c r="G57" s="125"/>
    </row>
    <row r="58" customFormat="false" ht="15.75" hidden="false" customHeight="false" outlineLevel="0" collapsed="false">
      <c r="A58" s="182" t="s">
        <v>6</v>
      </c>
      <c r="B58" s="125" t="n">
        <f aca="false">+B56+B57</f>
        <v>29135425.8026796</v>
      </c>
      <c r="C58" s="125"/>
      <c r="D58" s="125"/>
      <c r="E58" s="125" t="s">
        <v>262</v>
      </c>
      <c r="F58" s="182" t="n">
        <f aca="false">VLOOKUP(+F55+1,NotePeriod,8)</f>
        <v>37256</v>
      </c>
      <c r="G58" s="125"/>
    </row>
    <row r="59" customFormat="false" ht="15.75" hidden="false" customHeight="false" outlineLevel="0" collapsed="false">
      <c r="A59" s="182" t="s">
        <v>263</v>
      </c>
      <c r="B59" s="125" t="n">
        <f aca="false">A55-F56</f>
        <v>90</v>
      </c>
      <c r="C59" s="125"/>
      <c r="D59" s="125"/>
      <c r="E59" s="182"/>
      <c r="F59" s="125"/>
      <c r="G59" s="125"/>
    </row>
    <row r="60" customFormat="false" ht="15.75" hidden="false" customHeight="false" outlineLevel="0" collapsed="false">
      <c r="A60" s="182" t="s">
        <v>269</v>
      </c>
      <c r="B60" s="125" t="n">
        <f aca="false">F57*B59/(F58-F56)</f>
        <v>16623941.0771452</v>
      </c>
      <c r="C60" s="125"/>
      <c r="D60" s="125"/>
      <c r="E60" s="125"/>
      <c r="F60" s="125"/>
      <c r="G60" s="125"/>
    </row>
    <row r="61" customFormat="false" ht="15.75" hidden="false" customHeight="false" outlineLevel="0" collapsed="false">
      <c r="A61" s="182" t="s">
        <v>120</v>
      </c>
      <c r="B61" s="125" t="n">
        <f aca="false">+B57+B60</f>
        <v>45759366.8798249</v>
      </c>
      <c r="C61" s="125"/>
      <c r="D61" s="125"/>
      <c r="E61" s="125"/>
      <c r="F61" s="125"/>
      <c r="G61" s="125"/>
    </row>
    <row r="63" customFormat="false" ht="15.75" hidden="false" customHeight="false" outlineLevel="0" collapsed="false">
      <c r="A63" s="73" t="s">
        <v>270</v>
      </c>
    </row>
    <row r="64" customFormat="false" ht="15.75" hidden="false" customHeight="false" outlineLevel="0" collapsed="false">
      <c r="A64" s="64" t="n">
        <f aca="false">+'Cash-Int-Trans'!B81</f>
        <v>36791</v>
      </c>
      <c r="B64" s="73" t="s">
        <v>271</v>
      </c>
      <c r="E64" s="73" t="n">
        <f aca="false">+'Cash-Int-Trans'!B82</f>
        <v>6733589</v>
      </c>
    </row>
    <row r="65" customFormat="false" ht="15.75" hidden="false" customHeight="false" outlineLevel="0" collapsed="false">
      <c r="A65" s="64" t="n">
        <f aca="false">+A64</f>
        <v>36791</v>
      </c>
      <c r="B65" s="73" t="s">
        <v>272</v>
      </c>
      <c r="C65" s="64"/>
      <c r="D65" s="64" t="n">
        <f aca="false">+'Cash-Int-Trans'!B83</f>
        <v>36889</v>
      </c>
      <c r="E65" s="186" t="n">
        <f aca="false">+'Cash-Int-Trans'!B85</f>
        <v>128312.279277778</v>
      </c>
    </row>
    <row r="66" customFormat="false" ht="15.75" hidden="false" customHeight="false" outlineLevel="0" collapsed="false">
      <c r="B66" s="73" t="s">
        <v>6</v>
      </c>
      <c r="E66" s="73" t="n">
        <f aca="false">SUM(E64:E65)</f>
        <v>6861901.27927778</v>
      </c>
    </row>
    <row r="68" customFormat="false" ht="15.75" hidden="false" customHeight="false" outlineLevel="0" collapsed="false">
      <c r="A68" s="64" t="n">
        <f aca="false">+'Cash-Int-Trans'!B87</f>
        <v>36970</v>
      </c>
      <c r="B68" s="73" t="str">
        <f aca="false">+'Cash-Int-Trans'!A89</f>
        <v>Partial Termination of Hanover</v>
      </c>
      <c r="E68" s="73" t="n">
        <f aca="false">+'Cash-Int-Trans'!B88</f>
        <v>11278182.528</v>
      </c>
    </row>
    <row r="69" customFormat="false" ht="15.75" hidden="false" customHeight="false" outlineLevel="0" collapsed="false">
      <c r="A69" s="64" t="n">
        <f aca="false">+'Cash-Int-Trans'!B91</f>
        <v>36976</v>
      </c>
      <c r="B69" s="73" t="str">
        <f aca="false">+'Cash-Int-Trans'!A93</f>
        <v>ENE Shares</v>
      </c>
      <c r="E69" s="73" t="n">
        <f aca="false">+'Cash-Int-Trans'!B92</f>
        <v>493329595.62</v>
      </c>
    </row>
    <row r="70" customFormat="false" ht="15.75" hidden="false" customHeight="false" outlineLevel="0" collapsed="false">
      <c r="A70" s="64"/>
      <c r="B70" s="73" t="s">
        <v>272</v>
      </c>
      <c r="C70" s="64"/>
      <c r="D70" s="64" t="n">
        <f aca="false">+'Cash-Int-Trans'!E87</f>
        <v>37071</v>
      </c>
      <c r="E70" s="186" t="n">
        <f aca="false">+'Cash-Int-Trans'!E89+'Cash-Int-Trans'!E93</f>
        <v>9334384.89262767</v>
      </c>
    </row>
    <row r="71" customFormat="false" ht="15.75" hidden="false" customHeight="false" outlineLevel="0" collapsed="false">
      <c r="B71" s="73" t="s">
        <v>6</v>
      </c>
      <c r="E71" s="73" t="n">
        <f aca="false">SUM(E68:E70)</f>
        <v>513942163.040628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C38" activeCellId="0" sqref="C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3" min="3" style="0" width="11.49"/>
    <col collapsed="false" customWidth="true" hidden="false" outlineLevel="0" max="4" min="4" style="0" width="15.86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187" t="s">
        <v>273</v>
      </c>
      <c r="E1" s="13" t="s">
        <v>274</v>
      </c>
    </row>
    <row r="2" customFormat="false" ht="15.75" hidden="false" customHeight="false" outlineLevel="0" collapsed="false">
      <c r="A2" s="7" t="s">
        <v>275</v>
      </c>
      <c r="C2" s="60"/>
      <c r="D2" s="25" t="n">
        <f aca="false">+Financials!I5</f>
        <v>25.25</v>
      </c>
      <c r="F2" s="155"/>
    </row>
    <row r="3" customFormat="false" ht="15.75" hidden="false" customHeight="false" outlineLevel="0" collapsed="false">
      <c r="A3" s="0" t="s">
        <v>276</v>
      </c>
      <c r="B3" s="26" t="n">
        <v>50000000</v>
      </c>
      <c r="D3" s="50" t="n">
        <f aca="false">B3*D2</f>
        <v>1262500000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277</v>
      </c>
      <c r="D4" s="16" t="n">
        <f aca="false">1400000000+1027000000+500000</f>
        <v>2427500000</v>
      </c>
      <c r="E4" s="167" t="n">
        <f aca="false">ROUND(D4/D2+0.49,0)</f>
        <v>96138614</v>
      </c>
    </row>
    <row r="5" customFormat="false" ht="15.75" hidden="false" customHeight="false" outlineLevel="0" collapsed="false">
      <c r="A5" s="0" t="s">
        <v>278</v>
      </c>
      <c r="D5" s="15" t="n">
        <f aca="false">D3-D4</f>
        <v>-1165000000</v>
      </c>
      <c r="E5" s="155" t="n">
        <f aca="false">E3-E4</f>
        <v>-46138614</v>
      </c>
    </row>
    <row r="6" customFormat="false" ht="15.75" hidden="false" customHeight="false" outlineLevel="0" collapsed="false">
      <c r="A6" s="0" t="s">
        <v>279</v>
      </c>
      <c r="D6" s="25"/>
    </row>
    <row r="7" customFormat="false" ht="15.75" hidden="false" customHeight="false" outlineLevel="0" collapsed="false">
      <c r="A7" s="0" t="s">
        <v>280</v>
      </c>
      <c r="B7" s="26" t="n">
        <v>3876755</v>
      </c>
      <c r="D7" s="15" t="n">
        <f aca="false">+B7*D2</f>
        <v>97888063.75</v>
      </c>
      <c r="E7" s="26" t="n">
        <v>3876755</v>
      </c>
    </row>
    <row r="8" customFormat="false" ht="15.75" hidden="false" customHeight="false" outlineLevel="0" collapsed="false">
      <c r="A8" s="0" t="s">
        <v>281</v>
      </c>
      <c r="B8" s="26" t="n">
        <v>7809790</v>
      </c>
      <c r="D8" s="15" t="n">
        <f aca="false">+B8*D2</f>
        <v>197197197.5</v>
      </c>
      <c r="E8" s="26" t="n">
        <v>7809790</v>
      </c>
    </row>
    <row r="9" customFormat="false" ht="15.75" hidden="false" customHeight="false" outlineLevel="0" collapsed="false">
      <c r="A9" s="0" t="s">
        <v>282</v>
      </c>
      <c r="B9" s="26" t="n">
        <v>6326045</v>
      </c>
      <c r="D9" s="16" t="n">
        <f aca="false">+B9*D2</f>
        <v>159732636.25</v>
      </c>
      <c r="E9" s="167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210</v>
      </c>
      <c r="D11" s="17" t="n">
        <f aca="false">D5-SUM(D7:D9)</f>
        <v>-1619817897.5</v>
      </c>
      <c r="E11" s="188" t="n">
        <f aca="false">E5-SUM(E7:E9)</f>
        <v>-64151204</v>
      </c>
    </row>
    <row r="12" customFormat="false" ht="16.5" hidden="false" customHeight="false" outlineLevel="0" collapsed="false">
      <c r="A12" s="26"/>
      <c r="D12" s="61"/>
      <c r="E12" s="155"/>
      <c r="F12" s="26"/>
    </row>
    <row r="13" customFormat="false" ht="15.75" hidden="false" customHeight="false" outlineLevel="0" collapsed="false">
      <c r="D13" s="50"/>
      <c r="E13" s="60"/>
      <c r="F13" s="26"/>
    </row>
    <row r="14" customFormat="false" ht="15.75" hidden="false" customHeight="false" outlineLevel="0" collapsed="false">
      <c r="A14" s="0" t="s">
        <v>283</v>
      </c>
      <c r="B14" s="26" t="n">
        <f aca="false">IF(E11&gt;0,B8,IF(B9&gt;-E11,B8,IF(-E11&gt;(+B9+B8),0,(+B9+B8+E11))))</f>
        <v>0</v>
      </c>
      <c r="D14" s="50"/>
      <c r="E14" s="155"/>
      <c r="F14" s="26"/>
    </row>
    <row r="17" customFormat="false" ht="15.75" hidden="false" customHeight="false" outlineLevel="0" collapsed="false">
      <c r="A17" s="0" t="s">
        <v>284</v>
      </c>
      <c r="B17" s="26" t="n">
        <f aca="false">+Financials!D15</f>
        <v>7809790</v>
      </c>
      <c r="C17" s="25" t="n">
        <f aca="false">+Financials!E15</f>
        <v>68.75</v>
      </c>
      <c r="D17" s="15" t="n">
        <f aca="false">+Financials!B15</f>
        <v>536923062.5</v>
      </c>
    </row>
    <row r="18" customFormat="false" ht="15.75" hidden="false" customHeight="false" outlineLevel="0" collapsed="false">
      <c r="A18" s="0" t="s">
        <v>285</v>
      </c>
      <c r="D18" s="15" t="n">
        <f aca="false">+Financials!B17</f>
        <v>-186923062.5</v>
      </c>
      <c r="E18" s="189" t="n">
        <f aca="false">-D18/D17</f>
        <v>0.348137518305986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239</v>
      </c>
      <c r="D20" s="15" t="n">
        <f aca="false">+Financials!I15</f>
        <v>87230762.5</v>
      </c>
      <c r="E20" s="189" t="n">
        <f aca="false">+Financials!A35/Financials!A38</f>
        <v>0.466666666666667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286</v>
      </c>
      <c r="D21" s="15" t="n">
        <f aca="false">+D19+D20</f>
        <v>437230762.5</v>
      </c>
      <c r="E21" s="189" t="n">
        <f aca="false">+D21/D17</f>
        <v>0.814326656903474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287</v>
      </c>
      <c r="B23" s="26" t="n">
        <f aca="false">+B14</f>
        <v>0</v>
      </c>
      <c r="C23" s="25" t="n">
        <f aca="false">+C17</f>
        <v>68.75</v>
      </c>
      <c r="D23" s="15" t="n">
        <f aca="false">+B23*C23</f>
        <v>0</v>
      </c>
    </row>
    <row r="24" customFormat="false" ht="15.75" hidden="false" customHeight="false" outlineLevel="0" collapsed="false">
      <c r="A24" s="0" t="s">
        <v>285</v>
      </c>
      <c r="D24" s="15" t="n">
        <f aca="false">D18/D17*D23</f>
        <v>-0</v>
      </c>
      <c r="E24" s="189" t="e">
        <f aca="false">-D24/D23</f>
        <v>#DIV/0!</v>
      </c>
    </row>
    <row r="25" customFormat="false" ht="15.75" hidden="false" customHeight="false" outlineLevel="0" collapsed="false">
      <c r="D25" s="15" t="n">
        <f aca="false">+D23+D24</f>
        <v>0</v>
      </c>
    </row>
    <row r="26" customFormat="false" ht="15.75" hidden="false" customHeight="false" outlineLevel="0" collapsed="false">
      <c r="A26" s="0" t="s">
        <v>239</v>
      </c>
      <c r="D26" s="15" t="n">
        <f aca="false">-D24*E20</f>
        <v>0</v>
      </c>
      <c r="E26" s="189" t="n">
        <f aca="false">+E20</f>
        <v>0.466666666666667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234</v>
      </c>
      <c r="D27" s="15" t="n">
        <f aca="false">+D25+D26</f>
        <v>0</v>
      </c>
      <c r="E27" s="189" t="e">
        <f aca="false">+D27/D23</f>
        <v>#DIV/0!</v>
      </c>
    </row>
    <row r="28" customFormat="false" ht="15.75" hidden="false" customHeight="false" outlineLevel="0" collapsed="false">
      <c r="A28" s="0" t="s">
        <v>42</v>
      </c>
      <c r="D28" s="190" t="n">
        <f aca="false">+Financials!M11-D27</f>
        <v>0</v>
      </c>
      <c r="E28" s="189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132</v>
      </c>
      <c r="B30" s="26" t="n">
        <f aca="false">+B17-B23</f>
        <v>7809790</v>
      </c>
      <c r="D30" s="15" t="n">
        <f aca="false">+D21-D27</f>
        <v>437230762.5</v>
      </c>
    </row>
    <row r="33" customFormat="false" ht="15.75" hidden="false" customHeight="false" outlineLevel="0" collapsed="false">
      <c r="A33" s="0" t="s">
        <v>288</v>
      </c>
      <c r="B33" s="164" t="n">
        <v>36976</v>
      </c>
    </row>
    <row r="34" customFormat="false" ht="15.75" hidden="false" customHeight="false" outlineLevel="0" collapsed="false">
      <c r="B34" s="26" t="s">
        <v>289</v>
      </c>
      <c r="C34" s="0" t="s">
        <v>290</v>
      </c>
      <c r="D34" s="0" t="s">
        <v>291</v>
      </c>
    </row>
    <row r="35" customFormat="false" ht="15.75" hidden="false" customHeight="false" outlineLevel="0" collapsed="false">
      <c r="A35" s="0" t="s">
        <v>292</v>
      </c>
      <c r="B35" s="26" t="n">
        <v>3876755</v>
      </c>
      <c r="C35" s="26"/>
      <c r="D35" s="15"/>
    </row>
    <row r="36" customFormat="false" ht="15.75" hidden="false" customHeight="false" outlineLevel="0" collapsed="false">
      <c r="A36" s="0" t="s">
        <v>293</v>
      </c>
      <c r="B36" s="26" t="n">
        <v>7809790</v>
      </c>
      <c r="C36" s="26"/>
      <c r="D36" s="15"/>
    </row>
    <row r="37" customFormat="false" ht="15.75" hidden="false" customHeight="false" outlineLevel="0" collapsed="false">
      <c r="A37" s="0" t="s">
        <v>294</v>
      </c>
      <c r="B37" s="26" t="n">
        <v>6326045</v>
      </c>
      <c r="C37" s="26" t="n">
        <f aca="false">+[2]Summary!$I$70</f>
        <v>6326045</v>
      </c>
      <c r="D37" s="15" t="n">
        <v>118425531</v>
      </c>
    </row>
    <row r="38" customFormat="false" ht="15.75" hidden="false" customHeight="false" outlineLevel="0" collapsed="false">
      <c r="D38" s="15"/>
    </row>
    <row r="39" customFormat="false" ht="15.75" hidden="false" customHeight="false" outlineLevel="0" collapsed="false">
      <c r="A39" s="0" t="s">
        <v>6</v>
      </c>
      <c r="B39" s="26" t="n">
        <f aca="false">IF(Summary!$C$5&lt;Shares!$B$33,0,SUM(B35:B38))</f>
        <v>18012590</v>
      </c>
      <c r="C39" s="26" t="n">
        <f aca="false">IF(Summary!$C$5&lt;Shares!$B$33,0,SUM(C35:C38))</f>
        <v>6326045</v>
      </c>
      <c r="D39" s="15" t="n">
        <f aca="false">IF(Summary!$C$5&lt;Shares!$B$33,0,SUM(D35:D38))</f>
        <v>118425531</v>
      </c>
      <c r="E39" s="0" t="s">
        <v>295</v>
      </c>
    </row>
    <row r="41" customFormat="false" ht="15.75" hidden="false" customHeight="false" outlineLevel="0" collapsed="false">
      <c r="D41" s="0" t="s">
        <v>296</v>
      </c>
      <c r="E41" s="155" t="n">
        <f aca="false">IF(D39=0,0,+D42)</f>
        <v>118425531</v>
      </c>
    </row>
    <row r="42" customFormat="false" ht="15.75" hidden="false" customHeight="false" outlineLevel="0" collapsed="false">
      <c r="C42" s="64" t="n">
        <v>36976</v>
      </c>
      <c r="D42" s="155" t="n">
        <f aca="false">+D39</f>
        <v>118425531</v>
      </c>
    </row>
    <row r="43" customFormat="false" ht="15.75" hidden="false" customHeight="false" outlineLevel="0" collapsed="false">
      <c r="C43" s="64" t="n">
        <v>37072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2001-07-05T19:19:20Z</cp:lastPrinted>
  <dcterms:modified xsi:type="dcterms:W3CDTF">2001-09-28T13:58:08Z</dcterms:modified>
  <cp:revision>0</cp:revision>
  <dc:subject/>
  <dc:title>FXHistory</dc:title>
</cp:coreProperties>
</file>