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GT" sheetId="2" state="visible" r:id="rId4"/>
    <sheet name="IT &amp; Pooling" sheetId="3" state="visible" r:id="rId5"/>
    <sheet name="CES IT" sheetId="4" state="visible" r:id="rId6"/>
    <sheet name="East Capacity" sheetId="5" state="visible" r:id="rId7"/>
    <sheet name="DecMatrix" sheetId="6" state="visible" r:id="rId8"/>
    <sheet name="Rates" sheetId="7" state="visible" r:id="rId9"/>
    <sheet name="Notes" sheetId="8" state="visible" r:id="rId10"/>
    <sheet name="Offseason Rate" sheetId="9" state="visible" r:id="rId11"/>
    <sheet name="Special Rates" sheetId="10" state="visible" r:id="rId12"/>
    <sheet name="Basis" sheetId="11" state="visible" r:id="rId13"/>
  </sheets>
  <definedNames>
    <definedName function="false" hidden="false" localSheetId="10" name="_xlnm.Print_Area" vbProcedure="false">Basis!$A$33:$I$42</definedName>
    <definedName function="false" hidden="false" localSheetId="5" name="_xlnm.Print_Area" vbProcedure="false">DecMatrix!$A$3:$L$74</definedName>
    <definedName function="false" hidden="false" localSheetId="4" name="_xlnm.Print_Area" vbProcedure="false">'East Capacity'!$A$20:$V$33</definedName>
    <definedName function="false" hidden="false" localSheetId="6" name="_xlnm.Print_Area" vbProcedure="false">Rates!$S$1:$X$74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Backhaul from Z6 to 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128</xdr:row>
                <xdr:rowOff>7</xdr:rowOff>
              </xdr:from>
              <xdr:to>
                <xdr:col>7</xdr:col>
                <xdr:colOff>43</xdr:colOff>
                <xdr:row>134</xdr:row>
                <xdr:rowOff>5</xdr:rowOff>
              </xdr:to>
            </anchor>
          </commentPr>
        </mc:Choice>
        <mc:Fallback/>
      </mc:AlternateContent>
    </comment>
    <comment ref="B135" authorId="0">
      <text>
        <r>
          <rPr>
            <b val="true"/>
            <sz val="8"/>
            <color rgb="FF000000"/>
            <rFont val="Tahoma"/>
            <family val="0"/>
          </rPr>
          <t xml:space="preserve">cgerman</t>
        </r>
        <r>
          <rPr>
            <sz val="8"/>
            <color rgb="FF000000"/>
            <rFont val="Tahoma"/>
            <family val="0"/>
          </rPr>
          <t xml:space="preserve">l 
Forward haul Z6-Z6, Backhaul Z6-Z4,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130</xdr:row>
                <xdr:rowOff>16</xdr:rowOff>
              </xdr:from>
              <xdr:to>
                <xdr:col>7</xdr:col>
                <xdr:colOff>39</xdr:colOff>
                <xdr:row>136</xdr:row>
                <xdr:rowOff>14</xdr:rowOff>
              </xdr:to>
            </anchor>
          </commentPr>
        </mc:Choice>
        <mc:Fallback/>
      </mc:AlternateContent>
    </comment>
    <comment ref="E9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Emporia Zone 5, Meter 941
Fuel includes forward hauls in Zone 5 &amp; Zone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93</xdr:row>
                <xdr:rowOff>8</xdr:rowOff>
              </xdr:from>
              <xdr:to>
                <xdr:col>12</xdr:col>
                <xdr:colOff>25</xdr:colOff>
                <xdr:row>99</xdr:row>
                <xdr:rowOff>15</xdr:rowOff>
              </xdr:to>
            </anchor>
          </commentPr>
        </mc:Choice>
        <mc:Fallback/>
      </mc:AlternateContent>
    </comment>
    <comment ref="E10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98</xdr:row>
                <xdr:rowOff>7</xdr:rowOff>
              </xdr:from>
              <xdr:to>
                <xdr:col>12</xdr:col>
                <xdr:colOff>25</xdr:colOff>
                <xdr:row>104</xdr:row>
                <xdr:rowOff>17</xdr:rowOff>
              </xdr:to>
            </anchor>
          </commentPr>
        </mc:Choice>
        <mc:Fallback/>
      </mc:AlternateContent>
    </comment>
    <comment ref="E10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103</xdr:row>
                <xdr:rowOff>7</xdr:rowOff>
              </xdr:from>
              <xdr:to>
                <xdr:col>12</xdr:col>
                <xdr:colOff>25</xdr:colOff>
                <xdr:row>109</xdr:row>
                <xdr:rowOff>17</xdr:rowOff>
              </xdr:to>
            </anchor>
          </commentPr>
        </mc:Choice>
        <mc:Fallback/>
      </mc:AlternateContent>
    </comment>
    <comment ref="E11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FT St 210 meter 9170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108</xdr:row>
                <xdr:rowOff>7</xdr:rowOff>
              </xdr:from>
              <xdr:to>
                <xdr:col>12</xdr:col>
                <xdr:colOff>25</xdr:colOff>
                <xdr:row>115</xdr:row>
                <xdr:rowOff>1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<sst xmlns="http://schemas.openxmlformats.org/spreadsheetml/2006/main" count="3009" uniqueCount="813">
  <si>
    <t xml:space="preserve">Proliance</t>
  </si>
  <si>
    <t xml:space="preserve">carrollton</t>
  </si>
  <si>
    <t xml:space="preserve">Central Illinois</t>
  </si>
  <si>
    <t xml:space="preserve">CG&amp;E</t>
  </si>
  <si>
    <t xml:space="preserve">NNS</t>
  </si>
  <si>
    <t xml:space="preserve">Dyersburg</t>
  </si>
  <si>
    <t xml:space="preserve">Elizabethtown</t>
  </si>
  <si>
    <t xml:space="preserve">Gibson</t>
  </si>
  <si>
    <t xml:space="preserve">Henderson</t>
  </si>
  <si>
    <t xml:space="preserve">Illinois</t>
  </si>
  <si>
    <t xml:space="preserve">IGS</t>
  </si>
  <si>
    <t xml:space="preserve">Jackson</t>
  </si>
  <si>
    <t xml:space="preserve">Louisville</t>
  </si>
  <si>
    <t xml:space="preserve">Memphis</t>
  </si>
  <si>
    <t xml:space="preserve">Midwest</t>
  </si>
  <si>
    <t xml:space="preserve">Mississippi</t>
  </si>
  <si>
    <t xml:space="preserve">Murray</t>
  </si>
  <si>
    <t xml:space="preserve">Ohio</t>
  </si>
  <si>
    <t xml:space="preserve">Reliant</t>
  </si>
  <si>
    <t xml:space="preserve">Sigicorp</t>
  </si>
  <si>
    <t xml:space="preserve">Southern Indiana</t>
  </si>
  <si>
    <t xml:space="preserve">Western Kentucky</t>
  </si>
  <si>
    <t xml:space="preserve">Westvaco</t>
  </si>
  <si>
    <t xml:space="preserve">Basile</t>
  </si>
  <si>
    <t xml:space="preserve">SGT</t>
  </si>
  <si>
    <t xml:space="preserve">Bells</t>
  </si>
  <si>
    <t xml:space="preserve">Benton</t>
  </si>
  <si>
    <t xml:space="preserve">Boonville</t>
  </si>
  <si>
    <t xml:space="preserve">Brownsville</t>
  </si>
  <si>
    <t xml:space="preserve">Chandler</t>
  </si>
  <si>
    <t xml:space="preserve">Clarendon</t>
  </si>
  <si>
    <t xml:space="preserve">Clayu</t>
  </si>
  <si>
    <t xml:space="preserve">Colvin</t>
  </si>
  <si>
    <t xml:space="preserve">Community</t>
  </si>
  <si>
    <t xml:space="preserve">Covington</t>
  </si>
  <si>
    <t xml:space="preserve">Crockett</t>
  </si>
  <si>
    <t xml:space="preserve">Dome</t>
  </si>
  <si>
    <t xml:space="preserve">Drakesboro</t>
  </si>
  <si>
    <t xml:space="preserve">Evangeline</t>
  </si>
  <si>
    <t xml:space="preserve">First Utility</t>
  </si>
  <si>
    <t xml:space="preserve">Flat Rock</t>
  </si>
  <si>
    <t xml:space="preserve">Friars</t>
  </si>
  <si>
    <t xml:space="preserve">Friendship</t>
  </si>
  <si>
    <t xml:space="preserve">Fulton</t>
  </si>
  <si>
    <t xml:space="preserve">Gallaway</t>
  </si>
  <si>
    <t xml:space="preserve">Gas Utility #3</t>
  </si>
  <si>
    <t xml:space="preserve">Halls</t>
  </si>
  <si>
    <t xml:space="preserve">Hardin</t>
  </si>
  <si>
    <t xml:space="preserve">Hening</t>
  </si>
  <si>
    <t xml:space="preserve">Holly</t>
  </si>
  <si>
    <t xml:space="preserve">Humboldt</t>
  </si>
  <si>
    <t xml:space="preserve">Texas Gas Storage</t>
  </si>
  <si>
    <t xml:space="preserve">Reported </t>
  </si>
  <si>
    <t xml:space="preserve">Last</t>
  </si>
  <si>
    <t xml:space="preserve">Date</t>
  </si>
  <si>
    <t xml:space="preserve">To Aga</t>
  </si>
  <si>
    <t xml:space="preserve">Year</t>
  </si>
  <si>
    <t xml:space="preserve">Max</t>
  </si>
  <si>
    <t xml:space="preserve">Calculated %</t>
  </si>
  <si>
    <t xml:space="preserve">Website</t>
  </si>
  <si>
    <t xml:space="preserve">Injection</t>
  </si>
  <si>
    <t xml:space="preserve">??</t>
  </si>
  <si>
    <t xml:space="preserve">TGT parking deals as of 8/15/01</t>
  </si>
  <si>
    <t xml:space="preserve">sep-feb</t>
  </si>
  <si>
    <t xml:space="preserve">done</t>
  </si>
  <si>
    <t xml:space="preserve">done early</t>
  </si>
  <si>
    <t xml:space="preserve">oct-mar</t>
  </si>
  <si>
    <t xml:space="preserve">oct-oct</t>
  </si>
  <si>
    <t xml:space="preserve">sep - sep/oct</t>
  </si>
  <si>
    <t xml:space="preserve">still waiting to do as of 8/15/01</t>
  </si>
  <si>
    <t xml:space="preserve">sep-sep</t>
  </si>
  <si>
    <t xml:space="preserve">oct</t>
  </si>
  <si>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</si>
  <si>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</si>
  <si>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</si>
  <si>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</si>
  <si>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</si>
  <si>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</si>
  <si>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</si>
  <si>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</si>
  <si>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</si>
  <si>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</si>
  <si>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</si>
  <si>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</si>
  <si>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</si>
  <si>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</si>
  <si>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</si>
  <si>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</si>
  <si>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</si>
  <si>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</si>
  <si>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</si>
  <si>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</si>
  <si>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</si>
  <si>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</si>
  <si>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</si>
  <si>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</si>
  <si>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</si>
  <si>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</si>
  <si>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</si>
  <si>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</si>
  <si>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</si>
  <si>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</si>
  <si>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</si>
  <si>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</si>
  <si>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</si>
  <si>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</si>
  <si>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</si>
  <si>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</si>
  <si>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</si>
  <si>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</si>
  <si>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</si>
  <si>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</si>
  <si>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</si>
  <si>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</si>
  <si>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</si>
  <si>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</si>
  <si>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</si>
  <si>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</si>
  <si>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</si>
  <si>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</si>
  <si>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</si>
  <si>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</si>
  <si>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</si>
  <si>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</si>
  <si>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</si>
  <si>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</si>
  <si>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</si>
  <si>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</si>
  <si>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</si>
  <si>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</si>
  <si>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</si>
  <si>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</si>
  <si>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</si>
  <si>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</si>
  <si>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</si>
  <si>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</si>
  <si>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</si>
  <si>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</si>
  <si>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</si>
  <si>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</si>
  <si>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</si>
  <si>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</si>
  <si>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</si>
  <si>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</si>
  <si>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</si>
  <si>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</si>
  <si>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</si>
  <si>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</si>
  <si>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</si>
  <si>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</si>
  <si>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</si>
  <si>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</si>
  <si>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</si>
  <si>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</si>
  <si>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</si>
  <si>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</si>
  <si>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</si>
  <si>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</si>
  <si>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</si>
  <si>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</si>
  <si>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</si>
  <si>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</si>
  <si>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</si>
  <si>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</si>
  <si>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</si>
  <si>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</si>
  <si>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</si>
  <si>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</si>
  <si>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</si>
  <si>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</si>
  <si>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</si>
  <si>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</si>
  <si>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</si>
  <si>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</si>
  <si>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</si>
  <si>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</si>
  <si>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</si>
  <si>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</si>
  <si>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</si>
  <si>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</si>
  <si>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</si>
  <si>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</si>
  <si>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</si>
  <si>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</si>
  <si>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</si>
  <si>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</si>
  <si>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</si>
  <si>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</si>
  <si>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</si>
  <si>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</si>
  <si>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</si>
  <si>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</si>
  <si>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</si>
  <si>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</si>
  <si>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</si>
  <si>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</si>
  <si>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</si>
  <si>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</si>
  <si>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</si>
  <si>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</si>
  <si>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</si>
  <si>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</si>
  <si>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</si>
  <si>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</si>
  <si>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</si>
  <si>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</si>
  <si>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</si>
  <si>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</si>
  <si>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</si>
  <si>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</si>
  <si>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December , 2001</t>
  </si>
  <si>
    <t xml:space="preserve">Month</t>
  </si>
  <si>
    <t xml:space="preserve">New K#</t>
  </si>
  <si>
    <t xml:space="preserve">New Sitara</t>
  </si>
  <si>
    <t xml:space="preserve">Book</t>
  </si>
  <si>
    <t xml:space="preserve">ENA</t>
  </si>
  <si>
    <t xml:space="preserve">Algo</t>
  </si>
  <si>
    <t xml:space="preserve">Lambertville</t>
  </si>
  <si>
    <t xml:space="preserve">?</t>
  </si>
  <si>
    <t xml:space="preserve">#004998</t>
  </si>
  <si>
    <t xml:space="preserve">TP1</t>
  </si>
  <si>
    <t xml:space="preserve">Total Demand</t>
  </si>
  <si>
    <t xml:space="preserve">Reimbursements</t>
  </si>
  <si>
    <t xml:space="preserve">Net Demand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</si>
  <si>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</si>
  <si>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</si>
  <si>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</si>
  <si>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</si>
  <si>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12,000 - #481 Erath, 12,000 - #44943 Henry, 6,000 - #9535 Venice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</si>
  <si>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</si>
  <si>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</si>
  <si>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</si>
  <si>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</si>
  <si>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</si>
  <si>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</si>
  <si>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</si>
  <si>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</si>
  <si>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</si>
  <si>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</si>
  <si>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</si>
  <si>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801 - Leach</t>
  </si>
  <si>
    <t xml:space="preserve">4 BG&amp;E</t>
  </si>
  <si>
    <t xml:space="preserve">FTS</t>
  </si>
  <si>
    <t xml:space="preserve">ENA </t>
  </si>
  <si>
    <t xml:space="preserve">TCO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</si>
  <si>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</si>
  <si>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</si>
  <si>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</si>
  <si>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</si>
  <si>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</si>
  <si>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</si>
  <si>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</si>
  <si>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</si>
  <si>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#33941</t>
  </si>
  <si>
    <t xml:space="preserve">Reimbursements/CES</t>
  </si>
  <si>
    <t xml:space="preserve">Agency/St of FGT</t>
  </si>
  <si>
    <t xml:space="preserve">FGT</t>
  </si>
  <si>
    <t xml:space="preserve">Multiple</t>
  </si>
  <si>
    <t xml:space="preserve">FTS1</t>
  </si>
  <si>
    <t xml:space="preserve">Gulf4</t>
  </si>
  <si>
    <t xml:space="preserve">FTS2</t>
  </si>
  <si>
    <t xml:space="preserve">Buy  </t>
  </si>
  <si>
    <t xml:space="preserve">zone 2</t>
  </si>
  <si>
    <t xml:space="preserve">Est demand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</si>
  <si>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</si>
  <si>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</si>
  <si>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</si>
  <si>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</si>
  <si>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</si>
  <si>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145753 / 233132</t>
  </si>
  <si>
    <t xml:space="preserve">Gulf2</t>
  </si>
  <si>
    <t xml:space="preserve">Ormet</t>
  </si>
  <si>
    <t xml:space="preserve">Reimbursement captured on sales ticket 548711</t>
  </si>
  <si>
    <t xml:space="preserve">Type</t>
  </si>
  <si>
    <t xml:space="preserve">buy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</si>
  <si>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</si>
  <si>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</si>
  <si>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</si>
  <si>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</si>
  <si>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</si>
  <si>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</si>
  <si>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</si>
  <si>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</si>
  <si>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Tp1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</si>
  <si>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</si>
  <si>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</si>
  <si>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</si>
  <si>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</si>
  <si>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</si>
  <si>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</si>
  <si>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</si>
  <si>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TP3</t>
  </si>
  <si>
    <t xml:space="preserve">B00693-038181</t>
  </si>
  <si>
    <t xml:space="preserve">Demand charge billed on receipt volume</t>
  </si>
  <si>
    <t xml:space="preserve">Sonat</t>
  </si>
  <si>
    <t xml:space="preserve">MGAG</t>
  </si>
  <si>
    <t xml:space="preserve">y</t>
  </si>
  <si>
    <t xml:space="preserve">tennessee</t>
  </si>
  <si>
    <t xml:space="preserve">Reliant - Entex</t>
  </si>
  <si>
    <t xml:space="preserve">zone 1</t>
  </si>
  <si>
    <t xml:space="preserve">reimbursed</t>
  </si>
  <si>
    <t xml:space="preserve">Gulf3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</si>
  <si>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</si>
  <si>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</si>
  <si>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</si>
  <si>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</si>
  <si>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</si>
  <si>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</si>
  <si>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500L #010698</t>
  </si>
  <si>
    <t xml:space="preserve">Broad Run - #020001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</si>
  <si>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</si>
  <si>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</si>
  <si>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</si>
  <si>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  </t>
  </si>
  <si>
    <t xml:space="preserve">Z5 - Wright</t>
  </si>
  <si>
    <t xml:space="preserve">Z6 - Various</t>
  </si>
  <si>
    <t xml:space="preserve">13.36, see deal 224102</t>
  </si>
  <si>
    <t xml:space="preserve">93036/229817</t>
  </si>
  <si>
    <t xml:space="preserve">Texas Gas</t>
  </si>
  <si>
    <t xml:space="preserve">8107  Evangeline</t>
  </si>
  <si>
    <t xml:space="preserve">8046  mamou</t>
  </si>
  <si>
    <t xml:space="preserve">Y</t>
  </si>
  <si>
    <t xml:space="preserve">T0181230000</t>
  </si>
  <si>
    <t xml:space="preserve">#200110000095</t>
  </si>
  <si>
    <t xml:space="preserve">category</t>
  </si>
  <si>
    <t xml:space="preserve">fuel $</t>
  </si>
  <si>
    <t xml:space="preserve">Receivable</t>
  </si>
  <si>
    <t xml:space="preserve">Mgmt Fee</t>
  </si>
  <si>
    <t xml:space="preserve">GELP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</si>
  <si>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</si>
  <si>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</si>
  <si>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</si>
  <si>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</si>
  <si>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</si>
  <si>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</si>
  <si>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St 65</t>
  </si>
  <si>
    <t xml:space="preserve">Tenn Net 284</t>
  </si>
  <si>
    <t xml:space="preserve">INCLUDES GRI ($0.0070) and Great Plains Surcharge ($0.0097)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</si>
  <si>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</si>
  <si>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</si>
  <si>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</si>
  <si>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</si>
  <si>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</si>
  <si>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</si>
  <si>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</si>
  <si>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</si>
  <si>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$0.0622 'IT'"</t>
  </si>
  <si>
    <t xml:space="preserve">Total</t>
  </si>
  <si>
    <t xml:space="preserve">Ela</t>
  </si>
  <si>
    <t xml:space="preserve">TRCO IT Rates</t>
  </si>
  <si>
    <t xml:space="preserve">Note:  2-2, 2-3, and 3-3 rates do not include surcharges.</t>
  </si>
  <si>
    <t xml:space="preserve">Tenn FT Commodity</t>
  </si>
  <si>
    <t xml:space="preserve">Toca/Patt</t>
  </si>
  <si>
    <t xml:space="preserve">Wla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</si>
  <si>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</si>
  <si>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</si>
  <si>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</si>
  <si>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</si>
  <si>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</si>
  <si>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</si>
  <si>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</si>
  <si>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</si>
  <si>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</si>
  <si>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Zone 4</t>
  </si>
  <si>
    <t xml:space="preserve">Zone 5</t>
  </si>
  <si>
    <t xml:space="preserve">Zone 6</t>
  </si>
  <si>
    <t xml:space="preserve">0</t>
  </si>
  <si>
    <t xml:space="preserve">Stx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</si>
  <si>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</si>
  <si>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</si>
  <si>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</si>
  <si>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</si>
  <si>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</si>
  <si>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</si>
  <si>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</si>
  <si>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</si>
  <si>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</si>
  <si>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</si>
  <si>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</si>
  <si>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</si>
  <si>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It to M2</t>
  </si>
  <si>
    <t xml:space="preserve">It to M3</t>
  </si>
  <si>
    <t xml:space="preserve">ETX</t>
  </si>
  <si>
    <t xml:space="preserve">M1</t>
  </si>
  <si>
    <t xml:space="preserve">M2</t>
  </si>
  <si>
    <t xml:space="preserve">M3</t>
  </si>
  <si>
    <t xml:space="preserve">             Texas Gas FT Commodity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</si>
  <si>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</si>
  <si>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</si>
  <si>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</si>
  <si>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</si>
  <si>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</si>
  <si>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</si>
  <si>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</si>
  <si>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</si>
  <si>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</si>
  <si>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</si>
  <si>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</si>
  <si>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NFG</t>
  </si>
  <si>
    <t xml:space="preserve">Niagara Zone 3</t>
  </si>
  <si>
    <t xml:space="preserve">Off</t>
  </si>
  <si>
    <t xml:space="preserve">On</t>
  </si>
  <si>
    <t xml:space="preserve">    Commodity and Fuel</t>
  </si>
  <si>
    <t xml:space="preserve">AFT-1</t>
  </si>
  <si>
    <t xml:space="preserve">ML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</si>
  <si>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</si>
  <si>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</si>
  <si>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</si>
  <si>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</si>
  <si>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</si>
  <si>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</si>
  <si>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         Florida Gas Transmission</t>
  </si>
  <si>
    <t xml:space="preserve">Trco Z3</t>
  </si>
  <si>
    <t xml:space="preserve">TGT Sl</t>
  </si>
  <si>
    <t xml:space="preserve">ITS</t>
  </si>
  <si>
    <t xml:space="preserve">Trco Z4</t>
  </si>
  <si>
    <t xml:space="preserve">Tenn 800</t>
  </si>
  <si>
    <t xml:space="preserve">Any Zone-Market (z2 $)</t>
  </si>
  <si>
    <t xml:space="preserve">Trco Z6</t>
  </si>
  <si>
    <t xml:space="preserve">TGP/NFG Niagara</t>
  </si>
  <si>
    <t xml:space="preserve">Any Zone-Market (z3 $)</t>
  </si>
  <si>
    <t xml:space="preserve">CNG SP</t>
  </si>
  <si>
    <t xml:space="preserve">Commodity</t>
  </si>
  <si>
    <t xml:space="preserve">FGT Z3</t>
  </si>
  <si>
    <t xml:space="preserve">Henry Hub</t>
  </si>
  <si>
    <t xml:space="preserve">Gas Daily </t>
  </si>
  <si>
    <t xml:space="preserve">-.30</t>
  </si>
  <si>
    <t xml:space="preserve">formulas</t>
  </si>
  <si>
    <t xml:space="preserve">IROQ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</si>
  <si>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</si>
  <si>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</si>
  <si>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</si>
  <si>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</si>
  <si>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</si>
  <si>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Dominion SP</t>
  </si>
  <si>
    <t xml:space="preserve">TGT SL</t>
  </si>
  <si>
    <t xml:space="preserve">Wadd</t>
  </si>
  <si>
    <t xml:space="preserve">Florida Z2</t>
  </si>
  <si>
    <t xml:space="preserve">Florida Z3</t>
  </si>
  <si>
    <t xml:space="preserve">st 65</t>
  </si>
  <si>
    <t xml:space="preserve">zn 1 800</t>
  </si>
  <si>
    <t xml:space="preserve">wla</t>
  </si>
  <si>
    <t xml:space="preserve">m/l ITS2</t>
  </si>
  <si>
    <t xml:space="preserve">Winter</t>
  </si>
  <si>
    <t xml:space="preserve">Summer</t>
  </si>
  <si>
    <t xml:space="preserve">st 45</t>
  </si>
  <si>
    <t xml:space="preserve">stx</t>
  </si>
  <si>
    <t xml:space="preserve">Leach FT1</t>
  </si>
  <si>
    <t xml:space="preserve">st 30</t>
  </si>
  <si>
    <t xml:space="preserve">m1</t>
  </si>
  <si>
    <t xml:space="preserve">Ft/It combo</t>
  </si>
  <si>
    <t xml:space="preserve">Z6 NY</t>
  </si>
  <si>
    <t xml:space="preserve">Rates No 37.02</t>
  </si>
  <si>
    <t xml:space="preserve">Rates No 42</t>
  </si>
  <si>
    <t xml:space="preserve">Winter Fuel Nov-Mar</t>
  </si>
  <si>
    <t xml:space="preserve">Summer Fuel Apr-Nov</t>
  </si>
  <si>
    <t xml:space="preserve">Rates 18 &amp; 19</t>
  </si>
  <si>
    <t xml:space="preserve">Rates 25 &amp; 28</t>
  </si>
  <si>
    <t xml:space="preserve">Rates 32</t>
  </si>
  <si>
    <t xml:space="preserve">Summer Fuel</t>
  </si>
  <si>
    <t xml:space="preserve">Winter Fuel</t>
  </si>
  <si>
    <t xml:space="preserve">Rates No 4</t>
  </si>
  <si>
    <t xml:space="preserve">Rates No 8</t>
  </si>
  <si>
    <t xml:space="preserve">Fuel No 44</t>
  </si>
  <si>
    <t xml:space="preserve">Rates No 23A &amp; 22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</si>
  <si>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</si>
  <si>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</si>
  <si>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</si>
  <si>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</si>
  <si>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 44</t>
  </si>
  <si>
    <t xml:space="preserve">Nov - Mar</t>
  </si>
  <si>
    <t xml:space="preserve">Fuel changes each month</t>
  </si>
  <si>
    <t xml:space="preserve">Fuel No.8,</t>
  </si>
  <si>
    <t xml:space="preserve">Rates eff 12/1/2002</t>
  </si>
  <si>
    <t xml:space="preserve">Rates eff 9/1/2001</t>
  </si>
  <si>
    <t xml:space="preserve">Fuel No 29</t>
  </si>
  <si>
    <t xml:space="preserve">Fuel No 127,128, &amp; 129</t>
  </si>
  <si>
    <t xml:space="preserve">Fuel No 15</t>
  </si>
  <si>
    <t xml:space="preserve">EFFECTIVE 4/1/01</t>
  </si>
  <si>
    <t xml:space="preserve">PENDING Rates &amp; Fuel</t>
  </si>
  <si>
    <t xml:space="preserve">Updated 12/1/200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</si>
  <si>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</si>
  <si>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</si>
  <si>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</si>
  <si>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</si>
  <si>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updated 10/23/01  cg</t>
  </si>
  <si>
    <t xml:space="preserve">Updtd Rates 6/1/2001</t>
  </si>
  <si>
    <t xml:space="preserve">Updtd Rates 2/1/2001</t>
  </si>
  <si>
    <t xml:space="preserve">Updtd Rates 3/1/00</t>
  </si>
  <si>
    <t xml:space="preserve">Updtd Rates 10/23/01 cg</t>
  </si>
  <si>
    <t xml:space="preserve">Eff 4/1/01</t>
  </si>
  <si>
    <t xml:space="preserve">Fuel No 40</t>
  </si>
  <si>
    <t xml:space="preserve">Fuel 14</t>
  </si>
  <si>
    <t xml:space="preserve">All Fuel is 0.02%</t>
  </si>
  <si>
    <t xml:space="preserve">CDS and FT-1</t>
  </si>
  <si>
    <t xml:space="preserve">Need to check GSR &amp; SCRM</t>
  </si>
  <si>
    <t xml:space="preserve">Updtd fuel 10/23/01</t>
  </si>
  <si>
    <t xml:space="preserve">cked rates &amp; fuel 10/25/01 cg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</si>
  <si>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</si>
  <si>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</si>
  <si>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</si>
  <si>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</si>
  <si>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</si>
  <si>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</si>
  <si>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</si>
  <si>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TETCO IT</t>
  </si>
  <si>
    <t xml:space="preserve">(0-0)FT</t>
  </si>
  <si>
    <t xml:space="preserve">Gulf</t>
  </si>
  <si>
    <t xml:space="preserve">(off-off)fts2</t>
  </si>
  <si>
    <t xml:space="preserve">(fts)</t>
  </si>
  <si>
    <t xml:space="preserve">ft</t>
  </si>
  <si>
    <t xml:space="preserve">TGT</t>
  </si>
  <si>
    <t xml:space="preserve">FT SL-SL</t>
  </si>
  <si>
    <t xml:space="preserve">FT 1-1</t>
  </si>
  <si>
    <t xml:space="preserve">NFGS</t>
  </si>
  <si>
    <t xml:space="preserve">FT-Niag to Leidy</t>
  </si>
  <si>
    <t xml:space="preserve">Generic</t>
  </si>
  <si>
    <t xml:space="preserve">Florida Z2-FTS1</t>
  </si>
  <si>
    <t xml:space="preserve">comm</t>
  </si>
  <si>
    <t xml:space="preserve">Comm</t>
  </si>
  <si>
    <t xml:space="preserve">FT commodity</t>
  </si>
  <si>
    <t xml:space="preserve">ACA</t>
  </si>
  <si>
    <t xml:space="preserve">fuel(1.50)</t>
  </si>
  <si>
    <t xml:space="preserve">fuel(.552)</t>
  </si>
  <si>
    <t xml:space="preserve">fuel(2.00)</t>
  </si>
  <si>
    <t xml:space="preserve">GRI</t>
  </si>
  <si>
    <t xml:space="preserve">fuel (2.4%)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</si>
  <si>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</si>
  <si>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</si>
  <si>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</si>
  <si>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</si>
  <si>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</si>
  <si>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</si>
  <si>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</si>
  <si>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</si>
  <si>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</si>
  <si>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</si>
  <si>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</si>
  <si>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FR SL-4</t>
  </si>
  <si>
    <t xml:space="preserve">FT 1-2</t>
  </si>
  <si>
    <t xml:space="preserve">Zn 1</t>
  </si>
  <si>
    <t xml:space="preserve">Variable</t>
  </si>
  <si>
    <t xml:space="preserve">Florida Z3 -FTS1</t>
  </si>
  <si>
    <t xml:space="preserve">Delivered</t>
  </si>
  <si>
    <t xml:space="preserve">FTcommodity</t>
  </si>
  <si>
    <t xml:space="preserve">fuel(.697)</t>
  </si>
  <si>
    <t xml:space="preserve">(1-3)</t>
  </si>
  <si>
    <t xml:space="preserve">(1-3)IT</t>
  </si>
  <si>
    <t xml:space="preserve">(0-2) FT</t>
  </si>
  <si>
    <t xml:space="preserve">(stx-ela)</t>
  </si>
  <si>
    <t xml:space="preserve">(0-2)FT</t>
  </si>
  <si>
    <t xml:space="preserve">(ml-ml)fts1</t>
  </si>
  <si>
    <t xml:space="preserve">(winter)it</t>
  </si>
  <si>
    <t xml:space="preserve">Disc It</t>
  </si>
  <si>
    <t xml:space="preserve">FT 1-4</t>
  </si>
  <si>
    <t xml:space="preserve">IT 1-2</t>
  </si>
  <si>
    <t xml:space="preserve">Zn 2</t>
  </si>
  <si>
    <t xml:space="preserve">Florida Z2 IT</t>
  </si>
  <si>
    <t xml:space="preserve">fuel(2.30)</t>
  </si>
  <si>
    <t xml:space="preserve">fuel(2.902)</t>
  </si>
  <si>
    <t xml:space="preserve">Dec - Mar</t>
  </si>
  <si>
    <t xml:space="preserve">IT commodity</t>
  </si>
  <si>
    <t xml:space="preserve">(1-4)</t>
  </si>
  <si>
    <t xml:space="preserve">(1-4) it</t>
  </si>
  <si>
    <t xml:space="preserve">(0-3) FT</t>
  </si>
  <si>
    <t xml:space="preserve">(stx-m1)</t>
  </si>
  <si>
    <t xml:space="preserve">(stx-m2)</t>
  </si>
  <si>
    <t xml:space="preserve">(0-3)FT</t>
  </si>
  <si>
    <t xml:space="preserve">(off-off)its2</t>
  </si>
  <si>
    <t xml:space="preserve">Disc IT</t>
  </si>
  <si>
    <t xml:space="preserve">fuel(2.60)</t>
  </si>
  <si>
    <t xml:space="preserve">FT SL-1</t>
  </si>
  <si>
    <t xml:space="preserve">Disc 1-2</t>
  </si>
  <si>
    <t xml:space="preserve">Zn 3</t>
  </si>
  <si>
    <t xml:space="preserve">Florida Z3 IT</t>
  </si>
  <si>
    <t xml:space="preserve">(1-5)</t>
  </si>
  <si>
    <t xml:space="preserve">(2-2) it</t>
  </si>
  <si>
    <t xml:space="preserve">(0-4) FT</t>
  </si>
  <si>
    <t xml:space="preserve">(stx-m3)</t>
  </si>
  <si>
    <t xml:space="preserve">(on-on)its2</t>
  </si>
  <si>
    <t xml:space="preserve">Disc 1-1</t>
  </si>
  <si>
    <t xml:space="preserve">Florida Z2 -FTS2</t>
  </si>
  <si>
    <t xml:space="preserve">(1-6)</t>
  </si>
  <si>
    <t xml:space="preserve">(2-3)IT</t>
  </si>
  <si>
    <t xml:space="preserve">(0-5) FT</t>
  </si>
  <si>
    <t xml:space="preserve">(wla-wla)</t>
  </si>
  <si>
    <t xml:space="preserve">(ml-ml)its1</t>
  </si>
  <si>
    <t xml:space="preserve">(2-2)</t>
  </si>
  <si>
    <t xml:space="preserve">(2-4) it</t>
  </si>
  <si>
    <t xml:space="preserve">(0-6) FT</t>
  </si>
  <si>
    <t xml:space="preserve">(wla-m1)</t>
  </si>
  <si>
    <t xml:space="preserve">Iroq Fuel</t>
  </si>
  <si>
    <t xml:space="preserve">(on-on)DISC</t>
  </si>
  <si>
    <t xml:space="preserve">Florida Z3 -FTS2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</si>
  <si>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</si>
  <si>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</si>
  <si>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</si>
  <si>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</si>
  <si>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</si>
  <si>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</si>
  <si>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(wla-m2)</t>
  </si>
  <si>
    <t xml:space="preserve">(rn-lch)Disc</t>
  </si>
  <si>
    <t xml:space="preserve">(2-4)</t>
  </si>
  <si>
    <t xml:space="preserve">(3-4) it</t>
  </si>
  <si>
    <t xml:space="preserve">(1-1) FT</t>
  </si>
  <si>
    <t xml:space="preserve">(wla-m3)</t>
  </si>
  <si>
    <t xml:space="preserve">(2-5)</t>
  </si>
  <si>
    <t xml:space="preserve">(3-5) it</t>
  </si>
  <si>
    <t xml:space="preserve">(1-2) FT</t>
  </si>
  <si>
    <t xml:space="preserve">(etx-wla)</t>
  </si>
  <si>
    <t xml:space="preserve">(2-6)</t>
  </si>
  <si>
    <t xml:space="preserve">(3-6) it</t>
  </si>
  <si>
    <t xml:space="preserve">(1-3) FT</t>
  </si>
  <si>
    <t xml:space="preserve">(ela-ela)</t>
  </si>
  <si>
    <t xml:space="preserve">comm .0874</t>
  </si>
  <si>
    <t xml:space="preserve">(3-3)</t>
  </si>
  <si>
    <t xml:space="preserve">(4-4) it</t>
  </si>
  <si>
    <t xml:space="preserve">(1-4) FT</t>
  </si>
  <si>
    <t xml:space="preserve">(etx-stx)</t>
  </si>
  <si>
    <t xml:space="preserve">(ela-m1)</t>
  </si>
  <si>
    <t xml:space="preserve">(3-4) </t>
  </si>
  <si>
    <t xml:space="preserve">(4-5) it</t>
  </si>
  <si>
    <t xml:space="preserve">(1-5) FT</t>
  </si>
  <si>
    <t xml:space="preserve">(ela-m2)</t>
  </si>
  <si>
    <t xml:space="preserve">Z2 - Z2</t>
  </si>
  <si>
    <t xml:space="preserve">(3-5)</t>
  </si>
  <si>
    <t xml:space="preserve">Transco  </t>
  </si>
  <si>
    <t xml:space="preserve">(4a-4a) it</t>
  </si>
  <si>
    <t xml:space="preserve">(1-6) FT</t>
  </si>
  <si>
    <t xml:space="preserve">(etx-etx)</t>
  </si>
  <si>
    <t xml:space="preserve">(ela-m3)</t>
  </si>
  <si>
    <t xml:space="preserve">(3-6)</t>
  </si>
  <si>
    <t xml:space="preserve">Transco it</t>
  </si>
  <si>
    <t xml:space="preserve">(5-6) it</t>
  </si>
  <si>
    <t xml:space="preserve">(2-5) FT</t>
  </si>
  <si>
    <t xml:space="preserve">(etx-ela )</t>
  </si>
  <si>
    <t xml:space="preserve">(m1-m2)</t>
  </si>
  <si>
    <t xml:space="preserve">(4-4) </t>
  </si>
  <si>
    <t xml:space="preserve">(6-6) it</t>
  </si>
  <si>
    <t xml:space="preserve">(4-4) FT</t>
  </si>
  <si>
    <t xml:space="preserve">(m1-m3)</t>
  </si>
  <si>
    <t xml:space="preserve">(4-5) </t>
  </si>
  <si>
    <t xml:space="preserve">Leidy-Emporia</t>
  </si>
  <si>
    <t xml:space="preserve">(4-6) FT</t>
  </si>
  <si>
    <t xml:space="preserve">(m2-m2)</t>
  </si>
  <si>
    <t xml:space="preserve">(4-6) </t>
  </si>
  <si>
    <t xml:space="preserve">Leidy-AGL</t>
  </si>
  <si>
    <t xml:space="preserve">(5-4) FT</t>
  </si>
  <si>
    <t xml:space="preserve">(m2-m3)</t>
  </si>
  <si>
    <t xml:space="preserve">(4a-4a)</t>
  </si>
  <si>
    <t xml:space="preserve">Leidy-Doyle</t>
  </si>
  <si>
    <t xml:space="preserve">(5-5) FT</t>
  </si>
  <si>
    <t xml:space="preserve">(m3-m3)</t>
  </si>
  <si>
    <t xml:space="preserve">(5-5)</t>
  </si>
  <si>
    <t xml:space="preserve">St 210-Doyle</t>
  </si>
  <si>
    <t xml:space="preserve">TGP Backhaul</t>
  </si>
  <si>
    <t xml:space="preserve">      (5-5) FT</t>
  </si>
  <si>
    <t xml:space="preserve">(m1-m1)</t>
  </si>
  <si>
    <t xml:space="preserve">(5-6)</t>
  </si>
  <si>
    <t xml:space="preserve">(5-6)  FT</t>
  </si>
  <si>
    <t xml:space="preserve">(6-6)</t>
  </si>
  <si>
    <t xml:space="preserve">(6-4)  FT</t>
  </si>
  <si>
    <t xml:space="preserve">.</t>
  </si>
  <si>
    <t xml:space="preserve">Leidy to Emporia</t>
  </si>
  <si>
    <t xml:space="preserve">(6-5)  FT</t>
  </si>
  <si>
    <t xml:space="preserve">St 210 to Doyle</t>
  </si>
  <si>
    <t xml:space="preserve">(6-6)  FT</t>
  </si>
  <si>
    <t xml:space="preserve">Leidy to Doyle</t>
  </si>
  <si>
    <t xml:space="preserve">Tenn NET 284</t>
  </si>
  <si>
    <t xml:space="preserve">fuel(1.31)</t>
  </si>
  <si>
    <t xml:space="preserve">Leidy to AGL</t>
  </si>
  <si>
    <t xml:space="preserve">(L-L)  IT</t>
  </si>
  <si>
    <t xml:space="preserve">(0-l)  IT</t>
  </si>
  <si>
    <t xml:space="preserve">(0-3)  IT</t>
  </si>
  <si>
    <t xml:space="preserve">(0-4)  IT</t>
  </si>
  <si>
    <t xml:space="preserve">(0-6)  IT</t>
  </si>
  <si>
    <t xml:space="preserve">(l-2)  IT</t>
  </si>
  <si>
    <t xml:space="preserve">(1-3) IT</t>
  </si>
  <si>
    <t xml:space="preserve">(1-4) IT</t>
  </si>
  <si>
    <t xml:space="preserve">(1-5) IT</t>
  </si>
  <si>
    <t xml:space="preserve">(1-6) IT</t>
  </si>
  <si>
    <t xml:space="preserve">(4-6) IT</t>
  </si>
  <si>
    <t xml:space="preserve">(5-3) IT</t>
  </si>
  <si>
    <t xml:space="preserve">(5-4) IT</t>
  </si>
  <si>
    <t xml:space="preserve">(5-5) IT</t>
  </si>
  <si>
    <t xml:space="preserve">(5-6) IT</t>
  </si>
  <si>
    <t xml:space="preserve">(6-3) IT</t>
  </si>
  <si>
    <t xml:space="preserve">(6-4) IT</t>
  </si>
  <si>
    <t xml:space="preserve">(6-5) IT</t>
  </si>
  <si>
    <t xml:space="preserve">(6-6) IT</t>
  </si>
  <si>
    <t xml:space="preserve">Note:</t>
  </si>
  <si>
    <t xml:space="preserve">Effective 2/1/01</t>
  </si>
  <si>
    <t xml:space="preserve">Tenn contract with all receipts and deliveries in Zones 0, 1, &amp; 2.  Only deliveries to Broad Run allowed in Zone 3</t>
  </si>
  <si>
    <t xml:space="preserve">MDQ= 144,000 dt.</t>
  </si>
  <si>
    <t xml:space="preserve">See deal 595311</t>
  </si>
  <si>
    <t xml:space="preserve">2/1/2001   Transco fuels change effective 4/1/2001</t>
  </si>
  <si>
    <t xml:space="preserve">Delivery</t>
  </si>
  <si>
    <t xml:space="preserve">Receipt</t>
  </si>
  <si>
    <t xml:space="preserve">Zone 4A to Zone 4A = .59%</t>
  </si>
  <si>
    <t xml:space="preserve">Summer Fuel Apr-Oct</t>
  </si>
  <si>
    <t xml:space="preserve">Winter Fuel Dec-Mar</t>
  </si>
  <si>
    <t xml:space="preserve">Summer Apr-Nov</t>
  </si>
  <si>
    <t xml:space="preserve">Apr 1 - Oct 31</t>
  </si>
  <si>
    <t xml:space="preserve">Rates Eff 7/1/00</t>
  </si>
  <si>
    <t xml:space="preserve">Updtd Fuel 12/1/2000</t>
  </si>
  <si>
    <t xml:space="preserve">Updated eff 3/1/2000</t>
  </si>
  <si>
    <t xml:space="preserve">Rates eff 1/1/2001</t>
  </si>
  <si>
    <t xml:space="preserve">tgt sl-sl</t>
  </si>
  <si>
    <t xml:space="preserve">fuel(.22)</t>
  </si>
  <si>
    <t xml:space="preserve">fuel(.58)</t>
  </si>
  <si>
    <t xml:space="preserve">tgt sl-4</t>
  </si>
  <si>
    <t xml:space="preserve">fuel(2.68)</t>
  </si>
  <si>
    <t xml:space="preserve">tgt 1-4</t>
  </si>
  <si>
    <t xml:space="preserve">tgt SL-1</t>
  </si>
  <si>
    <t xml:space="preserve">fuel(1.69)</t>
  </si>
  <si>
    <t xml:space="preserve">tgt 1-SL (Backhaul)</t>
  </si>
  <si>
    <t xml:space="preserve">FT 1-SL</t>
  </si>
  <si>
    <t xml:space="preserve">fuel(0.0)</t>
  </si>
  <si>
    <t xml:space="preserve">Storage GSS Sheet 27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</si>
  <si>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</si>
  <si>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</si>
  <si>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</si>
  <si>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</si>
  <si>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</si>
  <si>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</si>
  <si>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</si>
  <si>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</si>
  <si>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</si>
  <si>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</si>
  <si>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</si>
  <si>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</si>
  <si>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</si>
  <si>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</si>
  <si>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</si>
  <si>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</si>
  <si>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</si>
  <si>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</si>
  <si>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</si>
  <si>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</si>
  <si>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</si>
  <si>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</si>
  <si>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</si>
  <si>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</si>
  <si>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</si>
  <si>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</si>
  <si>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</si>
  <si>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</si>
  <si>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</si>
  <si>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</si>
  <si>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</si>
  <si>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</si>
  <si>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</si>
  <si>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</si>
  <si>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</si>
  <si>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</si>
  <si>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</si>
  <si>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</si>
  <si>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</si>
  <si>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</si>
  <si>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</si>
  <si>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</si>
  <si>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</si>
  <si>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</si>
  <si>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</si>
  <si>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</si>
  <si>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</si>
  <si>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</si>
  <si>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</si>
  <si>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</si>
  <si>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</si>
  <si>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</si>
  <si>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</si>
  <si>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</si>
  <si>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</si>
  <si>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</si>
  <si>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</si>
  <si>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</si>
  <si>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Rate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</si>
  <si>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</si>
  <si>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</si>
  <si>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</si>
  <si>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</si>
  <si>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</si>
  <si>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</si>
  <si>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</si>
  <si>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National Fuel</t>
  </si>
  <si>
    <t xml:space="preserve">Niag to Leidy</t>
  </si>
  <si>
    <t xml:space="preserve">Leidy -Z6</t>
  </si>
  <si>
    <t xml:space="preserve">Total Transport</t>
  </si>
  <si>
    <t xml:space="preserve">Niag</t>
  </si>
  <si>
    <t xml:space="preserve">Ny</t>
  </si>
  <si>
    <t xml:space="preserve">NYMX</t>
  </si>
  <si>
    <t xml:space="preserve">Jun</t>
  </si>
  <si>
    <t xml:space="preserve">Jul</t>
  </si>
  <si>
    <t xml:space="preserve">Aug</t>
  </si>
  <si>
    <t xml:space="preserve">Sep</t>
  </si>
  <si>
    <t xml:space="preserve">Avg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</si>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</sst>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0.00_);\(0.00\)"/>
    <numFmt numFmtId="166" formatCode="0%"/>
    <numFmt numFmtId="167" formatCode="0.00%"/>
    <numFmt numFmtId="168" formatCode="_(* #,##0.00_);_(* \(#,##0.00\);_(* \-??_);_(@_)"/>
    <numFmt numFmtId="169" formatCode="[$-409]m/d/yyyy"/>
    <numFmt numFmtId="170" formatCode="_(\$* #,##0.00_);_(\$* \(#,##0.00\);_(\$* \-??_);_(@_)"/>
    <numFmt numFmtId="171" formatCode="_(\$* #,##0.0000_);_(\$* \(#,##0.0000\);_(\$* \-??_);_(@_)"/>
    <numFmt numFmtId="172" formatCode="\$#,##0.0000_);[RED]&quot;($&quot;#,##0.0000\)"/>
    <numFmt numFmtId="173" formatCode="\$#,##0.000_);[RED]&quot;($&quot;#,##0.000\)"/>
    <numFmt numFmtId="174" formatCode="0.0000%"/>
    <numFmt numFmtId="175" formatCode="[$-409]d\-mmm"/>
    <numFmt numFmtId="176" formatCode="[$-409]#,##0_);[RED]\(#,##0\)"/>
    <numFmt numFmtId="177" formatCode="@"/>
    <numFmt numFmtId="178" formatCode="#,##0.00000"/>
    <numFmt numFmtId="179" formatCode="0.000%"/>
    <numFmt numFmtId="180" formatCode="0"/>
    <numFmt numFmtId="181" formatCode="#,##0"/>
    <numFmt numFmtId="182" formatCode="_(\$* #,##0.000_);_(\$* \(#,##0.000\);_(\$* \-??_);_(@_)"/>
    <numFmt numFmtId="183" formatCode="\$#,##0.00_);[RED]&quot;($&quot;#,##0.00\)"/>
    <numFmt numFmtId="184" formatCode="# ?/?"/>
    <numFmt numFmtId="185" formatCode="_(\$* #,##0_);_(\$* \(#,##0\);_(\$* \-??_);_(@_)"/>
    <numFmt numFmtId="186" formatCode="#,##0.00"/>
    <numFmt numFmtId="187" formatCode="0.0000"/>
    <numFmt numFmtId="188" formatCode="_(* #,##0.000_);_(* \(#,##0.000\);_(* \-??_);_(@_)"/>
    <numFmt numFmtId="189" formatCode="_(* #,##0_);_(* \(#,##0\);_(* \-??_);_(@_)"/>
    <numFmt numFmtId="190" formatCode="_(* #,##0.0000_);_(* \(#,##0.0000\);_(* \-??_);_(@_)"/>
    <numFmt numFmtId="191" formatCode="0.000"/>
    <numFmt numFmtId="192" formatCode="[$-409]d\-mmm\-yy"/>
    <numFmt numFmtId="193" formatCode="\$#,##0.000"/>
    <numFmt numFmtId="194" formatCode="\$#,##0.0000_);&quot;($&quot;#,##0.0000\)"/>
    <numFmt numFmtId="195" formatCode="\$#,##0.00_);&quot;($&quot;#,##0.00\)"/>
    <numFmt numFmtId="196" formatCode="0.00000"/>
    <numFmt numFmtId="197" formatCode="\$#,##0.00000_);[RED]&quot;($&quot;#,##0.00000\)"/>
    <numFmt numFmtId="198" formatCode="[$-409]mmm\-yy"/>
    <numFmt numFmtId="199" formatCode="0.00"/>
    <numFmt numFmtId="200" formatCode="_(\$* #,##0.00000_);_(\$* \(#,##0.00000\);_(\$* \-??_);_(@_)"/>
    <numFmt numFmtId="201" formatCode="#,##0.000"/>
    <numFmt numFmtId="202" formatCode="\$#,##0.000_);&quot;($&quot;#,##0.000\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u val="single"/>
      <sz val="10"/>
      <name val="Arial"/>
      <family val="0"/>
    </font>
    <font>
      <b val="true"/>
      <sz val="9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8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9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6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9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8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1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2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  <c r="C3" s="1" t="n">
        <v>4920606</v>
      </c>
    </row>
    <row r="4" customFormat="false" ht="12.75" hidden="false" customHeight="false" outlineLevel="0" collapsed="false">
      <c r="A4" s="1" t="s">
        <v>1</v>
      </c>
      <c r="C4" s="1" t="n">
        <v>147452</v>
      </c>
    </row>
    <row r="5" customFormat="false" ht="12.75" hidden="false" customHeight="false" outlineLevel="0" collapsed="false">
      <c r="A5" s="1" t="s">
        <v>2</v>
      </c>
      <c r="C5" s="1" t="n">
        <v>289928</v>
      </c>
    </row>
    <row r="6" customFormat="false" ht="12.75" hidden="false" customHeight="false" outlineLevel="0" collapsed="false">
      <c r="A6" s="1" t="s">
        <v>3</v>
      </c>
      <c r="B6" s="1" t="s">
        <v>4</v>
      </c>
      <c r="C6" s="1" t="n">
        <v>2350000</v>
      </c>
    </row>
    <row r="7" customFormat="false" ht="12.75" hidden="false" customHeight="false" outlineLevel="0" collapsed="false">
      <c r="A7" s="1" t="s">
        <v>5</v>
      </c>
      <c r="B7" s="1" t="s">
        <v>4</v>
      </c>
      <c r="C7" s="1" t="n">
        <v>350000</v>
      </c>
    </row>
    <row r="8" customFormat="false" ht="12.75" hidden="false" customHeight="false" outlineLevel="0" collapsed="false">
      <c r="A8" s="1" t="s">
        <v>6</v>
      </c>
      <c r="B8" s="1" t="s">
        <v>4</v>
      </c>
      <c r="C8" s="1" t="n">
        <v>234167</v>
      </c>
    </row>
    <row r="9" customFormat="false" ht="12.75" hidden="false" customHeight="false" outlineLevel="0" collapsed="false">
      <c r="A9" s="1" t="s">
        <v>7</v>
      </c>
      <c r="B9" s="1" t="s">
        <v>4</v>
      </c>
      <c r="C9" s="1" t="n">
        <v>237630</v>
      </c>
    </row>
    <row r="10" customFormat="false" ht="12.75" hidden="false" customHeight="false" outlineLevel="0" collapsed="false">
      <c r="A10" s="1" t="s">
        <v>8</v>
      </c>
      <c r="B10" s="1" t="s">
        <v>4</v>
      </c>
      <c r="C10" s="1" t="n">
        <v>399502</v>
      </c>
    </row>
    <row r="11" customFormat="false" ht="12.75" hidden="false" customHeight="false" outlineLevel="0" collapsed="false">
      <c r="A11" s="1" t="s">
        <v>9</v>
      </c>
      <c r="B11" s="1" t="s">
        <v>4</v>
      </c>
      <c r="C11" s="1" t="n">
        <v>354541</v>
      </c>
    </row>
    <row r="12" customFormat="false" ht="12.75" hidden="false" customHeight="false" outlineLevel="0" collapsed="false">
      <c r="A12" s="1" t="s">
        <v>10</v>
      </c>
      <c r="B12" s="1" t="s">
        <v>4</v>
      </c>
      <c r="C12" s="1" t="n">
        <v>173072</v>
      </c>
    </row>
    <row r="13" customFormat="false" ht="12.75" hidden="false" customHeight="false" outlineLevel="0" collapsed="false">
      <c r="A13" s="1" t="s">
        <v>11</v>
      </c>
      <c r="B13" s="1" t="s">
        <v>4</v>
      </c>
      <c r="C13" s="1" t="n">
        <v>788363</v>
      </c>
    </row>
    <row r="14" customFormat="false" ht="12.75" hidden="false" customHeight="false" outlineLevel="0" collapsed="false">
      <c r="A14" s="1" t="s">
        <v>12</v>
      </c>
      <c r="B14" s="1" t="s">
        <v>4</v>
      </c>
      <c r="C14" s="1" t="n">
        <v>4548000</v>
      </c>
    </row>
    <row r="15" customFormat="false" ht="12.75" hidden="false" customHeight="false" outlineLevel="0" collapsed="false">
      <c r="A15" s="1" t="s">
        <v>13</v>
      </c>
      <c r="B15" s="1" t="s">
        <v>4</v>
      </c>
      <c r="C15" s="1" t="n">
        <v>7818490</v>
      </c>
    </row>
    <row r="16" customFormat="false" ht="12.75" hidden="false" customHeight="false" outlineLevel="0" collapsed="false">
      <c r="A16" s="1" t="s">
        <v>14</v>
      </c>
      <c r="B16" s="1" t="s">
        <v>4</v>
      </c>
      <c r="C16" s="1" t="n">
        <v>258605</v>
      </c>
    </row>
    <row r="17" customFormat="false" ht="12.75" hidden="false" customHeight="false" outlineLevel="0" collapsed="false">
      <c r="A17" s="1" t="s">
        <v>15</v>
      </c>
      <c r="B17" s="1" t="s">
        <v>4</v>
      </c>
      <c r="C17" s="1" t="n">
        <v>1023039</v>
      </c>
    </row>
    <row r="18" customFormat="false" ht="12.75" hidden="false" customHeight="false" outlineLevel="0" collapsed="false">
      <c r="A18" s="1" t="s">
        <v>16</v>
      </c>
      <c r="B18" s="1" t="s">
        <v>4</v>
      </c>
      <c r="C18" s="1" t="n">
        <v>185000</v>
      </c>
    </row>
    <row r="19" customFormat="false" ht="12.75" hidden="false" customHeight="false" outlineLevel="0" collapsed="false">
      <c r="A19" s="1" t="s">
        <v>17</v>
      </c>
      <c r="B19" s="1" t="s">
        <v>4</v>
      </c>
      <c r="C19" s="1" t="n">
        <v>425322</v>
      </c>
    </row>
    <row r="20" customFormat="false" ht="12.75" hidden="false" customHeight="false" outlineLevel="0" collapsed="false">
      <c r="A20" s="1" t="s">
        <v>0</v>
      </c>
      <c r="B20" s="1" t="s">
        <v>4</v>
      </c>
      <c r="C20" s="1" t="n">
        <v>1981333</v>
      </c>
    </row>
    <row r="21" customFormat="false" ht="12.75" hidden="false" customHeight="false" outlineLevel="0" collapsed="false">
      <c r="A21" s="1" t="s">
        <v>0</v>
      </c>
      <c r="B21" s="1" t="s">
        <v>4</v>
      </c>
      <c r="C21" s="1" t="n">
        <v>3788688</v>
      </c>
    </row>
    <row r="22" customFormat="false" ht="12.75" hidden="false" customHeight="false" outlineLevel="0" collapsed="false">
      <c r="A22" s="1" t="s">
        <v>0</v>
      </c>
      <c r="B22" s="1" t="s">
        <v>4</v>
      </c>
      <c r="C22" s="1" t="n">
        <v>1168151</v>
      </c>
    </row>
    <row r="23" customFormat="false" ht="12.75" hidden="false" customHeight="false" outlineLevel="0" collapsed="false">
      <c r="A23" s="1" t="s">
        <v>18</v>
      </c>
      <c r="B23" s="1" t="s">
        <v>4</v>
      </c>
      <c r="C23" s="1" t="n">
        <v>578709</v>
      </c>
    </row>
    <row r="24" customFormat="false" ht="12.75" hidden="false" customHeight="false" outlineLevel="0" collapsed="false">
      <c r="A24" s="1" t="s">
        <v>19</v>
      </c>
      <c r="B24" s="1" t="s">
        <v>4</v>
      </c>
      <c r="C24" s="1" t="n">
        <v>2430380</v>
      </c>
    </row>
    <row r="25" customFormat="false" ht="12.75" hidden="false" customHeight="false" outlineLevel="0" collapsed="false">
      <c r="A25" s="1" t="s">
        <v>20</v>
      </c>
      <c r="B25" s="1" t="s">
        <v>4</v>
      </c>
      <c r="C25" s="1" t="n">
        <v>1200000</v>
      </c>
    </row>
    <row r="26" customFormat="false" ht="12.75" hidden="false" customHeight="false" outlineLevel="0" collapsed="false">
      <c r="A26" s="1" t="s">
        <v>21</v>
      </c>
      <c r="B26" s="1" t="s">
        <v>4</v>
      </c>
      <c r="C26" s="1" t="n">
        <v>1365000</v>
      </c>
    </row>
    <row r="27" customFormat="false" ht="12.75" hidden="false" customHeight="false" outlineLevel="0" collapsed="false">
      <c r="A27" s="1" t="s">
        <v>21</v>
      </c>
      <c r="B27" s="1" t="s">
        <v>4</v>
      </c>
      <c r="C27" s="1" t="n">
        <v>2100000</v>
      </c>
    </row>
    <row r="28" customFormat="false" ht="12.75" hidden="false" customHeight="false" outlineLevel="0" collapsed="false">
      <c r="A28" s="1" t="s">
        <v>21</v>
      </c>
      <c r="B28" s="1" t="s">
        <v>4</v>
      </c>
      <c r="C28" s="1" t="n">
        <v>376150</v>
      </c>
    </row>
    <row r="29" customFormat="false" ht="12.75" hidden="false" customHeight="false" outlineLevel="0" collapsed="false">
      <c r="A29" s="1" t="s">
        <v>22</v>
      </c>
      <c r="B29" s="1" t="s">
        <v>4</v>
      </c>
      <c r="C29" s="1" t="n">
        <v>493040</v>
      </c>
    </row>
    <row r="30" customFormat="false" ht="12.75" hidden="false" customHeight="false" outlineLevel="0" collapsed="false">
      <c r="A30" s="1" t="s">
        <v>23</v>
      </c>
      <c r="B30" s="1" t="s">
        <v>24</v>
      </c>
      <c r="C30" s="1" t="n">
        <v>8833</v>
      </c>
    </row>
    <row r="31" customFormat="false" ht="12.75" hidden="false" customHeight="false" outlineLevel="0" collapsed="false">
      <c r="A31" s="1" t="s">
        <v>25</v>
      </c>
      <c r="B31" s="1" t="s">
        <v>24</v>
      </c>
      <c r="C31" s="1" t="n">
        <v>12935</v>
      </c>
    </row>
    <row r="32" customFormat="false" ht="12.75" hidden="false" customHeight="false" outlineLevel="0" collapsed="false">
      <c r="A32" s="1" t="s">
        <v>26</v>
      </c>
      <c r="B32" s="1" t="s">
        <v>24</v>
      </c>
      <c r="C32" s="1" t="n">
        <v>120000</v>
      </c>
    </row>
    <row r="33" customFormat="false" ht="12.75" hidden="false" customHeight="false" outlineLevel="0" collapsed="false">
      <c r="A33" s="1" t="s">
        <v>27</v>
      </c>
      <c r="C33" s="1" t="n">
        <v>80000</v>
      </c>
    </row>
    <row r="34" customFormat="false" ht="12.75" hidden="false" customHeight="false" outlineLevel="0" collapsed="false">
      <c r="A34" s="1" t="s">
        <v>28</v>
      </c>
      <c r="C34" s="1" t="n">
        <v>197348</v>
      </c>
    </row>
    <row r="35" customFormat="false" ht="12.75" hidden="false" customHeight="false" outlineLevel="0" collapsed="false">
      <c r="A35" s="1" t="s">
        <v>29</v>
      </c>
      <c r="C35" s="1" t="n">
        <v>27000</v>
      </c>
    </row>
    <row r="36" customFormat="false" ht="12.75" hidden="false" customHeight="false" outlineLevel="0" collapsed="false">
      <c r="A36" s="1" t="s">
        <v>30</v>
      </c>
      <c r="C36" s="1" t="n">
        <v>35000</v>
      </c>
    </row>
    <row r="37" customFormat="false" ht="12.75" hidden="false" customHeight="false" outlineLevel="0" collapsed="false">
      <c r="A37" s="1" t="s">
        <v>31</v>
      </c>
      <c r="C37" s="1" t="n">
        <v>19897</v>
      </c>
    </row>
    <row r="38" customFormat="false" ht="12.75" hidden="false" customHeight="false" outlineLevel="0" collapsed="false">
      <c r="A38" s="1" t="s">
        <v>32</v>
      </c>
      <c r="C38" s="1" t="n">
        <v>431</v>
      </c>
    </row>
    <row r="39" customFormat="false" ht="12.75" hidden="false" customHeight="false" outlineLevel="0" collapsed="false">
      <c r="A39" s="1" t="s">
        <v>33</v>
      </c>
      <c r="C39" s="1" t="n">
        <v>109377</v>
      </c>
    </row>
    <row r="40" customFormat="false" ht="12.75" hidden="false" customHeight="false" outlineLevel="0" collapsed="false">
      <c r="A40" s="1" t="s">
        <v>34</v>
      </c>
      <c r="C40" s="1" t="n">
        <v>126000</v>
      </c>
    </row>
    <row r="41" customFormat="false" ht="12.75" hidden="false" customHeight="false" outlineLevel="0" collapsed="false">
      <c r="A41" s="1" t="s">
        <v>35</v>
      </c>
      <c r="C41" s="1" t="n">
        <v>35000</v>
      </c>
    </row>
    <row r="42" customFormat="false" ht="12.75" hidden="false" customHeight="false" outlineLevel="0" collapsed="false">
      <c r="A42" s="1" t="s">
        <v>36</v>
      </c>
      <c r="C42" s="1" t="n">
        <v>141158</v>
      </c>
    </row>
    <row r="43" customFormat="false" ht="12.75" hidden="false" customHeight="false" outlineLevel="0" collapsed="false">
      <c r="A43" s="1" t="s">
        <v>37</v>
      </c>
      <c r="C43" s="1" t="n">
        <v>29265</v>
      </c>
    </row>
    <row r="44" customFormat="false" ht="12.75" hidden="false" customHeight="false" outlineLevel="0" collapsed="false">
      <c r="A44" s="1" t="s">
        <v>6</v>
      </c>
      <c r="C44" s="1" t="n">
        <v>248</v>
      </c>
    </row>
    <row r="45" customFormat="false" ht="12.75" hidden="false" customHeight="false" outlineLevel="0" collapsed="false">
      <c r="A45" s="1" t="s">
        <v>38</v>
      </c>
      <c r="C45" s="1" t="n">
        <v>12173</v>
      </c>
    </row>
    <row r="46" customFormat="false" ht="12.75" hidden="false" customHeight="false" outlineLevel="0" collapsed="false">
      <c r="A46" s="1" t="s">
        <v>38</v>
      </c>
      <c r="C46" s="1" t="n">
        <v>349</v>
      </c>
    </row>
    <row r="47" customFormat="false" ht="12.75" hidden="false" customHeight="false" outlineLevel="0" collapsed="false">
      <c r="A47" s="1" t="s">
        <v>39</v>
      </c>
      <c r="C47" s="1" t="n">
        <v>48147</v>
      </c>
    </row>
    <row r="48" customFormat="false" ht="12.75" hidden="false" customHeight="false" outlineLevel="0" collapsed="false">
      <c r="A48" s="1" t="s">
        <v>40</v>
      </c>
      <c r="C48" s="1" t="n">
        <v>8038</v>
      </c>
    </row>
    <row r="49" customFormat="false" ht="12.75" hidden="false" customHeight="false" outlineLevel="0" collapsed="false">
      <c r="A49" s="1" t="s">
        <v>41</v>
      </c>
      <c r="C49" s="1" t="n">
        <v>19265</v>
      </c>
    </row>
    <row r="50" customFormat="false" ht="12.75" hidden="false" customHeight="false" outlineLevel="0" collapsed="false">
      <c r="A50" s="1" t="s">
        <v>42</v>
      </c>
      <c r="C50" s="1" t="n">
        <v>8855</v>
      </c>
    </row>
    <row r="51" customFormat="false" ht="12.75" hidden="false" customHeight="false" outlineLevel="0" collapsed="false">
      <c r="A51" s="1" t="s">
        <v>43</v>
      </c>
      <c r="C51" s="1" t="n">
        <v>55000</v>
      </c>
    </row>
    <row r="52" customFormat="false" ht="12.75" hidden="false" customHeight="false" outlineLevel="0" collapsed="false">
      <c r="A52" s="1" t="s">
        <v>44</v>
      </c>
      <c r="C52" s="1" t="n">
        <v>7013</v>
      </c>
    </row>
    <row r="53" customFormat="false" ht="12.75" hidden="false" customHeight="false" outlineLevel="0" collapsed="false">
      <c r="A53" s="1" t="s">
        <v>45</v>
      </c>
      <c r="C53" s="1" t="n">
        <v>21077</v>
      </c>
    </row>
    <row r="54" customFormat="false" ht="12.75" hidden="false" customHeight="false" outlineLevel="0" collapsed="false">
      <c r="A54" s="1" t="s">
        <v>46</v>
      </c>
      <c r="C54" s="1" t="n">
        <v>50996</v>
      </c>
    </row>
    <row r="55" customFormat="false" ht="12.75" hidden="false" customHeight="false" outlineLevel="0" collapsed="false">
      <c r="A55" s="1" t="s">
        <v>47</v>
      </c>
      <c r="C55" s="1" t="n">
        <v>22535</v>
      </c>
    </row>
    <row r="56" customFormat="false" ht="12.75" hidden="false" customHeight="false" outlineLevel="0" collapsed="false">
      <c r="A56" s="1" t="s">
        <v>48</v>
      </c>
    </row>
    <row r="57" customFormat="false" ht="12.75" hidden="false" customHeight="false" outlineLevel="0" collapsed="false">
      <c r="A57" s="1" t="s">
        <v>49</v>
      </c>
    </row>
    <row r="58" customFormat="false" ht="12.75" hidden="false" customHeight="false" outlineLevel="0" collapsed="false">
      <c r="A58" s="1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4.85"/>
    <col collapsed="false" customWidth="true" hidden="false" outlineLevel="0" max="6" min="6" style="1" width="11.85"/>
  </cols>
  <sheetData>
    <row r="1" customFormat="false" ht="12.75" hidden="false" customHeight="false" outlineLevel="0" collapsed="false">
      <c r="A1" s="485" t="s">
        <v>155</v>
      </c>
      <c r="C1" s="485"/>
    </row>
    <row r="3" customFormat="false" ht="12.75" hidden="false" customHeight="false" outlineLevel="0" collapsed="false">
      <c r="B3" s="1" t="s">
        <v>77</v>
      </c>
      <c r="G3" s="486"/>
    </row>
    <row r="5" customFormat="false" ht="12.75" hidden="false" customHeight="false" outlineLevel="0" collapsed="false">
      <c r="B5" s="1" t="s">
        <v>718</v>
      </c>
    </row>
    <row r="7" customFormat="false" ht="12.75" hidden="false" customHeight="false" outlineLevel="0" collapsed="false">
      <c r="C7" s="1" t="s">
        <v>60</v>
      </c>
    </row>
    <row r="8" customFormat="false" ht="12.75" hidden="false" customHeight="false" outlineLevel="0" collapsed="false">
      <c r="D8" s="1" t="s">
        <v>719</v>
      </c>
      <c r="E8" s="1" t="s">
        <v>720</v>
      </c>
      <c r="F8" s="8" t="n">
        <v>3.88</v>
      </c>
    </row>
    <row r="9" customFormat="false" ht="12.75" hidden="false" customHeight="false" outlineLevel="0" collapsed="false">
      <c r="D9" s="1" t="s">
        <v>60</v>
      </c>
      <c r="F9" s="487" t="n">
        <v>0.0333</v>
      </c>
    </row>
    <row r="10" customFormat="false" ht="12.75" hidden="false" customHeight="false" outlineLevel="0" collapsed="false">
      <c r="D10" s="1" t="s">
        <v>721</v>
      </c>
      <c r="F10" s="488" t="n">
        <v>0.0474045</v>
      </c>
      <c r="G10" s="1" t="s">
        <v>722</v>
      </c>
    </row>
    <row r="11" customFormat="false" ht="12.75" hidden="false" customHeight="false" outlineLevel="0" collapsed="false">
      <c r="D11" s="1" t="s">
        <v>723</v>
      </c>
      <c r="F11" s="413" t="n">
        <f aca="false">+F8/(1-F10)-F8</f>
        <v>0.193082436354151</v>
      </c>
    </row>
    <row r="12" customFormat="false" ht="13.5" hidden="false" customHeight="false" outlineLevel="0" collapsed="false">
      <c r="D12" s="1" t="s">
        <v>724</v>
      </c>
      <c r="F12" s="414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1" t="s">
        <v>725</v>
      </c>
    </row>
    <row r="15" customFormat="false" ht="12.75" hidden="false" customHeight="false" outlineLevel="0" collapsed="false">
      <c r="D15" s="1" t="s">
        <v>719</v>
      </c>
      <c r="E15" s="1" t="s">
        <v>720</v>
      </c>
      <c r="F15" s="8" t="n">
        <v>3.88</v>
      </c>
    </row>
    <row r="16" customFormat="false" ht="12.75" hidden="false" customHeight="false" outlineLevel="0" collapsed="false">
      <c r="D16" s="1" t="s">
        <v>725</v>
      </c>
      <c r="F16" s="487" t="n">
        <v>0.0325</v>
      </c>
    </row>
    <row r="17" customFormat="false" ht="12.75" hidden="false" customHeight="false" outlineLevel="0" collapsed="false">
      <c r="D17" s="1" t="s">
        <v>726</v>
      </c>
      <c r="F17" s="488" t="n">
        <v>0</v>
      </c>
    </row>
    <row r="18" customFormat="false" ht="12.75" hidden="false" customHeight="false" outlineLevel="0" collapsed="false">
      <c r="D18" s="1" t="s">
        <v>723</v>
      </c>
      <c r="F18" s="413" t="n">
        <f aca="false">+F15/(1-F17)-F15</f>
        <v>0</v>
      </c>
    </row>
    <row r="19" customFormat="false" ht="13.5" hidden="false" customHeight="false" outlineLevel="0" collapsed="false">
      <c r="D19" s="1" t="s">
        <v>724</v>
      </c>
      <c r="F19" s="414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1" t="s">
        <v>727</v>
      </c>
    </row>
    <row r="24" customFormat="false" ht="12.75" hidden="false" customHeight="false" outlineLevel="0" collapsed="false">
      <c r="C24" s="1" t="s">
        <v>60</v>
      </c>
    </row>
    <row r="25" customFormat="false" ht="12.75" hidden="false" customHeight="false" outlineLevel="0" collapsed="false">
      <c r="D25" s="1" t="s">
        <v>719</v>
      </c>
      <c r="E25" s="1" t="s">
        <v>720</v>
      </c>
      <c r="F25" s="8" t="n">
        <v>2.2</v>
      </c>
    </row>
    <row r="26" customFormat="false" ht="12.75" hidden="false" customHeight="false" outlineLevel="0" collapsed="false">
      <c r="D26" s="1" t="s">
        <v>60</v>
      </c>
      <c r="F26" s="487" t="n">
        <v>0.0054</v>
      </c>
    </row>
    <row r="27" customFormat="false" ht="12.75" hidden="false" customHeight="false" outlineLevel="0" collapsed="false">
      <c r="D27" s="1" t="s">
        <v>721</v>
      </c>
      <c r="F27" s="488" t="n">
        <v>0.0198</v>
      </c>
    </row>
    <row r="28" customFormat="false" ht="12.75" hidden="false" customHeight="false" outlineLevel="0" collapsed="false">
      <c r="D28" s="1" t="s">
        <v>723</v>
      </c>
      <c r="F28" s="413" t="n">
        <f aca="false">+F25/(1-F27)-F25</f>
        <v>0.0444399102224038</v>
      </c>
    </row>
    <row r="29" customFormat="false" ht="13.5" hidden="false" customHeight="false" outlineLevel="0" collapsed="false">
      <c r="D29" s="1" t="s">
        <v>724</v>
      </c>
      <c r="F29" s="414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1" t="s">
        <v>725</v>
      </c>
    </row>
    <row r="32" customFormat="false" ht="12.75" hidden="false" customHeight="false" outlineLevel="0" collapsed="false">
      <c r="D32" s="1" t="s">
        <v>719</v>
      </c>
      <c r="E32" s="1" t="s">
        <v>720</v>
      </c>
      <c r="F32" s="8" t="n">
        <v>1.95</v>
      </c>
    </row>
    <row r="33" customFormat="false" ht="12.75" hidden="false" customHeight="false" outlineLevel="0" collapsed="false">
      <c r="D33" s="1" t="s">
        <v>725</v>
      </c>
      <c r="F33" s="487" t="n">
        <v>0.0054</v>
      </c>
    </row>
    <row r="34" customFormat="false" ht="12.75" hidden="false" customHeight="false" outlineLevel="0" collapsed="false">
      <c r="D34" s="1" t="s">
        <v>726</v>
      </c>
      <c r="F34" s="488" t="n">
        <v>0</v>
      </c>
    </row>
    <row r="35" customFormat="false" ht="12.75" hidden="false" customHeight="false" outlineLevel="0" collapsed="false">
      <c r="D35" s="1" t="s">
        <v>723</v>
      </c>
      <c r="F35" s="413" t="n">
        <f aca="false">+F32/(1-F34)-F32</f>
        <v>0</v>
      </c>
    </row>
    <row r="36" customFormat="false" ht="13.5" hidden="false" customHeight="false" outlineLevel="0" collapsed="false">
      <c r="D36" s="1" t="s">
        <v>724</v>
      </c>
      <c r="F36" s="414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1" t="s">
        <v>728</v>
      </c>
    </row>
    <row r="41" customFormat="false" ht="12.75" hidden="false" customHeight="false" outlineLevel="0" collapsed="false">
      <c r="C41" s="1" t="s">
        <v>60</v>
      </c>
    </row>
    <row r="42" customFormat="false" ht="12.75" hidden="false" customHeight="false" outlineLevel="0" collapsed="false">
      <c r="D42" s="1" t="s">
        <v>719</v>
      </c>
      <c r="E42" s="1" t="s">
        <v>720</v>
      </c>
      <c r="F42" s="8" t="n">
        <v>2.2</v>
      </c>
    </row>
    <row r="43" customFormat="false" ht="12.75" hidden="false" customHeight="false" outlineLevel="0" collapsed="false">
      <c r="D43" s="1" t="s">
        <v>60</v>
      </c>
      <c r="F43" s="487" t="n">
        <v>0.0219</v>
      </c>
    </row>
    <row r="44" customFormat="false" ht="12.75" hidden="false" customHeight="false" outlineLevel="0" collapsed="false">
      <c r="D44" s="1" t="s">
        <v>721</v>
      </c>
      <c r="F44" s="488" t="n">
        <v>0.02375</v>
      </c>
      <c r="G44" s="1" t="s">
        <v>729</v>
      </c>
    </row>
    <row r="45" customFormat="false" ht="12.75" hidden="false" customHeight="false" outlineLevel="0" collapsed="false">
      <c r="D45" s="1" t="s">
        <v>723</v>
      </c>
      <c r="F45" s="413" t="n">
        <f aca="false">+F42/(1-F44)-F42</f>
        <v>0.0535211267605633</v>
      </c>
    </row>
    <row r="46" customFormat="false" ht="13.5" hidden="false" customHeight="false" outlineLevel="0" collapsed="false">
      <c r="D46" s="1" t="s">
        <v>724</v>
      </c>
      <c r="F46" s="414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1" t="s">
        <v>725</v>
      </c>
    </row>
    <row r="49" customFormat="false" ht="12.75" hidden="false" customHeight="false" outlineLevel="0" collapsed="false">
      <c r="D49" s="1" t="s">
        <v>719</v>
      </c>
      <c r="E49" s="1" t="s">
        <v>720</v>
      </c>
      <c r="F49" s="8" t="n">
        <v>1.95</v>
      </c>
    </row>
    <row r="50" customFormat="false" ht="12.75" hidden="false" customHeight="false" outlineLevel="0" collapsed="false">
      <c r="D50" s="1" t="s">
        <v>725</v>
      </c>
      <c r="F50" s="487" t="n">
        <v>0.0209</v>
      </c>
    </row>
    <row r="51" customFormat="false" ht="12.75" hidden="false" customHeight="false" outlineLevel="0" collapsed="false">
      <c r="D51" s="1" t="s">
        <v>726</v>
      </c>
      <c r="F51" s="488" t="n">
        <v>0.0047</v>
      </c>
    </row>
    <row r="52" customFormat="false" ht="12.75" hidden="false" customHeight="false" outlineLevel="0" collapsed="false">
      <c r="D52" s="1" t="s">
        <v>723</v>
      </c>
      <c r="F52" s="413" t="n">
        <f aca="false">+F49/(1-F51)-F49</f>
        <v>0.00920827891088116</v>
      </c>
    </row>
    <row r="53" customFormat="false" ht="13.5" hidden="false" customHeight="false" outlineLevel="0" collapsed="false">
      <c r="D53" s="1" t="s">
        <v>724</v>
      </c>
      <c r="F53" s="414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1" t="s">
        <v>730</v>
      </c>
    </row>
    <row r="57" customFormat="false" ht="12.75" hidden="false" customHeight="false" outlineLevel="0" collapsed="false">
      <c r="C57" s="1" t="s">
        <v>60</v>
      </c>
    </row>
    <row r="58" customFormat="false" ht="12.75" hidden="false" customHeight="false" outlineLevel="0" collapsed="false">
      <c r="D58" s="1" t="s">
        <v>719</v>
      </c>
      <c r="E58" s="1" t="s">
        <v>720</v>
      </c>
      <c r="F58" s="8" t="n">
        <v>2.2</v>
      </c>
    </row>
    <row r="59" customFormat="false" ht="12.75" hidden="false" customHeight="false" outlineLevel="0" collapsed="false">
      <c r="D59" s="1" t="s">
        <v>60</v>
      </c>
      <c r="F59" s="487" t="n">
        <v>0.0334</v>
      </c>
      <c r="G59" s="1" t="s">
        <v>731</v>
      </c>
    </row>
    <row r="60" customFormat="false" ht="12.75" hidden="false" customHeight="false" outlineLevel="0" collapsed="false">
      <c r="D60" s="1" t="s">
        <v>732</v>
      </c>
      <c r="F60" s="487" t="n">
        <v>0.0727</v>
      </c>
      <c r="G60" s="1" t="s">
        <v>733</v>
      </c>
    </row>
    <row r="61" customFormat="false" ht="12.75" hidden="false" customHeight="false" outlineLevel="0" collapsed="false">
      <c r="D61" s="1" t="s">
        <v>721</v>
      </c>
      <c r="F61" s="488" t="n">
        <v>0</v>
      </c>
    </row>
    <row r="62" customFormat="false" ht="12.75" hidden="false" customHeight="false" outlineLevel="0" collapsed="false">
      <c r="D62" s="1" t="s">
        <v>723</v>
      </c>
      <c r="F62" s="413" t="n">
        <f aca="false">+F58/(1-F61)-F58</f>
        <v>0</v>
      </c>
    </row>
    <row r="63" customFormat="false" ht="13.5" hidden="false" customHeight="false" outlineLevel="0" collapsed="false">
      <c r="D63" s="1" t="s">
        <v>724</v>
      </c>
      <c r="F63" s="414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1" t="s">
        <v>725</v>
      </c>
    </row>
    <row r="66" customFormat="false" ht="12.75" hidden="false" customHeight="false" outlineLevel="0" collapsed="false">
      <c r="D66" s="1" t="s">
        <v>719</v>
      </c>
      <c r="E66" s="1" t="s">
        <v>720</v>
      </c>
      <c r="F66" s="8" t="n">
        <v>1.95</v>
      </c>
    </row>
    <row r="67" customFormat="false" ht="12.75" hidden="false" customHeight="false" outlineLevel="0" collapsed="false">
      <c r="D67" s="1" t="s">
        <v>732</v>
      </c>
      <c r="F67" s="487" t="n">
        <v>0.0727</v>
      </c>
      <c r="G67" s="1" t="s">
        <v>734</v>
      </c>
    </row>
    <row r="68" customFormat="false" ht="12.75" hidden="false" customHeight="false" outlineLevel="0" collapsed="false">
      <c r="D68" s="1" t="s">
        <v>725</v>
      </c>
      <c r="F68" s="487" t="n">
        <v>0.0264</v>
      </c>
      <c r="G68" s="1" t="s">
        <v>735</v>
      </c>
    </row>
    <row r="69" customFormat="false" ht="12.75" hidden="false" customHeight="false" outlineLevel="0" collapsed="false">
      <c r="D69" s="1" t="s">
        <v>726</v>
      </c>
      <c r="F69" s="488" t="n">
        <v>0</v>
      </c>
    </row>
    <row r="70" customFormat="false" ht="12.75" hidden="false" customHeight="false" outlineLevel="0" collapsed="false">
      <c r="D70" s="1" t="s">
        <v>723</v>
      </c>
      <c r="F70" s="413" t="n">
        <f aca="false">+F66/(1-F69)-F66</f>
        <v>0</v>
      </c>
    </row>
    <row r="71" customFormat="false" ht="13.5" hidden="false" customHeight="false" outlineLevel="0" collapsed="false">
      <c r="D71" s="1" t="s">
        <v>724</v>
      </c>
      <c r="F71" s="414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85" t="s">
        <v>736</v>
      </c>
    </row>
    <row r="76" customFormat="false" ht="12.75" hidden="false" customHeight="false" outlineLevel="0" collapsed="false">
      <c r="D76" s="1" t="s">
        <v>719</v>
      </c>
      <c r="E76" s="1" t="s">
        <v>720</v>
      </c>
      <c r="F76" s="8" t="n">
        <v>2.8</v>
      </c>
    </row>
    <row r="77" customFormat="false" ht="12.75" hidden="false" customHeight="false" outlineLevel="0" collapsed="false">
      <c r="D77" s="1" t="s">
        <v>519</v>
      </c>
      <c r="F77" s="487" t="n">
        <v>0.0057</v>
      </c>
    </row>
    <row r="78" customFormat="false" ht="12.75" hidden="false" customHeight="false" outlineLevel="0" collapsed="false">
      <c r="D78" s="1" t="s">
        <v>737</v>
      </c>
      <c r="F78" s="487" t="n">
        <f aca="false">0.0022+0.0075</f>
        <v>0.0097</v>
      </c>
      <c r="G78" s="1" t="s">
        <v>738</v>
      </c>
    </row>
    <row r="79" customFormat="false" ht="12.75" hidden="false" customHeight="false" outlineLevel="0" collapsed="false">
      <c r="D79" s="1" t="s">
        <v>371</v>
      </c>
      <c r="F79" s="488" t="n">
        <v>0.0072</v>
      </c>
    </row>
    <row r="80" customFormat="false" ht="12.75" hidden="false" customHeight="false" outlineLevel="0" collapsed="false">
      <c r="D80" s="1" t="s">
        <v>723</v>
      </c>
      <c r="F80" s="413" t="n">
        <f aca="false">+F76/(1-F79)-F76</f>
        <v>0.0203062046736502</v>
      </c>
    </row>
    <row r="81" customFormat="false" ht="13.5" hidden="false" customHeight="false" outlineLevel="0" collapsed="false">
      <c r="D81" s="1" t="s">
        <v>724</v>
      </c>
      <c r="F81" s="414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85" t="s">
        <v>121</v>
      </c>
    </row>
    <row r="98" customFormat="false" ht="12.75" hidden="false" customHeight="false" outlineLevel="0" collapsed="false">
      <c r="B98" s="1" t="s">
        <v>77</v>
      </c>
    </row>
    <row r="100" customFormat="false" ht="12.75" hidden="false" customHeight="false" outlineLevel="0" collapsed="false">
      <c r="B100" s="1" t="s">
        <v>739</v>
      </c>
    </row>
    <row r="101" customFormat="false" ht="12.75" hidden="false" customHeight="false" outlineLevel="0" collapsed="false">
      <c r="C101" s="1" t="s">
        <v>60</v>
      </c>
    </row>
    <row r="102" customFormat="false" ht="12.75" hidden="false" customHeight="false" outlineLevel="0" collapsed="false">
      <c r="D102" s="1" t="s">
        <v>719</v>
      </c>
      <c r="E102" s="1" t="s">
        <v>740</v>
      </c>
      <c r="F102" s="8" t="n">
        <f aca="false">0.18+2.27</f>
        <v>2.45</v>
      </c>
    </row>
    <row r="103" customFormat="false" ht="12.75" hidden="false" customHeight="false" outlineLevel="0" collapsed="false">
      <c r="D103" s="1" t="s">
        <v>60</v>
      </c>
      <c r="F103" s="487" t="n">
        <v>0.0162</v>
      </c>
    </row>
    <row r="104" customFormat="false" ht="12.75" hidden="false" customHeight="false" outlineLevel="0" collapsed="false">
      <c r="D104" s="1" t="s">
        <v>721</v>
      </c>
      <c r="F104" s="488" t="n">
        <v>0.0278</v>
      </c>
    </row>
    <row r="105" customFormat="false" ht="12.75" hidden="false" customHeight="false" outlineLevel="0" collapsed="false">
      <c r="D105" s="1" t="s">
        <v>723</v>
      </c>
      <c r="F105" s="413" t="n">
        <f aca="false">+F102/(1-F104)-F102</f>
        <v>0.0700576013166017</v>
      </c>
    </row>
    <row r="106" customFormat="false" ht="13.5" hidden="false" customHeight="false" outlineLevel="0" collapsed="false">
      <c r="D106" s="1" t="s">
        <v>724</v>
      </c>
      <c r="F106" s="414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1" t="s">
        <v>725</v>
      </c>
    </row>
    <row r="109" customFormat="false" ht="12.75" hidden="false" customHeight="false" outlineLevel="0" collapsed="false">
      <c r="D109" s="1" t="s">
        <v>719</v>
      </c>
      <c r="E109" s="1" t="s">
        <v>740</v>
      </c>
      <c r="F109" s="8" t="n">
        <v>1.95</v>
      </c>
    </row>
    <row r="110" customFormat="false" ht="12.75" hidden="false" customHeight="false" outlineLevel="0" collapsed="false">
      <c r="D110" s="1" t="s">
        <v>725</v>
      </c>
      <c r="F110" s="487" t="n">
        <v>0.0147</v>
      </c>
    </row>
    <row r="111" customFormat="false" ht="12.75" hidden="false" customHeight="false" outlineLevel="0" collapsed="false">
      <c r="D111" s="1" t="s">
        <v>741</v>
      </c>
      <c r="F111" s="487" t="n">
        <v>-0.0006</v>
      </c>
    </row>
    <row r="112" customFormat="false" ht="12.75" hidden="false" customHeight="false" outlineLevel="0" collapsed="false">
      <c r="D112" s="1" t="s">
        <v>726</v>
      </c>
      <c r="F112" s="488" t="n">
        <v>0</v>
      </c>
    </row>
    <row r="113" customFormat="false" ht="12.75" hidden="false" customHeight="false" outlineLevel="0" collapsed="false">
      <c r="D113" s="1" t="s">
        <v>723</v>
      </c>
      <c r="F113" s="413" t="n">
        <f aca="false">+F109/(1-F112)-F109</f>
        <v>0</v>
      </c>
    </row>
    <row r="114" customFormat="false" ht="13.5" hidden="false" customHeight="false" outlineLevel="0" collapsed="false">
      <c r="D114" s="1" t="s">
        <v>724</v>
      </c>
      <c r="F114" s="414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1" t="s">
        <v>742</v>
      </c>
    </row>
    <row r="117" customFormat="false" ht="12.75" hidden="false" customHeight="false" outlineLevel="0" collapsed="false">
      <c r="C117" s="1" t="s">
        <v>743</v>
      </c>
    </row>
    <row r="121" customFormat="false" ht="12.75" hidden="false" customHeight="false" outlineLevel="0" collapsed="false">
      <c r="B121" s="485" t="s">
        <v>204</v>
      </c>
    </row>
    <row r="123" customFormat="false" ht="12.75" hidden="false" customHeight="false" outlineLevel="0" collapsed="false">
      <c r="B123" s="1" t="s">
        <v>77</v>
      </c>
    </row>
    <row r="125" customFormat="false" ht="12.75" hidden="false" customHeight="false" outlineLevel="0" collapsed="false">
      <c r="B125" s="1" t="s">
        <v>744</v>
      </c>
    </row>
    <row r="126" customFormat="false" ht="12.75" hidden="false" customHeight="false" outlineLevel="0" collapsed="false">
      <c r="C126" s="1" t="s">
        <v>60</v>
      </c>
    </row>
    <row r="127" customFormat="false" ht="12.75" hidden="false" customHeight="false" outlineLevel="0" collapsed="false">
      <c r="D127" s="1" t="s">
        <v>719</v>
      </c>
      <c r="E127" s="1" t="s">
        <v>740</v>
      </c>
      <c r="F127" s="8" t="n">
        <v>2.48</v>
      </c>
    </row>
    <row r="128" customFormat="false" ht="12.75" hidden="false" customHeight="false" outlineLevel="0" collapsed="false">
      <c r="D128" s="1" t="s">
        <v>60</v>
      </c>
      <c r="F128" s="487" t="n">
        <v>0.0089</v>
      </c>
    </row>
    <row r="129" customFormat="false" ht="12.75" hidden="false" customHeight="false" outlineLevel="0" collapsed="false">
      <c r="D129" s="1" t="s">
        <v>721</v>
      </c>
      <c r="F129" s="488" t="n">
        <v>0.0065</v>
      </c>
    </row>
    <row r="130" customFormat="false" ht="12.75" hidden="false" customHeight="false" outlineLevel="0" collapsed="false">
      <c r="D130" s="1" t="s">
        <v>723</v>
      </c>
      <c r="F130" s="413" t="n">
        <f aca="false">+F127/(1-F129)-F127</f>
        <v>0.0162254655259182</v>
      </c>
    </row>
    <row r="131" customFormat="false" ht="13.5" hidden="false" customHeight="false" outlineLevel="0" collapsed="false">
      <c r="D131" s="1" t="s">
        <v>724</v>
      </c>
      <c r="F131" s="414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1" t="s">
        <v>745</v>
      </c>
    </row>
    <row r="134" customFormat="false" ht="12.75" hidden="false" customHeight="false" outlineLevel="0" collapsed="false">
      <c r="C134" s="1" t="s">
        <v>60</v>
      </c>
    </row>
    <row r="135" customFormat="false" ht="12.75" hidden="false" customHeight="false" outlineLevel="0" collapsed="false">
      <c r="D135" s="1" t="s">
        <v>719</v>
      </c>
      <c r="E135" s="1" t="s">
        <v>740</v>
      </c>
      <c r="F135" s="8" t="n">
        <v>2.48</v>
      </c>
    </row>
    <row r="136" customFormat="false" ht="12.75" hidden="false" customHeight="false" outlineLevel="0" collapsed="false">
      <c r="D136" s="1" t="s">
        <v>422</v>
      </c>
      <c r="F136" s="487" t="n">
        <v>0.0079</v>
      </c>
    </row>
    <row r="137" customFormat="false" ht="12.75" hidden="false" customHeight="false" outlineLevel="0" collapsed="false">
      <c r="D137" s="1" t="s">
        <v>521</v>
      </c>
      <c r="F137" s="487" t="n">
        <v>0.0022</v>
      </c>
    </row>
    <row r="138" customFormat="false" ht="12.75" hidden="false" customHeight="false" outlineLevel="0" collapsed="false">
      <c r="D138" s="1" t="s">
        <v>721</v>
      </c>
      <c r="F138" s="488" t="n">
        <v>0.0325</v>
      </c>
    </row>
    <row r="139" customFormat="false" ht="12.75" hidden="false" customHeight="false" outlineLevel="0" collapsed="false">
      <c r="D139" s="1" t="s">
        <v>723</v>
      </c>
      <c r="F139" s="489" t="n">
        <f aca="false">+F135/(1-F138)-F135</f>
        <v>0.0833074935400515</v>
      </c>
    </row>
    <row r="140" customFormat="false" ht="13.5" hidden="false" customHeight="false" outlineLevel="0" collapsed="false">
      <c r="D140" s="1" t="s">
        <v>724</v>
      </c>
      <c r="F140" s="414" t="n">
        <f aca="false">SUM(F136:F137,F139)</f>
        <v>0.0934074935400515</v>
      </c>
    </row>
    <row r="141" customFormat="false" ht="13.5" hidden="false" customHeight="false" outlineLevel="0" collapsed="false">
      <c r="F141" s="8"/>
    </row>
    <row r="142" customFormat="false" ht="12.75" hidden="false" customHeight="false" outlineLevel="0" collapsed="false">
      <c r="F142" s="8"/>
    </row>
    <row r="143" customFormat="false" ht="12.75" hidden="false" customHeight="false" outlineLevel="0" collapsed="false">
      <c r="B143" s="1" t="s">
        <v>744</v>
      </c>
    </row>
    <row r="144" customFormat="false" ht="12.75" hidden="false" customHeight="false" outlineLevel="0" collapsed="false">
      <c r="C144" s="1" t="s">
        <v>725</v>
      </c>
    </row>
    <row r="145" customFormat="false" ht="12.75" hidden="false" customHeight="false" outlineLevel="0" collapsed="false">
      <c r="D145" s="1" t="s">
        <v>719</v>
      </c>
      <c r="E145" s="1" t="s">
        <v>740</v>
      </c>
      <c r="F145" s="8" t="n">
        <v>1.95</v>
      </c>
    </row>
    <row r="146" customFormat="false" ht="12.75" hidden="false" customHeight="false" outlineLevel="0" collapsed="false">
      <c r="D146" s="1" t="s">
        <v>725</v>
      </c>
      <c r="F146" s="487" t="n">
        <v>0.0089</v>
      </c>
    </row>
    <row r="147" customFormat="false" ht="12.75" hidden="false" customHeight="false" outlineLevel="0" collapsed="false">
      <c r="D147" s="1" t="s">
        <v>726</v>
      </c>
      <c r="F147" s="488" t="n">
        <v>0</v>
      </c>
    </row>
    <row r="148" customFormat="false" ht="12.75" hidden="false" customHeight="false" outlineLevel="0" collapsed="false">
      <c r="D148" s="1" t="s">
        <v>723</v>
      </c>
      <c r="F148" s="413" t="n">
        <f aca="false">+F145/(1-F147)-F145</f>
        <v>0</v>
      </c>
    </row>
    <row r="149" customFormat="false" ht="13.5" hidden="false" customHeight="false" outlineLevel="0" collapsed="false">
      <c r="D149" s="1" t="s">
        <v>724</v>
      </c>
      <c r="F149" s="414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1" t="s">
        <v>745</v>
      </c>
    </row>
    <row r="152" customFormat="false" ht="12.75" hidden="false" customHeight="false" outlineLevel="0" collapsed="false">
      <c r="C152" s="1" t="s">
        <v>725</v>
      </c>
    </row>
    <row r="153" customFormat="false" ht="12.75" hidden="false" customHeight="false" outlineLevel="0" collapsed="false">
      <c r="D153" s="1" t="s">
        <v>719</v>
      </c>
      <c r="E153" s="1" t="s">
        <v>740</v>
      </c>
      <c r="F153" s="8" t="n">
        <v>2.48</v>
      </c>
    </row>
    <row r="154" customFormat="false" ht="12.75" hidden="false" customHeight="false" outlineLevel="0" collapsed="false">
      <c r="D154" s="1" t="s">
        <v>422</v>
      </c>
      <c r="F154" s="487" t="n">
        <v>0.0079</v>
      </c>
    </row>
    <row r="155" customFormat="false" ht="12.75" hidden="false" customHeight="false" outlineLevel="0" collapsed="false">
      <c r="D155" s="1" t="s">
        <v>521</v>
      </c>
      <c r="F155" s="487" t="n">
        <v>0.0022</v>
      </c>
    </row>
    <row r="156" customFormat="false" ht="12.75" hidden="false" customHeight="false" outlineLevel="0" collapsed="false">
      <c r="D156" s="1" t="s">
        <v>726</v>
      </c>
      <c r="F156" s="488" t="n">
        <v>0</v>
      </c>
    </row>
    <row r="157" customFormat="false" ht="12.75" hidden="false" customHeight="false" outlineLevel="0" collapsed="false">
      <c r="D157" s="1" t="s">
        <v>723</v>
      </c>
      <c r="F157" s="489" t="n">
        <f aca="false">+F153/(1-F156)-F153</f>
        <v>0</v>
      </c>
    </row>
    <row r="158" customFormat="false" ht="13.5" hidden="false" customHeight="false" outlineLevel="0" collapsed="false">
      <c r="D158" s="1" t="s">
        <v>724</v>
      </c>
      <c r="F158" s="414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90"/>
      <c r="D161" s="490"/>
      <c r="E161" s="490"/>
      <c r="F161" s="490"/>
      <c r="G161" s="490"/>
    </row>
    <row r="162" customFormat="false" ht="12.75" hidden="false" customHeight="false" outlineLevel="0" collapsed="false">
      <c r="C162" s="490"/>
      <c r="D162" s="490"/>
      <c r="E162" s="490"/>
      <c r="F162" s="8"/>
      <c r="G162" s="490"/>
    </row>
    <row r="163" customFormat="false" ht="12.75" hidden="false" customHeight="false" outlineLevel="0" collapsed="false">
      <c r="C163" s="490"/>
      <c r="D163" s="490"/>
      <c r="E163" s="490"/>
      <c r="F163" s="487"/>
      <c r="G163" s="490"/>
    </row>
    <row r="164" customFormat="false" ht="12.75" hidden="false" customHeight="false" outlineLevel="0" collapsed="false">
      <c r="C164" s="490"/>
      <c r="D164" s="490"/>
      <c r="E164" s="490"/>
      <c r="F164" s="488"/>
      <c r="G164" s="490"/>
    </row>
    <row r="165" customFormat="false" ht="12.75" hidden="false" customHeight="false" outlineLevel="0" collapsed="false">
      <c r="C165" s="490"/>
      <c r="D165" s="490"/>
      <c r="E165" s="490"/>
      <c r="F165" s="8"/>
      <c r="G165" s="490"/>
    </row>
    <row r="166" customFormat="false" ht="12.75" hidden="false" customHeight="false" outlineLevel="0" collapsed="false">
      <c r="C166" s="490"/>
      <c r="D166" s="490"/>
      <c r="E166" s="490"/>
      <c r="F166" s="8"/>
      <c r="G166" s="490"/>
    </row>
    <row r="167" customFormat="false" ht="12.75" hidden="false" customHeight="false" outlineLevel="0" collapsed="false">
      <c r="C167" s="490"/>
      <c r="D167" s="490"/>
      <c r="E167" s="490"/>
      <c r="F167" s="490"/>
      <c r="G167" s="4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1.42"/>
    <col collapsed="false" customWidth="true" hidden="false" outlineLevel="0" max="14" min="12" style="491" width="9.14"/>
  </cols>
  <sheetData>
    <row r="1" customFormat="false" ht="12.75" hidden="false" customHeight="false" outlineLevel="0" collapsed="false">
      <c r="A1" s="492"/>
      <c r="B1" s="492"/>
      <c r="C1" s="492"/>
      <c r="D1" s="492"/>
      <c r="E1" s="492"/>
      <c r="F1" s="492"/>
      <c r="G1" s="492"/>
      <c r="H1" s="492"/>
      <c r="I1" s="492"/>
      <c r="J1" s="492"/>
    </row>
    <row r="2" customFormat="false" ht="12.75" hidden="false" customHeight="false" outlineLevel="0" collapsed="false">
      <c r="A2" s="492"/>
      <c r="B2" s="492"/>
      <c r="C2" s="492"/>
      <c r="D2" s="492"/>
      <c r="E2" s="492"/>
      <c r="F2" s="492"/>
      <c r="G2" s="492"/>
      <c r="H2" s="492"/>
      <c r="I2" s="492"/>
      <c r="J2" s="492"/>
    </row>
    <row r="3" customFormat="false" ht="12.75" hidden="false" customHeight="false" outlineLevel="0" collapsed="false">
      <c r="A3" s="492"/>
      <c r="B3" s="492"/>
      <c r="C3" s="492"/>
      <c r="D3" s="492"/>
      <c r="E3" s="492"/>
      <c r="F3" s="492"/>
      <c r="G3" s="492"/>
      <c r="H3" s="492"/>
      <c r="I3" s="492"/>
      <c r="J3" s="492"/>
    </row>
    <row r="4" customFormat="false" ht="12.75" hidden="false" customHeight="false" outlineLevel="0" collapsed="false">
      <c r="A4" s="492"/>
      <c r="B4" s="492"/>
      <c r="C4" s="492"/>
      <c r="D4" s="492"/>
      <c r="E4" s="492"/>
      <c r="F4" s="492"/>
      <c r="G4" s="492"/>
      <c r="H4" s="492"/>
      <c r="I4" s="492"/>
      <c r="J4" s="492"/>
    </row>
    <row r="5" customFormat="false" ht="12.75" hidden="false" customHeight="false" outlineLevel="0" collapsed="false">
      <c r="A5" s="492"/>
      <c r="B5" s="492"/>
      <c r="C5" s="492"/>
      <c r="D5" s="492"/>
      <c r="E5" s="492"/>
      <c r="F5" s="492"/>
      <c r="G5" s="492"/>
      <c r="H5" s="492"/>
      <c r="I5" s="492"/>
      <c r="J5" s="492"/>
    </row>
    <row r="6" customFormat="false" ht="12.75" hidden="false" customHeight="false" outlineLevel="0" collapsed="false">
      <c r="A6" s="492"/>
      <c r="B6" s="492"/>
      <c r="C6" s="492"/>
      <c r="D6" s="492"/>
      <c r="E6" s="492"/>
      <c r="F6" s="492"/>
      <c r="G6" s="492"/>
      <c r="H6" s="492"/>
      <c r="I6" s="492"/>
      <c r="J6" s="492"/>
    </row>
    <row r="7" customFormat="false" ht="12.75" hidden="false" customHeight="false" outlineLevel="0" collapsed="false">
      <c r="A7" s="492"/>
      <c r="B7" s="492"/>
      <c r="C7" s="492"/>
      <c r="D7" s="492"/>
      <c r="E7" s="492"/>
      <c r="F7" s="492"/>
      <c r="G7" s="492"/>
      <c r="H7" s="492"/>
      <c r="I7" s="492"/>
      <c r="J7" s="492"/>
    </row>
    <row r="8" customFormat="false" ht="12.75" hidden="false" customHeight="false" outlineLevel="0" collapsed="false">
      <c r="A8" s="492"/>
      <c r="B8" s="492"/>
      <c r="C8" s="492"/>
      <c r="D8" s="492"/>
      <c r="E8" s="492"/>
      <c r="F8" s="492"/>
      <c r="G8" s="492"/>
      <c r="H8" s="492"/>
      <c r="I8" s="492"/>
      <c r="J8" s="492"/>
    </row>
    <row r="9" customFormat="false" ht="12.75" hidden="false" customHeight="false" outlineLevel="0" collapsed="false">
      <c r="A9" s="492"/>
      <c r="B9" s="492" t="s">
        <v>98</v>
      </c>
      <c r="C9" s="492"/>
      <c r="D9" s="492"/>
      <c r="E9" s="492"/>
      <c r="F9" s="492"/>
      <c r="G9" s="492"/>
      <c r="H9" s="492"/>
      <c r="I9" s="492"/>
      <c r="J9" s="492"/>
    </row>
    <row r="10" customFormat="false" ht="12.75" hidden="false" customHeight="false" outlineLevel="0" collapsed="false">
      <c r="A10" s="492"/>
      <c r="B10" s="492"/>
      <c r="C10" s="492"/>
      <c r="D10" s="492"/>
      <c r="E10" s="492" t="s">
        <v>746</v>
      </c>
      <c r="F10" s="492" t="s">
        <v>747</v>
      </c>
      <c r="G10" s="492"/>
      <c r="H10" s="492" t="s">
        <v>747</v>
      </c>
      <c r="I10" s="492"/>
      <c r="J10" s="492"/>
    </row>
    <row r="11" customFormat="false" ht="12.75" hidden="false" customHeight="false" outlineLevel="0" collapsed="false">
      <c r="A11" s="492"/>
      <c r="B11" s="493" t="s">
        <v>748</v>
      </c>
      <c r="C11" s="493" t="s">
        <v>749</v>
      </c>
      <c r="D11" s="493" t="s">
        <v>750</v>
      </c>
      <c r="E11" s="493" t="s">
        <v>751</v>
      </c>
      <c r="F11" s="493" t="s">
        <v>752</v>
      </c>
      <c r="G11" s="493" t="s">
        <v>753</v>
      </c>
      <c r="H11" s="493" t="s">
        <v>753</v>
      </c>
      <c r="I11" s="493" t="s">
        <v>754</v>
      </c>
      <c r="J11" s="492"/>
    </row>
    <row r="12" customFormat="false" ht="12.75" hidden="false" customHeight="false" outlineLevel="0" collapsed="false">
      <c r="A12" s="492"/>
      <c r="B12" s="494" t="s">
        <v>755</v>
      </c>
      <c r="C12" s="495" t="n">
        <v>5000</v>
      </c>
      <c r="D12" s="496" t="n">
        <f aca="false">+C12/C17</f>
        <v>0.333333333333333</v>
      </c>
      <c r="E12" s="496" t="n">
        <f aca="false">+'Offseason Rate'!E42</f>
        <v>0.713456619972888</v>
      </c>
      <c r="F12" s="496" t="n">
        <f aca="false">+D12*E12</f>
        <v>0.237818873324296</v>
      </c>
      <c r="G12" s="496" t="n">
        <v>-0.0825</v>
      </c>
      <c r="H12" s="496" t="n">
        <f aca="false">+G12*D12</f>
        <v>-0.0275</v>
      </c>
      <c r="I12" s="496" t="n">
        <f aca="false">+F12+H12</f>
        <v>0.210318873324296</v>
      </c>
      <c r="J12" s="492"/>
    </row>
    <row r="13" customFormat="false" ht="12.75" hidden="false" customHeight="false" outlineLevel="0" collapsed="false">
      <c r="A13" s="492"/>
      <c r="B13" s="494" t="s">
        <v>756</v>
      </c>
      <c r="C13" s="495" t="n">
        <v>5000</v>
      </c>
      <c r="D13" s="496" t="n">
        <f aca="false">+C13/C17</f>
        <v>0.333333333333333</v>
      </c>
      <c r="E13" s="496" t="n">
        <f aca="false">+'Offseason Rate'!E67</f>
        <v>0.648508310094813</v>
      </c>
      <c r="F13" s="496" t="n">
        <f aca="false">+D13*E13</f>
        <v>0.216169436698271</v>
      </c>
      <c r="G13" s="496" t="n">
        <v>-0.0575</v>
      </c>
      <c r="H13" s="496" t="n">
        <f aca="false">+G13*D13</f>
        <v>-0.0191666666666667</v>
      </c>
      <c r="I13" s="496" t="n">
        <f aca="false">+F13+H13</f>
        <v>0.197002770031604</v>
      </c>
      <c r="J13" s="492"/>
    </row>
    <row r="14" customFormat="false" ht="12.75" hidden="false" customHeight="false" outlineLevel="0" collapsed="false">
      <c r="A14" s="492"/>
      <c r="B14" s="494" t="s">
        <v>757</v>
      </c>
      <c r="C14" s="495" t="n">
        <v>5000</v>
      </c>
      <c r="D14" s="496" t="n">
        <f aca="false">+C14/C17</f>
        <v>0.333333333333333</v>
      </c>
      <c r="E14" s="496" t="n">
        <f aca="false">+'Offseason Rate'!E92</f>
        <v>0.172090888476603</v>
      </c>
      <c r="F14" s="496" t="n">
        <f aca="false">+D14*E14</f>
        <v>0.0573636294922011</v>
      </c>
      <c r="G14" s="496" t="n">
        <v>-0.045</v>
      </c>
      <c r="H14" s="496" t="n">
        <f aca="false">+G14*D14</f>
        <v>-0.015</v>
      </c>
      <c r="I14" s="496" t="n">
        <f aca="false">+F14+H14</f>
        <v>0.0423636294922011</v>
      </c>
      <c r="J14" s="492"/>
    </row>
    <row r="15" customFormat="false" ht="12.75" hidden="false" customHeight="false" outlineLevel="0" collapsed="false">
      <c r="A15" s="492"/>
      <c r="B15" s="494" t="s">
        <v>758</v>
      </c>
      <c r="C15" s="495" t="n">
        <v>0</v>
      </c>
      <c r="D15" s="496" t="n">
        <f aca="false">+C15/C17</f>
        <v>0</v>
      </c>
      <c r="E15" s="496" t="n">
        <f aca="false">+'Offseason Rate'!E107</f>
        <v>0.615314710450411</v>
      </c>
      <c r="F15" s="496" t="n">
        <f aca="false">+D15*E15</f>
        <v>0</v>
      </c>
      <c r="G15" s="496" t="n">
        <v>0</v>
      </c>
      <c r="H15" s="496" t="n">
        <f aca="false">+G15*D15</f>
        <v>0</v>
      </c>
      <c r="I15" s="496" t="n">
        <f aca="false">+F15+H15</f>
        <v>0</v>
      </c>
      <c r="J15" s="492"/>
    </row>
    <row r="16" customFormat="false" ht="12.75" hidden="false" customHeight="false" outlineLevel="0" collapsed="false">
      <c r="A16" s="492"/>
      <c r="B16" s="494" t="s">
        <v>759</v>
      </c>
      <c r="C16" s="497" t="n">
        <v>0</v>
      </c>
      <c r="D16" s="498" t="n">
        <f aca="false">+C16/C17</f>
        <v>0</v>
      </c>
      <c r="E16" s="496" t="n">
        <f aca="false">+'Offseason Rate'!E92</f>
        <v>0.172090888476603</v>
      </c>
      <c r="F16" s="498" t="n">
        <f aca="false">+D16*E16</f>
        <v>0</v>
      </c>
      <c r="G16" s="496" t="n">
        <v>0</v>
      </c>
      <c r="H16" s="496" t="n">
        <f aca="false">+G16*D16</f>
        <v>0</v>
      </c>
      <c r="I16" s="498" t="n">
        <f aca="false">+F16+H16</f>
        <v>0</v>
      </c>
      <c r="J16" s="492"/>
    </row>
    <row r="17" customFormat="false" ht="12.75" hidden="false" customHeight="false" outlineLevel="0" collapsed="false">
      <c r="A17" s="492"/>
      <c r="B17" s="492"/>
      <c r="C17" s="495" t="n">
        <f aca="false">SUM(C12:C16)</f>
        <v>15000</v>
      </c>
      <c r="D17" s="496" t="n">
        <f aca="false">SUM(D12:D16)</f>
        <v>1</v>
      </c>
      <c r="E17" s="492"/>
      <c r="F17" s="496" t="n">
        <f aca="false">SUM(F12:F16)</f>
        <v>0.511351939514768</v>
      </c>
      <c r="G17" s="492"/>
      <c r="H17" s="492"/>
      <c r="I17" s="499" t="n">
        <f aca="false">SUM(I12:I16)</f>
        <v>0.449685272848101</v>
      </c>
      <c r="J17" s="492"/>
    </row>
    <row r="18" customFormat="false" ht="12.75" hidden="false" customHeight="false" outlineLevel="0" collapsed="false">
      <c r="A18" s="492"/>
      <c r="B18" s="492"/>
      <c r="C18" s="492"/>
      <c r="D18" s="492"/>
      <c r="E18" s="492"/>
      <c r="F18" s="492"/>
      <c r="G18" s="492"/>
      <c r="H18" s="492" t="s">
        <v>760</v>
      </c>
      <c r="I18" s="500" t="n">
        <v>0.215</v>
      </c>
      <c r="J18" s="492"/>
    </row>
    <row r="19" customFormat="false" ht="13.5" hidden="false" customHeight="false" outlineLevel="0" collapsed="false">
      <c r="A19" s="492"/>
      <c r="B19" s="492"/>
      <c r="C19" s="492"/>
      <c r="D19" s="492"/>
      <c r="E19" s="492"/>
      <c r="F19" s="492"/>
      <c r="G19" s="492"/>
      <c r="H19" s="501" t="s">
        <v>761</v>
      </c>
      <c r="I19" s="502" t="n">
        <f aca="false">+I18-I17</f>
        <v>-0.234685272848101</v>
      </c>
      <c r="J19" s="492"/>
    </row>
    <row r="20" customFormat="false" ht="13.5" hidden="false" customHeight="false" outlineLevel="0" collapsed="false">
      <c r="A20" s="492"/>
      <c r="B20" s="492"/>
      <c r="C20" s="492"/>
      <c r="D20" s="492"/>
      <c r="E20" s="492"/>
      <c r="F20" s="492"/>
      <c r="G20" s="492"/>
      <c r="H20" s="492"/>
      <c r="I20" s="496"/>
      <c r="J20" s="492"/>
    </row>
    <row r="21" customFormat="false" ht="12.75" hidden="false" customHeight="false" outlineLevel="0" collapsed="false">
      <c r="A21" s="492"/>
      <c r="B21" s="492"/>
      <c r="C21" s="492"/>
      <c r="D21" s="492"/>
      <c r="E21" s="492"/>
      <c r="F21" s="492"/>
      <c r="G21" s="492"/>
      <c r="H21" s="492"/>
      <c r="I21" s="492"/>
      <c r="J21" s="492"/>
    </row>
    <row r="22" customFormat="false" ht="12.75" hidden="false" customHeight="false" outlineLevel="0" collapsed="false">
      <c r="A22" s="492"/>
      <c r="B22" s="492"/>
      <c r="C22" s="492"/>
      <c r="D22" s="492"/>
      <c r="E22" s="492"/>
      <c r="F22" s="492"/>
      <c r="G22" s="492"/>
      <c r="H22" s="492"/>
      <c r="I22" s="492"/>
      <c r="J22" s="492"/>
    </row>
    <row r="23" customFormat="false" ht="12.75" hidden="false" customHeight="false" outlineLevel="0" collapsed="false">
      <c r="A23" s="492"/>
      <c r="B23" s="492"/>
      <c r="C23" s="492"/>
      <c r="D23" s="492"/>
      <c r="E23" s="492"/>
      <c r="F23" s="492" t="s">
        <v>747</v>
      </c>
      <c r="G23" s="492"/>
      <c r="H23" s="492" t="s">
        <v>747</v>
      </c>
      <c r="I23" s="492"/>
      <c r="J23" s="492"/>
    </row>
    <row r="24" customFormat="false" ht="12.75" hidden="false" customHeight="false" outlineLevel="0" collapsed="false">
      <c r="A24" s="492"/>
      <c r="B24" s="493" t="s">
        <v>748</v>
      </c>
      <c r="C24" s="493" t="s">
        <v>749</v>
      </c>
      <c r="D24" s="493" t="s">
        <v>750</v>
      </c>
      <c r="E24" s="493" t="s">
        <v>751</v>
      </c>
      <c r="F24" s="493" t="s">
        <v>752</v>
      </c>
      <c r="G24" s="493" t="s">
        <v>753</v>
      </c>
      <c r="H24" s="493" t="s">
        <v>753</v>
      </c>
      <c r="I24" s="493" t="s">
        <v>754</v>
      </c>
      <c r="J24" s="492"/>
    </row>
    <row r="25" customFormat="false" ht="12.75" hidden="false" customHeight="false" outlineLevel="0" collapsed="false">
      <c r="A25" s="492"/>
      <c r="B25" s="494" t="s">
        <v>762</v>
      </c>
      <c r="C25" s="495" t="n">
        <v>0</v>
      </c>
      <c r="D25" s="496" t="n">
        <f aca="false">+C25/C30</f>
        <v>0</v>
      </c>
      <c r="E25" s="496" t="e">
        <f aca="false">+#REF!</f>
        <v>#REF!</v>
      </c>
      <c r="F25" s="496" t="e">
        <f aca="false">+D25*E25</f>
        <v>#REF!</v>
      </c>
      <c r="G25" s="496" t="n">
        <v>-0.07</v>
      </c>
      <c r="H25" s="496" t="n">
        <f aca="false">+G25*D25</f>
        <v>-0</v>
      </c>
      <c r="I25" s="496" t="e">
        <f aca="false">+F25+H25</f>
        <v>#REF!</v>
      </c>
      <c r="J25" s="492"/>
    </row>
    <row r="26" customFormat="false" ht="12.75" hidden="false" customHeight="false" outlineLevel="0" collapsed="false">
      <c r="A26" s="492"/>
      <c r="B26" s="494" t="s">
        <v>763</v>
      </c>
      <c r="C26" s="495" t="n">
        <v>0</v>
      </c>
      <c r="D26" s="496" t="n">
        <f aca="false">+C26/C30</f>
        <v>0</v>
      </c>
      <c r="E26" s="496" t="e">
        <f aca="false">+#REF!</f>
        <v>#REF!</v>
      </c>
      <c r="F26" s="496" t="e">
        <f aca="false">+D26*E26</f>
        <v>#REF!</v>
      </c>
      <c r="G26" s="496" t="n">
        <v>-0.05</v>
      </c>
      <c r="H26" s="496" t="n">
        <f aca="false">+G26*D26</f>
        <v>-0</v>
      </c>
      <c r="I26" s="496" t="e">
        <f aca="false">+F26+H26</f>
        <v>#REF!</v>
      </c>
      <c r="J26" s="492"/>
    </row>
    <row r="27" customFormat="false" ht="12.75" hidden="false" customHeight="false" outlineLevel="0" collapsed="false">
      <c r="A27" s="492"/>
      <c r="B27" s="494" t="s">
        <v>764</v>
      </c>
      <c r="C27" s="495" t="n">
        <v>5000</v>
      </c>
      <c r="D27" s="496" t="n">
        <f aca="false">+C27/C30</f>
        <v>1</v>
      </c>
      <c r="E27" s="496" t="e">
        <f aca="false">+#REF!</f>
        <v>#REF!</v>
      </c>
      <c r="F27" s="496" t="e">
        <f aca="false">+D27*E27</f>
        <v>#REF!</v>
      </c>
      <c r="G27" s="496" t="n">
        <v>-0.035</v>
      </c>
      <c r="H27" s="496" t="n">
        <f aca="false">+G27*D27</f>
        <v>-0.035</v>
      </c>
      <c r="I27" s="496" t="e">
        <f aca="false">+F27+H27</f>
        <v>#REF!</v>
      </c>
      <c r="J27" s="492"/>
    </row>
    <row r="28" customFormat="false" ht="12.75" hidden="false" customHeight="false" outlineLevel="0" collapsed="false">
      <c r="A28" s="492"/>
      <c r="B28" s="494" t="s">
        <v>765</v>
      </c>
      <c r="C28" s="495" t="n">
        <v>0</v>
      </c>
      <c r="D28" s="496" t="n">
        <f aca="false">+C28/C30</f>
        <v>0</v>
      </c>
      <c r="E28" s="496" t="n">
        <v>0</v>
      </c>
      <c r="F28" s="496" t="n">
        <f aca="false">+D28*E28</f>
        <v>0</v>
      </c>
      <c r="G28" s="496" t="n">
        <v>-0.01</v>
      </c>
      <c r="H28" s="496" t="n">
        <f aca="false">+G28*D28</f>
        <v>-0</v>
      </c>
      <c r="I28" s="496" t="n">
        <f aca="false">+F28+H28</f>
        <v>0</v>
      </c>
      <c r="J28" s="492"/>
    </row>
    <row r="29" customFormat="false" ht="12.75" hidden="false" customHeight="false" outlineLevel="0" collapsed="false">
      <c r="A29" s="492"/>
      <c r="B29" s="494" t="s">
        <v>766</v>
      </c>
      <c r="C29" s="497" t="n">
        <v>0</v>
      </c>
      <c r="D29" s="498" t="n">
        <f aca="false">+C29/C30</f>
        <v>0</v>
      </c>
      <c r="E29" s="496" t="e">
        <f aca="false">+#REF!</f>
        <v>#REF!</v>
      </c>
      <c r="F29" s="498" t="e">
        <f aca="false">+D29*E29</f>
        <v>#REF!</v>
      </c>
      <c r="G29" s="496" t="n">
        <v>-0.0725</v>
      </c>
      <c r="H29" s="496" t="n">
        <f aca="false">+G29*D29</f>
        <v>-0</v>
      </c>
      <c r="I29" s="498" t="e">
        <f aca="false">+F29+H29</f>
        <v>#REF!</v>
      </c>
      <c r="J29" s="492"/>
      <c r="L29" s="491" t="n">
        <v>30</v>
      </c>
      <c r="M29" s="491" t="n">
        <v>0.44</v>
      </c>
      <c r="N29" s="491" t="n">
        <f aca="false">+M29*L29</f>
        <v>13.2</v>
      </c>
    </row>
    <row r="30" customFormat="false" ht="12.75" hidden="false" customHeight="false" outlineLevel="0" collapsed="false">
      <c r="A30" s="492"/>
      <c r="B30" s="492"/>
      <c r="C30" s="495" t="n">
        <f aca="false">SUM(C25:C29)</f>
        <v>5000</v>
      </c>
      <c r="D30" s="496" t="n">
        <f aca="false">SUM(D25:D29)</f>
        <v>1</v>
      </c>
      <c r="E30" s="492"/>
      <c r="F30" s="496" t="e">
        <f aca="false">SUM(F25:F29)</f>
        <v>#REF!</v>
      </c>
      <c r="G30" s="492"/>
      <c r="H30" s="492"/>
      <c r="I30" s="499" t="e">
        <f aca="false">SUM(I25:I29)</f>
        <v>#REF!</v>
      </c>
      <c r="J30" s="492"/>
      <c r="L30" s="491" t="n">
        <v>31</v>
      </c>
      <c r="M30" s="491" t="n">
        <v>0.5</v>
      </c>
      <c r="N30" s="491" t="n">
        <f aca="false">+M30*L30</f>
        <v>15.5</v>
      </c>
    </row>
    <row r="31" customFormat="false" ht="12.75" hidden="false" customHeight="false" outlineLevel="0" collapsed="false">
      <c r="A31" s="492"/>
      <c r="B31" s="492"/>
      <c r="C31" s="492"/>
      <c r="D31" s="492"/>
      <c r="E31" s="492"/>
      <c r="F31" s="492"/>
      <c r="G31" s="492"/>
      <c r="H31" s="503" t="s">
        <v>767</v>
      </c>
      <c r="I31" s="500" t="n">
        <v>0.1525</v>
      </c>
      <c r="J31" s="492"/>
      <c r="L31" s="491" t="n">
        <v>31</v>
      </c>
      <c r="M31" s="491" t="n">
        <v>0.5</v>
      </c>
      <c r="N31" s="491" t="n">
        <f aca="false">+M31*L31</f>
        <v>15.5</v>
      </c>
    </row>
    <row r="32" customFormat="false" ht="13.5" hidden="false" customHeight="false" outlineLevel="0" collapsed="false">
      <c r="A32" s="492"/>
      <c r="B32" s="492"/>
      <c r="C32" s="492"/>
      <c r="D32" s="492"/>
      <c r="E32" s="492"/>
      <c r="F32" s="492"/>
      <c r="G32" s="492"/>
      <c r="H32" s="501" t="s">
        <v>761</v>
      </c>
      <c r="I32" s="504" t="e">
        <f aca="false">+I31-I30</f>
        <v>#REF!</v>
      </c>
      <c r="J32" s="492"/>
      <c r="L32" s="491" t="n">
        <v>30</v>
      </c>
      <c r="M32" s="491" t="n">
        <v>0.5</v>
      </c>
      <c r="N32" s="491" t="n">
        <f aca="false">+M32*L32</f>
        <v>15</v>
      </c>
    </row>
    <row r="33" customFormat="false" ht="13.5" hidden="false" customHeight="false" outlineLevel="0" collapsed="false">
      <c r="A33" s="492"/>
      <c r="B33" s="492"/>
      <c r="C33" s="492"/>
      <c r="D33" s="492"/>
      <c r="E33" s="492"/>
      <c r="F33" s="492"/>
      <c r="G33" s="492"/>
      <c r="H33" s="492"/>
      <c r="I33" s="496"/>
      <c r="J33" s="492"/>
      <c r="L33" s="491" t="n">
        <f aca="false">SUM(L29:L32)</f>
        <v>122</v>
      </c>
      <c r="N33" s="491" t="n">
        <f aca="false">SUM(N29:N32)</f>
        <v>59.2</v>
      </c>
    </row>
    <row r="34" customFormat="false" ht="12.75" hidden="false" customHeight="false" outlineLevel="0" collapsed="false">
      <c r="A34" s="492"/>
      <c r="B34" s="501" t="s">
        <v>155</v>
      </c>
      <c r="C34" s="492"/>
      <c r="D34" s="492"/>
      <c r="E34" s="492"/>
      <c r="F34" s="492" t="s">
        <v>747</v>
      </c>
      <c r="G34" s="492"/>
      <c r="H34" s="492" t="s">
        <v>747</v>
      </c>
      <c r="I34" s="492"/>
      <c r="J34" s="492"/>
    </row>
    <row r="35" customFormat="false" ht="12.75" hidden="false" customHeight="false" outlineLevel="0" collapsed="false">
      <c r="A35" s="492"/>
      <c r="B35" s="493" t="s">
        <v>748</v>
      </c>
      <c r="C35" s="493" t="s">
        <v>749</v>
      </c>
      <c r="D35" s="493" t="s">
        <v>750</v>
      </c>
      <c r="E35" s="493" t="s">
        <v>751</v>
      </c>
      <c r="F35" s="493" t="s">
        <v>752</v>
      </c>
      <c r="G35" s="493" t="s">
        <v>753</v>
      </c>
      <c r="H35" s="493" t="s">
        <v>753</v>
      </c>
      <c r="I35" s="493" t="s">
        <v>754</v>
      </c>
      <c r="J35" s="492"/>
      <c r="L35" s="491" t="n">
        <f aca="false">+N33/L33</f>
        <v>0.485245901639344</v>
      </c>
    </row>
    <row r="36" customFormat="false" ht="12.75" hidden="false" customHeight="false" outlineLevel="0" collapsed="false">
      <c r="A36" s="492"/>
      <c r="B36" s="492" t="s">
        <v>768</v>
      </c>
      <c r="C36" s="495" t="n">
        <v>17</v>
      </c>
      <c r="D36" s="496" t="n">
        <f aca="false">+C36/C39</f>
        <v>0.17</v>
      </c>
      <c r="E36" s="496" t="n">
        <f aca="false">+Rates!B42</f>
        <v>0.15173800866716</v>
      </c>
      <c r="F36" s="496" t="n">
        <f aca="false">+D36*E36</f>
        <v>0.0257954614734172</v>
      </c>
      <c r="G36" s="496" t="n">
        <v>-0.04</v>
      </c>
      <c r="H36" s="496" t="n">
        <f aca="false">+G36*D36</f>
        <v>-0.0068</v>
      </c>
      <c r="I36" s="496" t="n">
        <f aca="false">+F36+H36</f>
        <v>0.0189954614734172</v>
      </c>
      <c r="J36" s="492"/>
    </row>
    <row r="37" customFormat="false" ht="12.75" hidden="false" customHeight="false" outlineLevel="0" collapsed="false">
      <c r="A37" s="492"/>
      <c r="B37" s="492" t="s">
        <v>769</v>
      </c>
      <c r="C37" s="495" t="n">
        <v>25</v>
      </c>
      <c r="D37" s="496" t="n">
        <f aca="false">+C37/C39</f>
        <v>0.25</v>
      </c>
      <c r="E37" s="496" t="n">
        <f aca="false">+Rates!B69</f>
        <v>0.144612215669756</v>
      </c>
      <c r="F37" s="496" t="n">
        <f aca="false">+D37*E37</f>
        <v>0.0361530539174389</v>
      </c>
      <c r="G37" s="496" t="n">
        <v>-0.01</v>
      </c>
      <c r="H37" s="496" t="n">
        <f aca="false">+G37*D37</f>
        <v>-0.0025</v>
      </c>
      <c r="I37" s="496" t="n">
        <f aca="false">+F37+H37</f>
        <v>0.0336530539174389</v>
      </c>
      <c r="J37" s="492"/>
    </row>
    <row r="38" customFormat="false" ht="12.75" hidden="false" customHeight="false" outlineLevel="0" collapsed="false">
      <c r="A38" s="492"/>
      <c r="B38" s="492" t="s">
        <v>770</v>
      </c>
      <c r="C38" s="497" t="n">
        <v>58</v>
      </c>
      <c r="D38" s="498" t="n">
        <f aca="false">+C38/C39</f>
        <v>0.58</v>
      </c>
      <c r="E38" s="496" t="n">
        <f aca="false">+Rates!B89</f>
        <v>0.182407108408472</v>
      </c>
      <c r="F38" s="498" t="n">
        <f aca="false">+D38*E38</f>
        <v>0.105796122876914</v>
      </c>
      <c r="G38" s="496" t="n">
        <v>0.035</v>
      </c>
      <c r="H38" s="496" t="n">
        <f aca="false">+G38*D38</f>
        <v>0.0203</v>
      </c>
      <c r="I38" s="496" t="n">
        <f aca="false">+F38+H38</f>
        <v>0.126096122876914</v>
      </c>
      <c r="J38" s="492"/>
    </row>
    <row r="39" customFormat="false" ht="12.75" hidden="false" customHeight="false" outlineLevel="0" collapsed="false">
      <c r="A39" s="492"/>
      <c r="B39" s="492"/>
      <c r="C39" s="495" t="n">
        <f aca="false">SUM(C36:C38)</f>
        <v>100</v>
      </c>
      <c r="D39" s="496" t="n">
        <f aca="false">SUM(D36:D38)</f>
        <v>1</v>
      </c>
      <c r="E39" s="492"/>
      <c r="F39" s="496" t="n">
        <f aca="false">SUM(F36:F38)</f>
        <v>0.16774463826777</v>
      </c>
      <c r="G39" s="492"/>
      <c r="H39" s="496" t="n">
        <f aca="false">SUM(H36:H38)</f>
        <v>0.011</v>
      </c>
      <c r="I39" s="499" t="n">
        <f aca="false">SUM(I36:I38)</f>
        <v>0.17874463826777</v>
      </c>
      <c r="J39" s="492"/>
    </row>
    <row r="40" customFormat="false" ht="12.75" hidden="false" customHeight="false" outlineLevel="0" collapsed="false">
      <c r="A40" s="492"/>
      <c r="B40" s="492"/>
      <c r="C40" s="492"/>
      <c r="D40" s="492"/>
      <c r="E40" s="492"/>
      <c r="F40" s="492"/>
      <c r="G40" s="492"/>
      <c r="H40" s="492" t="s">
        <v>771</v>
      </c>
      <c r="I40" s="500" t="n">
        <v>0.44</v>
      </c>
      <c r="J40" s="492"/>
    </row>
    <row r="41" customFormat="false" ht="13.5" hidden="false" customHeight="false" outlineLevel="0" collapsed="false">
      <c r="A41" s="492"/>
      <c r="B41" s="492"/>
      <c r="C41" s="492"/>
      <c r="D41" s="492"/>
      <c r="E41" s="492"/>
      <c r="F41" s="492"/>
      <c r="G41" s="492"/>
      <c r="H41" s="501" t="s">
        <v>761</v>
      </c>
      <c r="I41" s="502" t="n">
        <f aca="false">+I40-I39</f>
        <v>0.26125536173223</v>
      </c>
      <c r="J41" s="492"/>
      <c r="K41" s="505"/>
    </row>
    <row r="42" customFormat="false" ht="13.5" hidden="false" customHeight="false" outlineLevel="0" collapsed="false">
      <c r="A42" s="492"/>
      <c r="B42" s="492"/>
      <c r="C42" s="492"/>
      <c r="D42" s="492"/>
      <c r="E42" s="492"/>
      <c r="F42" s="492"/>
      <c r="G42" s="492"/>
      <c r="H42" s="492"/>
      <c r="I42" s="492"/>
      <c r="J42" s="492"/>
      <c r="K42" s="505"/>
    </row>
    <row r="43" customFormat="false" ht="12.75" hidden="false" customHeight="false" outlineLevel="0" collapsed="false">
      <c r="A43" s="492"/>
      <c r="B43" s="492"/>
      <c r="C43" s="492"/>
      <c r="D43" s="492"/>
      <c r="E43" s="492"/>
      <c r="F43" s="492"/>
      <c r="G43" s="492"/>
      <c r="H43" s="492"/>
      <c r="I43" s="492"/>
      <c r="J43" s="492"/>
      <c r="K43" s="506"/>
    </row>
    <row r="44" customFormat="false" ht="12.75" hidden="false" customHeight="false" outlineLevel="0" collapsed="false">
      <c r="A44" s="492"/>
      <c r="B44" s="501" t="s">
        <v>112</v>
      </c>
      <c r="C44" s="492" t="s">
        <v>224</v>
      </c>
      <c r="D44" s="492" t="s">
        <v>410</v>
      </c>
      <c r="E44" s="492" t="s">
        <v>347</v>
      </c>
      <c r="F44" s="492" t="s">
        <v>772</v>
      </c>
      <c r="G44" s="492" t="s">
        <v>773</v>
      </c>
      <c r="H44" s="492" t="s">
        <v>774</v>
      </c>
      <c r="I44" s="501" t="s">
        <v>761</v>
      </c>
      <c r="J44" s="492"/>
    </row>
    <row r="45" customFormat="false" ht="12.75" hidden="false" customHeight="false" outlineLevel="0" collapsed="false">
      <c r="A45" s="492"/>
      <c r="B45" s="492" t="s">
        <v>775</v>
      </c>
      <c r="C45" s="500" t="e">
        <f aca="false">+#REF!</f>
        <v>#REF!</v>
      </c>
      <c r="D45" s="500" t="e">
        <f aca="false">+#REF!</f>
        <v>#REF!</v>
      </c>
      <c r="E45" s="500" t="e">
        <f aca="false">+D45+C45</f>
        <v>#REF!</v>
      </c>
      <c r="F45" s="500" t="n">
        <v>0</v>
      </c>
      <c r="G45" s="500" t="n">
        <v>-0.0225</v>
      </c>
      <c r="H45" s="500" t="n">
        <v>0.1325</v>
      </c>
      <c r="I45" s="500" t="e">
        <f aca="false">+H45-G45-F45-E45</f>
        <v>#REF!</v>
      </c>
      <c r="J45" s="492"/>
    </row>
    <row r="46" customFormat="false" ht="12.75" hidden="false" customHeight="false" outlineLevel="0" collapsed="false">
      <c r="A46" s="492"/>
      <c r="B46" s="492" t="s">
        <v>776</v>
      </c>
      <c r="C46" s="500" t="e">
        <f aca="false">+#REF!</f>
        <v>#REF!</v>
      </c>
      <c r="D46" s="500" t="e">
        <f aca="false">+#REF!</f>
        <v>#REF!</v>
      </c>
      <c r="E46" s="500" t="e">
        <f aca="false">+D46+C46</f>
        <v>#REF!</v>
      </c>
      <c r="F46" s="500" t="n">
        <v>0</v>
      </c>
      <c r="G46" s="500" t="n">
        <v>-0.0225</v>
      </c>
      <c r="H46" s="500" t="n">
        <v>0.1325</v>
      </c>
      <c r="I46" s="507" t="e">
        <f aca="false">+H46-G46-F46-E46</f>
        <v>#REF!</v>
      </c>
      <c r="J46" s="492"/>
    </row>
    <row r="47" customFormat="false" ht="12.75" hidden="false" customHeight="false" outlineLevel="0" collapsed="false">
      <c r="A47" s="492"/>
      <c r="B47" s="492"/>
      <c r="C47" s="492"/>
      <c r="D47" s="492"/>
      <c r="E47" s="492"/>
      <c r="F47" s="492"/>
      <c r="G47" s="492"/>
      <c r="H47" s="492"/>
      <c r="I47" s="492"/>
      <c r="J47" s="492"/>
    </row>
    <row r="48" customFormat="false" ht="12.75" hidden="false" customHeight="false" outlineLevel="0" collapsed="false">
      <c r="A48" s="492"/>
      <c r="B48" s="492"/>
      <c r="C48" s="492"/>
      <c r="D48" s="492"/>
      <c r="E48" s="492"/>
      <c r="F48" s="492"/>
      <c r="G48" s="492"/>
      <c r="H48" s="492"/>
      <c r="I48" s="492"/>
      <c r="J48" s="492"/>
    </row>
    <row r="49" customFormat="false" ht="12.75" hidden="false" customHeight="false" outlineLevel="0" collapsed="false">
      <c r="A49" s="492"/>
      <c r="B49" s="501" t="s">
        <v>501</v>
      </c>
      <c r="C49" s="492" t="s">
        <v>777</v>
      </c>
      <c r="D49" s="492" t="s">
        <v>778</v>
      </c>
      <c r="E49" s="492" t="s">
        <v>772</v>
      </c>
      <c r="F49" s="492" t="s">
        <v>779</v>
      </c>
      <c r="H49" s="492"/>
      <c r="I49" s="501" t="s">
        <v>761</v>
      </c>
      <c r="J49" s="492"/>
    </row>
    <row r="50" customFormat="false" ht="12.75" hidden="false" customHeight="false" outlineLevel="0" collapsed="false">
      <c r="A50" s="492"/>
      <c r="B50" s="492" t="s">
        <v>780</v>
      </c>
      <c r="C50" s="500" t="e">
        <f aca="false">+#REF!</f>
        <v>#REF!</v>
      </c>
      <c r="D50" s="508" t="n">
        <v>-0.0725</v>
      </c>
      <c r="E50" s="500" t="n">
        <v>0</v>
      </c>
      <c r="F50" s="500" t="n">
        <v>0.2175</v>
      </c>
      <c r="H50" s="492"/>
      <c r="I50" s="507" t="e">
        <f aca="false">+F50-D50-E50-C50</f>
        <v>#REF!</v>
      </c>
      <c r="J50" s="492"/>
    </row>
    <row r="51" customFormat="false" ht="12.75" hidden="false" customHeight="false" outlineLevel="0" collapsed="false">
      <c r="A51" s="492"/>
      <c r="B51" s="492" t="s">
        <v>781</v>
      </c>
      <c r="C51" s="500" t="e">
        <f aca="false">+#REF!</f>
        <v>#REF!</v>
      </c>
      <c r="D51" s="508" t="n">
        <v>-0.06</v>
      </c>
      <c r="E51" s="500" t="n">
        <v>0</v>
      </c>
      <c r="F51" s="500" t="n">
        <v>0.2175</v>
      </c>
      <c r="H51" s="492"/>
      <c r="I51" s="507" t="e">
        <f aca="false">+F51-D51-E51-C51</f>
        <v>#REF!</v>
      </c>
      <c r="J51" s="492"/>
    </row>
    <row r="52" customFormat="false" ht="12.75" hidden="false" customHeight="false" outlineLevel="0" collapsed="false">
      <c r="A52" s="492"/>
      <c r="B52" s="492"/>
      <c r="C52" s="500"/>
      <c r="D52" s="508"/>
      <c r="E52" s="500"/>
      <c r="F52" s="500"/>
      <c r="H52" s="492"/>
      <c r="I52" s="507"/>
      <c r="J52" s="492"/>
    </row>
    <row r="53" customFormat="false" ht="12.75" hidden="false" customHeight="false" outlineLevel="0" collapsed="false">
      <c r="A53" s="492"/>
      <c r="B53" s="492"/>
      <c r="C53" s="500"/>
      <c r="D53" s="508"/>
      <c r="E53" s="500"/>
      <c r="F53" s="500"/>
      <c r="H53" s="492"/>
      <c r="I53" s="507"/>
      <c r="J53" s="492"/>
    </row>
    <row r="54" customFormat="false" ht="12.75" hidden="false" customHeight="false" outlineLevel="0" collapsed="false">
      <c r="A54" s="492"/>
      <c r="B54" s="492"/>
      <c r="C54" s="500"/>
      <c r="D54" s="508"/>
      <c r="E54" s="500"/>
      <c r="F54" s="500"/>
      <c r="H54" s="492"/>
      <c r="I54" s="507"/>
      <c r="J54" s="492"/>
    </row>
    <row r="55" customFormat="false" ht="12.75" hidden="false" customHeight="false" outlineLevel="0" collapsed="false">
      <c r="A55" s="492"/>
      <c r="B55" s="492" t="s">
        <v>782</v>
      </c>
      <c r="C55" s="500" t="e">
        <f aca="false">+#REF!</f>
        <v>#REF!</v>
      </c>
      <c r="D55" s="508" t="n">
        <v>-0.0725</v>
      </c>
      <c r="E55" s="500" t="n">
        <v>0</v>
      </c>
      <c r="F55" s="500" t="n">
        <v>0.2525</v>
      </c>
      <c r="H55" s="492"/>
      <c r="I55" s="507" t="e">
        <f aca="false">+F55-D55-E55-C55</f>
        <v>#REF!</v>
      </c>
      <c r="J55" s="492"/>
    </row>
    <row r="56" customFormat="false" ht="12.75" hidden="false" customHeight="false" outlineLevel="0" collapsed="false">
      <c r="A56" s="492"/>
      <c r="B56" s="492" t="s">
        <v>783</v>
      </c>
      <c r="C56" s="500" t="e">
        <f aca="false">+#REF!</f>
        <v>#REF!</v>
      </c>
      <c r="D56" s="508" t="n">
        <v>-0.06</v>
      </c>
      <c r="E56" s="500" t="n">
        <v>0</v>
      </c>
      <c r="F56" s="500" t="n">
        <v>0.2525</v>
      </c>
      <c r="H56" s="492"/>
      <c r="I56" s="507" t="e">
        <f aca="false">+F56-D56-E56-C56</f>
        <v>#REF!</v>
      </c>
      <c r="J56" s="492"/>
    </row>
    <row r="57" customFormat="false" ht="12.75" hidden="false" customHeight="false" outlineLevel="0" collapsed="false">
      <c r="A57" s="492" t="s">
        <v>784</v>
      </c>
      <c r="B57" s="492" t="s">
        <v>783</v>
      </c>
      <c r="C57" s="500" t="e">
        <f aca="false">+#REF!</f>
        <v>#REF!</v>
      </c>
      <c r="D57" s="508" t="n">
        <v>-0.05</v>
      </c>
      <c r="E57" s="500" t="n">
        <v>0.021</v>
      </c>
      <c r="F57" s="500" t="n">
        <v>0</v>
      </c>
      <c r="H57" s="492"/>
      <c r="I57" s="507" t="e">
        <f aca="false">+F57-D57-E57-C57</f>
        <v>#REF!</v>
      </c>
      <c r="J57" s="492"/>
    </row>
    <row r="58" customFormat="false" ht="12.75" hidden="false" customHeight="false" outlineLevel="0" collapsed="false">
      <c r="A58" s="492"/>
      <c r="B58" s="492"/>
      <c r="C58" s="492"/>
      <c r="D58" s="492"/>
      <c r="E58" s="492"/>
      <c r="F58" s="492"/>
      <c r="G58" s="492"/>
      <c r="H58" s="492"/>
      <c r="I58" s="492"/>
      <c r="J58" s="492"/>
    </row>
    <row r="59" customFormat="false" ht="12.75" hidden="false" customHeight="false" outlineLevel="0" collapsed="false">
      <c r="A59" s="492"/>
      <c r="B59" s="492"/>
      <c r="C59" s="492"/>
      <c r="D59" s="492"/>
      <c r="E59" s="492"/>
      <c r="F59" s="492"/>
      <c r="G59" s="492"/>
      <c r="H59" s="492"/>
      <c r="I59" s="492"/>
      <c r="J59" s="492"/>
    </row>
    <row r="60" customFormat="false" ht="12.75" hidden="false" customHeight="false" outlineLevel="0" collapsed="false">
      <c r="A60" s="492"/>
      <c r="B60" s="492"/>
      <c r="C60" s="492"/>
      <c r="D60" s="492"/>
      <c r="E60" s="492"/>
      <c r="F60" s="492"/>
      <c r="G60" s="492"/>
      <c r="H60" s="492"/>
      <c r="I60" s="492"/>
      <c r="J60" s="492"/>
    </row>
    <row r="61" customFormat="false" ht="12.75" hidden="false" customHeight="false" outlineLevel="0" collapsed="false">
      <c r="A61" s="492"/>
      <c r="B61" s="501" t="s">
        <v>501</v>
      </c>
      <c r="C61" s="492" t="s">
        <v>777</v>
      </c>
      <c r="D61" s="492" t="s">
        <v>778</v>
      </c>
      <c r="E61" s="492" t="s">
        <v>772</v>
      </c>
      <c r="F61" s="492" t="s">
        <v>779</v>
      </c>
      <c r="H61" s="492"/>
      <c r="I61" s="501" t="s">
        <v>761</v>
      </c>
      <c r="J61" s="492"/>
    </row>
    <row r="62" customFormat="false" ht="12.75" hidden="false" customHeight="false" outlineLevel="0" collapsed="false">
      <c r="A62" s="492"/>
      <c r="B62" s="492" t="s">
        <v>780</v>
      </c>
      <c r="C62" s="500" t="n">
        <f aca="false">+Rates!H32</f>
        <v>0.197670930726732</v>
      </c>
      <c r="D62" s="508" t="n">
        <v>-0.0725</v>
      </c>
      <c r="E62" s="500" t="n">
        <v>0</v>
      </c>
      <c r="F62" s="500" t="n">
        <v>0.2175</v>
      </c>
      <c r="H62" s="492"/>
      <c r="I62" s="507" t="n">
        <f aca="false">+F62-D62-E62-C62</f>
        <v>0.0923290692732682</v>
      </c>
      <c r="J62" s="492"/>
    </row>
    <row r="63" customFormat="false" ht="12.75" hidden="false" customHeight="false" outlineLevel="0" collapsed="false">
      <c r="A63" s="492"/>
      <c r="B63" s="492" t="s">
        <v>781</v>
      </c>
      <c r="C63" s="500" t="n">
        <f aca="false">+Rates!H69</f>
        <v>0.105870655720451</v>
      </c>
      <c r="D63" s="508" t="n">
        <v>-0.06</v>
      </c>
      <c r="E63" s="500" t="n">
        <v>0</v>
      </c>
      <c r="F63" s="500" t="n">
        <v>0.2175</v>
      </c>
      <c r="H63" s="492"/>
      <c r="I63" s="507" t="n">
        <f aca="false">+F63-D63-E63-C63</f>
        <v>0.171629344279549</v>
      </c>
      <c r="J63" s="492"/>
    </row>
    <row r="64" customFormat="false" ht="12.75" hidden="false" customHeight="false" outlineLevel="0" collapsed="false">
      <c r="A64" s="492"/>
      <c r="B64" s="492" t="s">
        <v>782</v>
      </c>
      <c r="C64" s="500" t="n">
        <f aca="false">+Rates!H37</f>
        <v>0.234904398669671</v>
      </c>
      <c r="D64" s="508" t="n">
        <v>-0.0725</v>
      </c>
      <c r="E64" s="500" t="n">
        <v>0</v>
      </c>
      <c r="F64" s="500" t="n">
        <v>0.2525</v>
      </c>
      <c r="H64" s="492"/>
      <c r="I64" s="507" t="n">
        <f aca="false">+F64-D64-E64-C64</f>
        <v>0.0900956013303294</v>
      </c>
      <c r="J64" s="492"/>
    </row>
    <row r="65" customFormat="false" ht="12.75" hidden="false" customHeight="false" outlineLevel="0" collapsed="false">
      <c r="A65" s="492"/>
      <c r="B65" s="492" t="s">
        <v>783</v>
      </c>
      <c r="C65" s="500" t="n">
        <f aca="false">+Rates!H74</f>
        <v>0.21050531349628</v>
      </c>
      <c r="D65" s="508" t="n">
        <v>-0.06</v>
      </c>
      <c r="E65" s="500" t="n">
        <v>0</v>
      </c>
      <c r="F65" s="500" t="n">
        <v>0.2525</v>
      </c>
      <c r="H65" s="492"/>
      <c r="I65" s="507" t="n">
        <f aca="false">+F65-D65-E65-C65</f>
        <v>0.10199468650372</v>
      </c>
      <c r="J65" s="492"/>
    </row>
    <row r="66" customFormat="false" ht="12.75" hidden="false" customHeight="false" outlineLevel="0" collapsed="false">
      <c r="A66" s="492"/>
      <c r="B66" s="492"/>
      <c r="C66" s="492"/>
      <c r="D66" s="492"/>
      <c r="E66" s="492"/>
      <c r="F66" s="492"/>
      <c r="G66" s="492"/>
      <c r="H66" s="492"/>
      <c r="I66" s="492"/>
      <c r="J66" s="492"/>
    </row>
    <row r="67" customFormat="false" ht="12.75" hidden="false" customHeight="false" outlineLevel="0" collapsed="false">
      <c r="A67" s="492"/>
      <c r="B67" s="492"/>
      <c r="C67" s="492"/>
      <c r="D67" s="492"/>
      <c r="E67" s="492"/>
      <c r="F67" s="492"/>
      <c r="G67" s="492"/>
      <c r="H67" s="492"/>
      <c r="I67" s="492"/>
      <c r="J67" s="492"/>
    </row>
    <row r="68" customFormat="false" ht="12.75" hidden="false" customHeight="false" outlineLevel="0" collapsed="false">
      <c r="A68" s="492"/>
      <c r="B68" s="492"/>
      <c r="C68" s="492"/>
      <c r="D68" s="492"/>
      <c r="E68" s="492"/>
      <c r="F68" s="492"/>
      <c r="G68" s="492"/>
      <c r="H68" s="492"/>
      <c r="I68" s="492"/>
      <c r="J68" s="492"/>
    </row>
    <row r="69" customFormat="false" ht="12.75" hidden="false" customHeight="false" outlineLevel="0" collapsed="false">
      <c r="A69" s="492"/>
      <c r="B69" s="492"/>
      <c r="C69" s="492"/>
      <c r="D69" s="492"/>
      <c r="E69" s="492"/>
      <c r="F69" s="492"/>
      <c r="G69" s="492"/>
      <c r="H69" s="492"/>
      <c r="I69" s="492"/>
      <c r="J69" s="492"/>
    </row>
    <row r="70" customFormat="false" ht="12.75" hidden="false" customHeight="false" outlineLevel="0" collapsed="false">
      <c r="A70" s="492"/>
      <c r="B70" s="492"/>
      <c r="C70" s="492"/>
      <c r="D70" s="492"/>
      <c r="E70" s="492"/>
      <c r="F70" s="492"/>
      <c r="G70" s="492"/>
      <c r="H70" s="492"/>
      <c r="I70" s="492"/>
      <c r="J70" s="492"/>
    </row>
    <row r="71" customFormat="false" ht="12.75" hidden="false" customHeight="false" outlineLevel="0" collapsed="false">
      <c r="A71" s="492"/>
      <c r="B71" s="492" t="s">
        <v>785</v>
      </c>
      <c r="C71" s="492"/>
      <c r="D71" s="492"/>
      <c r="E71" s="492"/>
      <c r="F71" s="492"/>
      <c r="G71" s="492"/>
      <c r="H71" s="492"/>
      <c r="I71" s="492"/>
      <c r="J71" s="492"/>
    </row>
    <row r="72" customFormat="false" ht="12.75" hidden="false" customHeight="false" outlineLevel="0" collapsed="false">
      <c r="A72" s="492"/>
      <c r="B72" s="492"/>
      <c r="C72" s="492"/>
      <c r="D72" s="492"/>
      <c r="E72" s="492"/>
      <c r="F72" s="492" t="s">
        <v>747</v>
      </c>
      <c r="G72" s="492"/>
      <c r="H72" s="492" t="s">
        <v>747</v>
      </c>
      <c r="I72" s="492"/>
      <c r="J72" s="492"/>
    </row>
    <row r="73" customFormat="false" ht="12.75" hidden="false" customHeight="false" outlineLevel="0" collapsed="false">
      <c r="A73" s="492"/>
      <c r="B73" s="493" t="s">
        <v>748</v>
      </c>
      <c r="C73" s="493" t="s">
        <v>749</v>
      </c>
      <c r="D73" s="493" t="s">
        <v>750</v>
      </c>
      <c r="E73" s="493" t="s">
        <v>751</v>
      </c>
      <c r="F73" s="493" t="s">
        <v>752</v>
      </c>
      <c r="G73" s="493" t="s">
        <v>753</v>
      </c>
      <c r="H73" s="493" t="s">
        <v>753</v>
      </c>
      <c r="I73" s="493" t="s">
        <v>754</v>
      </c>
      <c r="J73" s="492"/>
    </row>
    <row r="74" customFormat="false" ht="12.75" hidden="false" customHeight="false" outlineLevel="0" collapsed="false">
      <c r="A74" s="492"/>
      <c r="B74" s="494" t="s">
        <v>786</v>
      </c>
      <c r="C74" s="495" t="n">
        <v>5000</v>
      </c>
      <c r="D74" s="496" t="n">
        <f aca="false">+C74/C74</f>
        <v>1</v>
      </c>
      <c r="E74" s="496" t="n">
        <f aca="false">+Rates!AL17</f>
        <v>0.0413571428571428</v>
      </c>
      <c r="F74" s="496" t="n">
        <f aca="false">+D74*E74</f>
        <v>0.0413571428571428</v>
      </c>
      <c r="G74" s="496"/>
      <c r="H74" s="496"/>
      <c r="I74" s="496" t="n">
        <f aca="false">+F74</f>
        <v>0.0413571428571428</v>
      </c>
      <c r="J74" s="492"/>
    </row>
    <row r="75" customFormat="false" ht="12.75" hidden="false" customHeight="false" outlineLevel="0" collapsed="false">
      <c r="A75" s="492"/>
      <c r="B75" s="494" t="s">
        <v>787</v>
      </c>
      <c r="C75" s="495" t="s">
        <v>73</v>
      </c>
      <c r="D75" s="496" t="s">
        <v>73</v>
      </c>
      <c r="E75" s="496" t="n">
        <f aca="false">+Rates!B124</f>
        <v>0.0469914608327451</v>
      </c>
      <c r="F75" s="496" t="s">
        <v>313</v>
      </c>
      <c r="G75" s="496" t="s">
        <v>73</v>
      </c>
      <c r="H75" s="496" t="s">
        <v>73</v>
      </c>
      <c r="I75" s="496" t="n">
        <f aca="false">+E75</f>
        <v>0.0469914608327451</v>
      </c>
      <c r="J75" s="492"/>
    </row>
    <row r="76" customFormat="false" ht="12.75" hidden="false" customHeight="false" outlineLevel="0" collapsed="false">
      <c r="A76" s="492"/>
      <c r="B76" s="492"/>
      <c r="C76" s="492"/>
      <c r="D76" s="492"/>
      <c r="E76" s="492"/>
      <c r="F76" s="492"/>
      <c r="G76" s="492"/>
      <c r="H76" s="503" t="s">
        <v>788</v>
      </c>
      <c r="I76" s="499" t="n">
        <f aca="false">+I74+I75</f>
        <v>0.088348603689888</v>
      </c>
      <c r="J76" s="492"/>
    </row>
    <row r="77" customFormat="false" ht="12.75" hidden="false" customHeight="false" outlineLevel="0" collapsed="false">
      <c r="A77" s="492"/>
      <c r="B77" s="492"/>
      <c r="C77" s="492"/>
      <c r="D77" s="492"/>
      <c r="E77" s="492"/>
      <c r="F77" s="492"/>
      <c r="G77" s="492"/>
      <c r="H77" s="492" t="s">
        <v>789</v>
      </c>
      <c r="I77" s="492" t="n">
        <v>0.23</v>
      </c>
      <c r="J77" s="492"/>
    </row>
    <row r="78" customFormat="false" ht="12.75" hidden="false" customHeight="false" outlineLevel="0" collapsed="false">
      <c r="A78" s="492"/>
      <c r="B78" s="494"/>
      <c r="C78" s="495"/>
      <c r="D78" s="496"/>
      <c r="E78" s="496"/>
      <c r="F78" s="496"/>
      <c r="G78" s="496"/>
      <c r="H78" s="496" t="s">
        <v>790</v>
      </c>
      <c r="I78" s="496" t="n">
        <v>0.44</v>
      </c>
      <c r="J78" s="492"/>
    </row>
    <row r="79" customFormat="false" ht="12.75" hidden="false" customHeight="false" outlineLevel="0" collapsed="false">
      <c r="A79" s="492"/>
      <c r="B79" s="492"/>
      <c r="C79" s="492"/>
      <c r="D79" s="492"/>
      <c r="E79" s="492"/>
      <c r="F79" s="492"/>
      <c r="G79" s="492"/>
      <c r="H79" s="492" t="s">
        <v>761</v>
      </c>
      <c r="I79" s="509" t="n">
        <f aca="false">+I78-I77-I76</f>
        <v>0.121651396310112</v>
      </c>
      <c r="J79" s="492"/>
    </row>
    <row r="80" customFormat="false" ht="12.75" hidden="false" customHeight="false" outlineLevel="0" collapsed="false">
      <c r="A80" s="492"/>
      <c r="B80" s="492"/>
      <c r="C80" s="492"/>
      <c r="D80" s="492"/>
      <c r="E80" s="492"/>
      <c r="F80" s="492"/>
      <c r="G80" s="492"/>
      <c r="H80" s="492"/>
      <c r="I80" s="492"/>
      <c r="J80" s="492"/>
    </row>
    <row r="81" customFormat="false" ht="12.75" hidden="false" customHeight="false" outlineLevel="0" collapsed="false">
      <c r="A81" s="492"/>
      <c r="B81" s="492"/>
      <c r="C81" s="492"/>
      <c r="D81" s="492"/>
      <c r="E81" s="492"/>
      <c r="F81" s="492"/>
      <c r="G81" s="492"/>
      <c r="H81" s="492"/>
      <c r="I81" s="492"/>
      <c r="J81" s="492"/>
    </row>
    <row r="83" customFormat="false" ht="12.75" hidden="false" customHeight="false" outlineLevel="0" collapsed="false">
      <c r="B83" s="1" t="s">
        <v>791</v>
      </c>
    </row>
    <row r="84" customFormat="false" ht="12.75" hidden="false" customHeight="false" outlineLevel="0" collapsed="false">
      <c r="B84" s="1" t="s">
        <v>792</v>
      </c>
      <c r="C84" s="1" t="n">
        <v>4.22</v>
      </c>
    </row>
    <row r="85" customFormat="false" ht="12.75" hidden="false" customHeight="false" outlineLevel="0" collapsed="false">
      <c r="B85" s="1" t="s">
        <v>793</v>
      </c>
      <c r="C85" s="1" t="n">
        <v>4.29</v>
      </c>
    </row>
    <row r="86" customFormat="false" ht="12.75" hidden="false" customHeight="false" outlineLevel="0" collapsed="false">
      <c r="B86" s="1" t="s">
        <v>794</v>
      </c>
      <c r="C86" s="1" t="n">
        <v>4.375</v>
      </c>
    </row>
    <row r="87" customFormat="false" ht="12.75" hidden="false" customHeight="false" outlineLevel="0" collapsed="false">
      <c r="B87" s="1" t="s">
        <v>795</v>
      </c>
      <c r="C87" s="1" t="n">
        <v>4.39</v>
      </c>
    </row>
    <row r="88" customFormat="false" ht="12.75" hidden="false" customHeight="false" outlineLevel="0" collapsed="false">
      <c r="C88" s="1" t="n">
        <f aca="false">SUM(C84:C87)</f>
        <v>17.275</v>
      </c>
    </row>
    <row r="89" customFormat="false" ht="12.75" hidden="false" customHeight="false" outlineLevel="0" collapsed="false">
      <c r="B89" s="1" t="s">
        <v>796</v>
      </c>
      <c r="C89" s="1" t="n">
        <f aca="false">+C88/4</f>
        <v>4.31875</v>
      </c>
    </row>
    <row r="100" customFormat="false" ht="12.75" hidden="false" customHeight="false" outlineLevel="0" collapsed="false">
      <c r="M100" s="491" t="s">
        <v>797</v>
      </c>
      <c r="N100" s="491" t="s">
        <v>798</v>
      </c>
    </row>
    <row r="101" customFormat="false" ht="12.75" hidden="false" customHeight="false" outlineLevel="0" collapsed="false">
      <c r="B101" s="501" t="s">
        <v>501</v>
      </c>
      <c r="C101" s="493" t="s">
        <v>749</v>
      </c>
      <c r="D101" s="493" t="s">
        <v>750</v>
      </c>
      <c r="E101" s="492" t="s">
        <v>777</v>
      </c>
      <c r="F101" s="492" t="s">
        <v>778</v>
      </c>
      <c r="G101" s="492" t="s">
        <v>799</v>
      </c>
      <c r="H101" s="492" t="s">
        <v>800</v>
      </c>
      <c r="I101" s="492" t="s">
        <v>779</v>
      </c>
      <c r="J101" s="492"/>
      <c r="K101" s="501" t="s">
        <v>761</v>
      </c>
      <c r="L101" s="491" t="s">
        <v>801</v>
      </c>
      <c r="M101" s="491" t="s">
        <v>802</v>
      </c>
      <c r="N101" s="491" t="s">
        <v>803</v>
      </c>
    </row>
    <row r="102" customFormat="false" ht="12.75" hidden="false" customHeight="false" outlineLevel="0" collapsed="false">
      <c r="B102" s="492" t="s">
        <v>780</v>
      </c>
      <c r="C102" s="495" t="n">
        <v>1163</v>
      </c>
      <c r="D102" s="496" t="n">
        <f aca="false">+C102/C105</f>
        <v>0.358397534668721</v>
      </c>
      <c r="E102" s="500" t="e">
        <f aca="false">+#REF!</f>
        <v>#REF!</v>
      </c>
      <c r="F102" s="508" t="n">
        <v>-0.0725</v>
      </c>
      <c r="G102" s="510" t="e">
        <f aca="false">+D102*E102</f>
        <v>#REF!</v>
      </c>
      <c r="H102" s="500" t="n">
        <f aca="false">+F102*D102</f>
        <v>-0.0259838212634823</v>
      </c>
      <c r="I102" s="500" t="n">
        <v>0.2175</v>
      </c>
      <c r="J102" s="492"/>
      <c r="K102" s="511" t="e">
        <f aca="false">(+G102*H102)</f>
        <v>#REF!</v>
      </c>
      <c r="L102" s="491" t="n">
        <f aca="false">+I102-F102</f>
        <v>0.29</v>
      </c>
      <c r="M102" s="491" t="e">
        <f aca="false">+L102-E102</f>
        <v>#REF!</v>
      </c>
      <c r="N102" s="491" t="e">
        <f aca="false">+M102*5</f>
        <v>#REF!</v>
      </c>
      <c r="O102" s="1" t="e">
        <f aca="false">+N102*D102</f>
        <v>#REF!</v>
      </c>
    </row>
    <row r="103" customFormat="false" ht="12.75" hidden="false" customHeight="false" outlineLevel="0" collapsed="false">
      <c r="B103" s="492" t="s">
        <v>781</v>
      </c>
      <c r="C103" s="495" t="n">
        <v>2082</v>
      </c>
      <c r="D103" s="496" t="n">
        <f aca="false">+C103/C105</f>
        <v>0.641602465331279</v>
      </c>
      <c r="E103" s="500" t="e">
        <f aca="false">+#REF!</f>
        <v>#REF!</v>
      </c>
      <c r="F103" s="508" t="n">
        <v>-0.06</v>
      </c>
      <c r="G103" s="510" t="e">
        <f aca="false">+D103*E103</f>
        <v>#REF!</v>
      </c>
      <c r="H103" s="500" t="n">
        <f aca="false">+F103*D103</f>
        <v>-0.0384961479198767</v>
      </c>
      <c r="I103" s="500" t="n">
        <v>0.2175</v>
      </c>
      <c r="J103" s="492"/>
      <c r="K103" s="511" t="e">
        <f aca="false">(+G103*H103)</f>
        <v>#REF!</v>
      </c>
      <c r="L103" s="491" t="n">
        <f aca="false">+I103-F103</f>
        <v>0.2775</v>
      </c>
      <c r="M103" s="491" t="e">
        <f aca="false">+L103-E103</f>
        <v>#REF!</v>
      </c>
      <c r="N103" s="491" t="e">
        <f aca="false">+M103*5</f>
        <v>#REF!</v>
      </c>
      <c r="O103" s="1" t="e">
        <f aca="false">+N103*D103</f>
        <v>#REF!</v>
      </c>
    </row>
    <row r="104" customFormat="false" ht="12.75" hidden="false" customHeight="false" outlineLevel="0" collapsed="false">
      <c r="C104" s="497" t="n">
        <v>0</v>
      </c>
      <c r="D104" s="498" t="n">
        <f aca="false">+C104/C105</f>
        <v>0</v>
      </c>
      <c r="O104" s="1" t="e">
        <f aca="false">SUM(O102:O103)</f>
        <v>#REF!</v>
      </c>
    </row>
    <row r="105" customFormat="false" ht="12.75" hidden="false" customHeight="false" outlineLevel="0" collapsed="false">
      <c r="C105" s="495" t="n">
        <f aca="false">SUM(C102:C104)</f>
        <v>3245</v>
      </c>
      <c r="D105" s="496" t="n">
        <f aca="false">SUM(D102:D104)</f>
        <v>1</v>
      </c>
    </row>
    <row r="106" customFormat="false" ht="12.75" hidden="false" customHeight="false" outlineLevel="0" collapsed="false">
      <c r="C106" s="506" t="n">
        <f aca="false">+C102*F102</f>
        <v>-84.3175</v>
      </c>
    </row>
    <row r="107" customFormat="false" ht="12.75" hidden="false" customHeight="false" outlineLevel="0" collapsed="false">
      <c r="C107" s="506" t="n">
        <f aca="false">+C103*F103</f>
        <v>-124.92</v>
      </c>
    </row>
    <row r="108" customFormat="false" ht="12.75" hidden="false" customHeight="false" outlineLevel="0" collapsed="false">
      <c r="C108" s="506" t="n">
        <f aca="false">+C107+C106</f>
        <v>-209.2375</v>
      </c>
      <c r="D108" s="1" t="n">
        <f aca="false">+C108/C105</f>
        <v>-0.064479969183359</v>
      </c>
      <c r="I108" s="1" t="s">
        <v>73</v>
      </c>
    </row>
    <row r="109" customFormat="false" ht="12.75" hidden="false" customHeight="false" outlineLevel="0" collapsed="false">
      <c r="A109" s="492"/>
      <c r="B109" s="501" t="s">
        <v>501</v>
      </c>
      <c r="C109" s="492" t="s">
        <v>73</v>
      </c>
      <c r="D109" s="493" t="s">
        <v>750</v>
      </c>
      <c r="E109" s="492" t="s">
        <v>804</v>
      </c>
      <c r="F109" s="492" t="s">
        <v>805</v>
      </c>
      <c r="G109" s="1" t="s">
        <v>799</v>
      </c>
      <c r="H109" s="492" t="s">
        <v>800</v>
      </c>
      <c r="I109" s="492" t="s">
        <v>779</v>
      </c>
      <c r="J109" s="492"/>
      <c r="K109" s="501" t="s">
        <v>761</v>
      </c>
    </row>
    <row r="110" customFormat="false" ht="12.75" hidden="false" customHeight="false" outlineLevel="0" collapsed="false">
      <c r="A110" s="492"/>
      <c r="B110" s="492" t="s">
        <v>780</v>
      </c>
      <c r="C110" s="495" t="n">
        <v>1163</v>
      </c>
      <c r="D110" s="496" t="n">
        <f aca="false">+C110/C113</f>
        <v>0.358397534668721</v>
      </c>
      <c r="E110" s="500" t="n">
        <f aca="false">+Rates!H32</f>
        <v>0.197670930726732</v>
      </c>
      <c r="F110" s="508" t="n">
        <v>-0.0725</v>
      </c>
      <c r="G110" s="510" t="n">
        <f aca="false">+D110*E110</f>
        <v>0.0708447742481322</v>
      </c>
      <c r="H110" s="500" t="n">
        <f aca="false">+F110*D110</f>
        <v>-0.0259838212634823</v>
      </c>
      <c r="I110" s="500" t="n">
        <v>0.2175</v>
      </c>
      <c r="J110" s="492"/>
      <c r="K110" s="511" t="n">
        <f aca="false">(+G110*H110)</f>
        <v>-0.00184081795151522</v>
      </c>
      <c r="L110" s="491" t="n">
        <f aca="false">+I110-F110</f>
        <v>0.29</v>
      </c>
      <c r="M110" s="491" t="n">
        <f aca="false">+L110-E110</f>
        <v>0.0923290692732682</v>
      </c>
      <c r="N110" s="491" t="n">
        <f aca="false">+M110*7</f>
        <v>0.646303484912877</v>
      </c>
      <c r="O110" s="1" t="n">
        <f aca="false">+N110*D110</f>
        <v>0.231633575640578</v>
      </c>
    </row>
    <row r="111" customFormat="false" ht="12.75" hidden="false" customHeight="false" outlineLevel="0" collapsed="false">
      <c r="A111" s="492"/>
      <c r="B111" s="492" t="s">
        <v>806</v>
      </c>
      <c r="C111" s="495" t="n">
        <v>2082</v>
      </c>
      <c r="D111" s="496" t="n">
        <f aca="false">+C111/C113</f>
        <v>0.641602465331279</v>
      </c>
      <c r="E111" s="500" t="n">
        <f aca="false">+Rates!H69</f>
        <v>0.105870655720451</v>
      </c>
      <c r="F111" s="500" t="n">
        <v>-0.06</v>
      </c>
      <c r="G111" s="510" t="n">
        <f aca="false">+D111*E111</f>
        <v>0.0679268737164801</v>
      </c>
      <c r="H111" s="500" t="n">
        <f aca="false">+F111*D111</f>
        <v>-0.0384961479198767</v>
      </c>
      <c r="I111" s="500" t="n">
        <v>0.2175</v>
      </c>
      <c r="J111" s="492"/>
      <c r="K111" s="511" t="n">
        <f aca="false">(+G111*H111)</f>
        <v>-0.00261492297832441</v>
      </c>
      <c r="L111" s="491" t="n">
        <f aca="false">+I111-F111</f>
        <v>0.2775</v>
      </c>
      <c r="M111" s="491" t="n">
        <f aca="false">+L111-E111</f>
        <v>0.171629344279549</v>
      </c>
      <c r="N111" s="491" t="n">
        <f aca="false">+M111*7</f>
        <v>1.20140540995685</v>
      </c>
      <c r="O111" s="1" t="n">
        <f aca="false">+N111*D111</f>
        <v>0.770824672890648</v>
      </c>
    </row>
    <row r="112" customFormat="false" ht="12.75" hidden="false" customHeight="false" outlineLevel="0" collapsed="false">
      <c r="A112" s="492"/>
      <c r="B112" s="492"/>
      <c r="C112" s="500" t="n">
        <v>0</v>
      </c>
      <c r="D112" s="498" t="n">
        <f aca="false">+C112/C113</f>
        <v>0</v>
      </c>
      <c r="E112" s="500"/>
      <c r="F112" s="500" t="s">
        <v>73</v>
      </c>
      <c r="H112" s="492"/>
      <c r="I112" s="507"/>
      <c r="J112" s="492"/>
      <c r="O112" s="1" t="n">
        <f aca="false">SUM(O110:O111)</f>
        <v>1.00245824853123</v>
      </c>
    </row>
    <row r="113" customFormat="false" ht="12.75" hidden="false" customHeight="false" outlineLevel="0" collapsed="false">
      <c r="C113" s="495" t="n">
        <f aca="false">SUM(C110:C112)</f>
        <v>3245</v>
      </c>
      <c r="D113" s="496" t="n">
        <f aca="false">SUM(D110:D112)</f>
        <v>1</v>
      </c>
      <c r="M113" s="491" t="n">
        <f aca="false">AVERAGE(M110:M111)</f>
        <v>0.131979206776409</v>
      </c>
    </row>
    <row r="114" customFormat="false" ht="12.75" hidden="false" customHeight="false" outlineLevel="0" collapsed="false">
      <c r="O114" s="1" t="e">
        <f aca="false">+O112+O104</f>
        <v>#REF!</v>
      </c>
    </row>
    <row r="115" customFormat="false" ht="12.75" hidden="false" customHeight="false" outlineLevel="0" collapsed="false">
      <c r="O115" s="1" t="e">
        <f aca="false">+O114/12</f>
        <v>#REF!</v>
      </c>
    </row>
    <row r="116" customFormat="false" ht="12.75" hidden="false" customHeight="false" outlineLevel="0" collapsed="false">
      <c r="M116" s="491" t="n">
        <f aca="false">+M113+M105</f>
        <v>0.131979206776409</v>
      </c>
    </row>
    <row r="131" customFormat="false" ht="12.75" hidden="false" customHeight="false" outlineLevel="0" collapsed="false">
      <c r="B131" s="501" t="s">
        <v>501</v>
      </c>
      <c r="C131" s="493" t="s">
        <v>749</v>
      </c>
      <c r="D131" s="493" t="s">
        <v>750</v>
      </c>
      <c r="E131" s="492" t="s">
        <v>777</v>
      </c>
      <c r="F131" s="492" t="s">
        <v>778</v>
      </c>
      <c r="G131" s="492" t="s">
        <v>799</v>
      </c>
      <c r="H131" s="492" t="s">
        <v>800</v>
      </c>
      <c r="I131" s="492" t="s">
        <v>807</v>
      </c>
      <c r="J131" s="492"/>
      <c r="K131" s="501" t="s">
        <v>73</v>
      </c>
      <c r="L131" s="491" t="s">
        <v>801</v>
      </c>
      <c r="M131" s="491" t="s">
        <v>802</v>
      </c>
      <c r="N131" s="491" t="s">
        <v>803</v>
      </c>
    </row>
    <row r="132" customFormat="false" ht="12.75" hidden="false" customHeight="false" outlineLevel="0" collapsed="false">
      <c r="B132" s="492" t="s">
        <v>782</v>
      </c>
      <c r="C132" s="495" t="n">
        <v>1163</v>
      </c>
      <c r="D132" s="496" t="n">
        <f aca="false">+C132/C135</f>
        <v>0.358397534668721</v>
      </c>
      <c r="E132" s="500" t="e">
        <f aca="false">+#REF!</f>
        <v>#REF!</v>
      </c>
      <c r="F132" s="508" t="n">
        <v>-0.0725</v>
      </c>
      <c r="G132" s="510" t="e">
        <f aca="false">+D132*E132</f>
        <v>#REF!</v>
      </c>
      <c r="H132" s="500" t="n">
        <f aca="false">+F132*D132</f>
        <v>-0.0259838212634823</v>
      </c>
      <c r="I132" s="500" t="n">
        <v>0.2525</v>
      </c>
      <c r="J132" s="492"/>
      <c r="K132" s="511" t="s">
        <v>73</v>
      </c>
      <c r="L132" s="491" t="n">
        <f aca="false">+I132-F132</f>
        <v>0.325</v>
      </c>
      <c r="M132" s="491" t="e">
        <f aca="false">+L132-E132</f>
        <v>#REF!</v>
      </c>
      <c r="N132" s="491" t="e">
        <f aca="false">+M132*5</f>
        <v>#REF!</v>
      </c>
      <c r="O132" s="1" t="e">
        <f aca="false">+N132*D132</f>
        <v>#REF!</v>
      </c>
    </row>
    <row r="133" customFormat="false" ht="12.75" hidden="false" customHeight="false" outlineLevel="0" collapsed="false">
      <c r="B133" s="492" t="s">
        <v>783</v>
      </c>
      <c r="C133" s="495" t="n">
        <v>2082</v>
      </c>
      <c r="D133" s="496" t="n">
        <f aca="false">+C133/C135</f>
        <v>0.641602465331279</v>
      </c>
      <c r="E133" s="500" t="e">
        <f aca="false">+#REF!</f>
        <v>#REF!</v>
      </c>
      <c r="F133" s="508" t="n">
        <v>-0.06</v>
      </c>
      <c r="G133" s="510" t="e">
        <f aca="false">+D133*E133</f>
        <v>#REF!</v>
      </c>
      <c r="H133" s="500" t="n">
        <f aca="false">+F133*D133</f>
        <v>-0.0384961479198767</v>
      </c>
      <c r="I133" s="500" t="n">
        <v>0.2525</v>
      </c>
      <c r="J133" s="492"/>
      <c r="K133" s="511" t="s">
        <v>73</v>
      </c>
      <c r="L133" s="491" t="n">
        <f aca="false">+I133-F133</f>
        <v>0.3125</v>
      </c>
      <c r="M133" s="491" t="e">
        <f aca="false">+L133-E133</f>
        <v>#REF!</v>
      </c>
      <c r="N133" s="491" t="e">
        <f aca="false">+M133*5</f>
        <v>#REF!</v>
      </c>
      <c r="O133" s="1" t="e">
        <f aca="false">+N133*D133</f>
        <v>#REF!</v>
      </c>
    </row>
    <row r="134" customFormat="false" ht="12.75" hidden="false" customHeight="false" outlineLevel="0" collapsed="false">
      <c r="C134" s="497" t="n">
        <v>0</v>
      </c>
      <c r="D134" s="498" t="n">
        <f aca="false">+C134/C135</f>
        <v>0</v>
      </c>
      <c r="O134" s="1" t="e">
        <f aca="false">SUM(O132:O133)</f>
        <v>#REF!</v>
      </c>
    </row>
    <row r="135" customFormat="false" ht="12.75" hidden="false" customHeight="false" outlineLevel="0" collapsed="false">
      <c r="C135" s="495" t="n">
        <f aca="false">SUM(C132:C134)</f>
        <v>3245</v>
      </c>
      <c r="D135" s="496" t="n">
        <f aca="false">SUM(D132:D134)</f>
        <v>1</v>
      </c>
    </row>
    <row r="136" customFormat="false" ht="12.75" hidden="false" customHeight="false" outlineLevel="0" collapsed="false">
      <c r="C136" s="506" t="n">
        <f aca="false">+C132*F132</f>
        <v>-84.3175</v>
      </c>
    </row>
    <row r="137" customFormat="false" ht="12.75" hidden="false" customHeight="false" outlineLevel="0" collapsed="false">
      <c r="C137" s="506" t="n">
        <f aca="false">+C133*F133</f>
        <v>-124.92</v>
      </c>
    </row>
    <row r="138" customFormat="false" ht="12.75" hidden="false" customHeight="false" outlineLevel="0" collapsed="false">
      <c r="C138" s="506" t="n">
        <f aca="false">+C137+C136</f>
        <v>-209.2375</v>
      </c>
      <c r="D138" s="1" t="n">
        <f aca="false">+C138/C135</f>
        <v>-0.064479969183359</v>
      </c>
      <c r="I138" s="1" t="s">
        <v>73</v>
      </c>
    </row>
    <row r="139" customFormat="false" ht="12.75" hidden="false" customHeight="false" outlineLevel="0" collapsed="false">
      <c r="A139" s="492"/>
      <c r="B139" s="501" t="s">
        <v>501</v>
      </c>
      <c r="C139" s="492" t="s">
        <v>73</v>
      </c>
      <c r="D139" s="493" t="s">
        <v>750</v>
      </c>
      <c r="E139" s="492" t="s">
        <v>804</v>
      </c>
      <c r="F139" s="492" t="s">
        <v>805</v>
      </c>
      <c r="G139" s="1" t="s">
        <v>799</v>
      </c>
      <c r="H139" s="492" t="s">
        <v>800</v>
      </c>
      <c r="I139" s="492" t="s">
        <v>779</v>
      </c>
      <c r="J139" s="492"/>
      <c r="K139" s="501" t="s">
        <v>73</v>
      </c>
    </row>
    <row r="140" customFormat="false" ht="12.75" hidden="false" customHeight="false" outlineLevel="0" collapsed="false">
      <c r="A140" s="492"/>
      <c r="B140" s="492" t="s">
        <v>782</v>
      </c>
      <c r="C140" s="495" t="n">
        <v>1163</v>
      </c>
      <c r="D140" s="496" t="n">
        <f aca="false">+C140/C143</f>
        <v>0.358397534668721</v>
      </c>
      <c r="E140" s="500" t="n">
        <f aca="false">+Rates!H37</f>
        <v>0.234904398669671</v>
      </c>
      <c r="F140" s="508" t="n">
        <v>-0.0725</v>
      </c>
      <c r="G140" s="510" t="n">
        <f aca="false">+D140*E140</f>
        <v>0.0841891573660484</v>
      </c>
      <c r="H140" s="500" t="n">
        <f aca="false">+F140*D140</f>
        <v>-0.0259838212634823</v>
      </c>
      <c r="I140" s="500" t="n">
        <v>0.2525</v>
      </c>
      <c r="J140" s="492"/>
      <c r="K140" s="511" t="s">
        <v>73</v>
      </c>
      <c r="L140" s="491" t="n">
        <f aca="false">+I140-F140</f>
        <v>0.325</v>
      </c>
      <c r="M140" s="491" t="n">
        <f aca="false">+L140-E140</f>
        <v>0.0900956013303294</v>
      </c>
      <c r="N140" s="491" t="n">
        <f aca="false">+M140*7</f>
        <v>0.630669209312306</v>
      </c>
      <c r="O140" s="1" t="n">
        <f aca="false">+N140*D140</f>
        <v>0.226030289809002</v>
      </c>
    </row>
    <row r="141" customFormat="false" ht="12.75" hidden="false" customHeight="false" outlineLevel="0" collapsed="false">
      <c r="A141" s="492"/>
      <c r="B141" s="492" t="s">
        <v>808</v>
      </c>
      <c r="C141" s="495" t="n">
        <v>2082</v>
      </c>
      <c r="D141" s="496" t="n">
        <f aca="false">+C141/C143</f>
        <v>0.641602465331279</v>
      </c>
      <c r="E141" s="500" t="n">
        <f aca="false">+Rates!H74</f>
        <v>0.21050531349628</v>
      </c>
      <c r="F141" s="500" t="n">
        <v>-0.06</v>
      </c>
      <c r="G141" s="510" t="n">
        <f aca="false">+D141*E141</f>
        <v>0.135060728104547</v>
      </c>
      <c r="H141" s="500" t="n">
        <f aca="false">+F141*D141</f>
        <v>-0.0384961479198767</v>
      </c>
      <c r="I141" s="500" t="n">
        <v>0.2525</v>
      </c>
      <c r="J141" s="492"/>
      <c r="K141" s="511" t="s">
        <v>73</v>
      </c>
      <c r="L141" s="491" t="n">
        <f aca="false">+I141-F141</f>
        <v>0.3125</v>
      </c>
      <c r="M141" s="491" t="n">
        <f aca="false">+L141-E141</f>
        <v>0.10199468650372</v>
      </c>
      <c r="N141" s="491" t="n">
        <f aca="false">+M141*7</f>
        <v>0.713962805526037</v>
      </c>
      <c r="O141" s="1" t="n">
        <f aca="false">+N141*D141</f>
        <v>0.458080296180342</v>
      </c>
    </row>
    <row r="142" customFormat="false" ht="12.75" hidden="false" customHeight="false" outlineLevel="0" collapsed="false">
      <c r="A142" s="492"/>
      <c r="B142" s="492"/>
      <c r="C142" s="500" t="n">
        <v>0</v>
      </c>
      <c r="D142" s="498" t="n">
        <f aca="false">+C142/C143</f>
        <v>0</v>
      </c>
      <c r="E142" s="500"/>
      <c r="F142" s="500" t="s">
        <v>73</v>
      </c>
      <c r="H142" s="492"/>
      <c r="I142" s="507"/>
      <c r="J142" s="492"/>
      <c r="O142" s="1" t="n">
        <f aca="false">SUM(O140:O141)</f>
        <v>0.684110585989344</v>
      </c>
    </row>
    <row r="143" customFormat="false" ht="12.75" hidden="false" customHeight="false" outlineLevel="0" collapsed="false">
      <c r="C143" s="495" t="n">
        <f aca="false">SUM(C140:C142)</f>
        <v>3245</v>
      </c>
      <c r="D143" s="496" t="n">
        <f aca="false">SUM(D140:D142)</f>
        <v>1</v>
      </c>
      <c r="M143" s="491" t="n">
        <f aca="false">AVERAGE(M140:M141)</f>
        <v>0.0960451439170245</v>
      </c>
    </row>
    <row r="144" customFormat="false" ht="12.75" hidden="false" customHeight="false" outlineLevel="0" collapsed="false">
      <c r="O144" s="1" t="e">
        <f aca="false">+O142+O134</f>
        <v>#REF!</v>
      </c>
    </row>
    <row r="145" customFormat="false" ht="12.75" hidden="false" customHeight="false" outlineLevel="0" collapsed="false">
      <c r="O145" s="1" t="e">
        <f aca="false">+O144/12</f>
        <v>#REF!</v>
      </c>
    </row>
    <row r="146" customFormat="false" ht="12.75" hidden="false" customHeight="false" outlineLevel="0" collapsed="false">
      <c r="M146" s="491" t="n">
        <f aca="false">+M143+M135</f>
        <v>0.0960451439170245</v>
      </c>
    </row>
    <row r="151" customFormat="false" ht="12.75" hidden="false" customHeight="false" outlineLevel="0" collapsed="false">
      <c r="B151" s="501" t="s">
        <v>501</v>
      </c>
      <c r="C151" s="493" t="s">
        <v>749</v>
      </c>
      <c r="D151" s="493" t="s">
        <v>750</v>
      </c>
      <c r="E151" s="492" t="s">
        <v>777</v>
      </c>
      <c r="F151" s="492" t="s">
        <v>778</v>
      </c>
      <c r="G151" s="492" t="s">
        <v>799</v>
      </c>
      <c r="H151" s="492" t="s">
        <v>800</v>
      </c>
      <c r="I151" s="492" t="s">
        <v>809</v>
      </c>
      <c r="J151" s="492"/>
      <c r="K151" s="501" t="s">
        <v>73</v>
      </c>
      <c r="L151" s="491" t="s">
        <v>801</v>
      </c>
      <c r="M151" s="491" t="s">
        <v>802</v>
      </c>
      <c r="N151" s="491" t="s">
        <v>803</v>
      </c>
    </row>
    <row r="152" customFormat="false" ht="12.75" hidden="false" customHeight="false" outlineLevel="0" collapsed="false">
      <c r="B152" s="492" t="s">
        <v>810</v>
      </c>
      <c r="C152" s="495" t="n">
        <v>1163</v>
      </c>
      <c r="D152" s="496" t="n">
        <f aca="false">+C152/C155</f>
        <v>0.358397534668721</v>
      </c>
      <c r="E152" s="500" t="e">
        <f aca="false">+#REF!</f>
        <v>#REF!</v>
      </c>
      <c r="F152" s="508" t="n">
        <v>-0.0725</v>
      </c>
      <c r="G152" s="510" t="e">
        <f aca="false">+D152*E152</f>
        <v>#REF!</v>
      </c>
      <c r="H152" s="500" t="n">
        <f aca="false">+F152*D152</f>
        <v>-0.0259838212634823</v>
      </c>
      <c r="I152" s="500" t="n">
        <v>0.285</v>
      </c>
      <c r="J152" s="492"/>
      <c r="K152" s="511" t="s">
        <v>73</v>
      </c>
      <c r="L152" s="491" t="n">
        <f aca="false">+I152-F152</f>
        <v>0.3575</v>
      </c>
      <c r="M152" s="491" t="e">
        <f aca="false">+L152-E152</f>
        <v>#REF!</v>
      </c>
      <c r="N152" s="491" t="e">
        <f aca="false">+M152*5</f>
        <v>#REF!</v>
      </c>
      <c r="O152" s="1" t="e">
        <f aca="false">+N152*D152</f>
        <v>#REF!</v>
      </c>
    </row>
    <row r="153" customFormat="false" ht="12.75" hidden="false" customHeight="false" outlineLevel="0" collapsed="false">
      <c r="B153" s="492" t="s">
        <v>811</v>
      </c>
      <c r="C153" s="495" t="n">
        <v>2082</v>
      </c>
      <c r="D153" s="496" t="n">
        <f aca="false">+C153/C155</f>
        <v>0.641602465331279</v>
      </c>
      <c r="E153" s="500" t="e">
        <f aca="false">+#REF!</f>
        <v>#REF!</v>
      </c>
      <c r="F153" s="508" t="n">
        <v>-0.06</v>
      </c>
      <c r="G153" s="510" t="e">
        <f aca="false">+D153*E153</f>
        <v>#REF!</v>
      </c>
      <c r="H153" s="500" t="n">
        <f aca="false">+F153*D153</f>
        <v>-0.0384961479198767</v>
      </c>
      <c r="I153" s="500" t="n">
        <v>0.285</v>
      </c>
      <c r="J153" s="492"/>
      <c r="K153" s="511" t="s">
        <v>73</v>
      </c>
      <c r="L153" s="491" t="n">
        <f aca="false">+I153-F153</f>
        <v>0.345</v>
      </c>
      <c r="M153" s="491" t="e">
        <f aca="false">+L153-E153</f>
        <v>#REF!</v>
      </c>
      <c r="N153" s="491" t="e">
        <f aca="false">+M153*5</f>
        <v>#REF!</v>
      </c>
      <c r="O153" s="1" t="e">
        <f aca="false">+N153*D153</f>
        <v>#REF!</v>
      </c>
    </row>
    <row r="154" customFormat="false" ht="12.75" hidden="false" customHeight="false" outlineLevel="0" collapsed="false">
      <c r="C154" s="497" t="n">
        <v>0</v>
      </c>
      <c r="D154" s="498" t="n">
        <f aca="false">+C154/C155</f>
        <v>0</v>
      </c>
      <c r="O154" s="1" t="e">
        <f aca="false">SUM(O152:O153)</f>
        <v>#REF!</v>
      </c>
    </row>
    <row r="155" customFormat="false" ht="12.75" hidden="false" customHeight="false" outlineLevel="0" collapsed="false">
      <c r="C155" s="495" t="n">
        <f aca="false">SUM(C152:C154)</f>
        <v>3245</v>
      </c>
      <c r="D155" s="496" t="n">
        <f aca="false">SUM(D152:D154)</f>
        <v>1</v>
      </c>
    </row>
    <row r="156" customFormat="false" ht="12.75" hidden="false" customHeight="false" outlineLevel="0" collapsed="false">
      <c r="C156" s="506" t="n">
        <f aca="false">+C152*F152</f>
        <v>-84.3175</v>
      </c>
    </row>
    <row r="157" customFormat="false" ht="12.75" hidden="false" customHeight="false" outlineLevel="0" collapsed="false">
      <c r="C157" s="506" t="n">
        <f aca="false">+C153*F153</f>
        <v>-124.92</v>
      </c>
    </row>
    <row r="158" customFormat="false" ht="12.75" hidden="false" customHeight="false" outlineLevel="0" collapsed="false">
      <c r="C158" s="506" t="n">
        <f aca="false">+C157+C156</f>
        <v>-209.2375</v>
      </c>
      <c r="D158" s="1" t="n">
        <f aca="false">+C158/C155</f>
        <v>-0.064479969183359</v>
      </c>
      <c r="I158" s="1" t="s">
        <v>73</v>
      </c>
    </row>
    <row r="159" customFormat="false" ht="12.75" hidden="false" customHeight="false" outlineLevel="0" collapsed="false">
      <c r="B159" s="501" t="s">
        <v>501</v>
      </c>
      <c r="C159" s="492" t="s">
        <v>73</v>
      </c>
      <c r="D159" s="493" t="s">
        <v>750</v>
      </c>
      <c r="E159" s="492" t="s">
        <v>804</v>
      </c>
      <c r="F159" s="492" t="s">
        <v>805</v>
      </c>
      <c r="G159" s="1" t="s">
        <v>799</v>
      </c>
      <c r="H159" s="492" t="s">
        <v>800</v>
      </c>
      <c r="I159" s="492" t="s">
        <v>809</v>
      </c>
      <c r="J159" s="492"/>
      <c r="K159" s="501" t="s">
        <v>73</v>
      </c>
    </row>
    <row r="160" customFormat="false" ht="12.75" hidden="false" customHeight="false" outlineLevel="0" collapsed="false">
      <c r="B160" s="492" t="s">
        <v>810</v>
      </c>
      <c r="C160" s="495" t="n">
        <v>1163</v>
      </c>
      <c r="D160" s="496" t="n">
        <f aca="false">+C160/C163</f>
        <v>0.358397534668721</v>
      </c>
      <c r="E160" s="500" t="n">
        <f aca="false">+Rates!H42</f>
        <v>0.266071037776813</v>
      </c>
      <c r="F160" s="508" t="n">
        <v>-0.0725</v>
      </c>
      <c r="G160" s="510" t="n">
        <f aca="false">+D160*E160</f>
        <v>0.0953592039859579</v>
      </c>
      <c r="H160" s="500" t="n">
        <f aca="false">+F160*D160</f>
        <v>-0.0259838212634823</v>
      </c>
      <c r="I160" s="500" t="n">
        <v>0.285</v>
      </c>
      <c r="J160" s="492"/>
      <c r="K160" s="511" t="s">
        <v>73</v>
      </c>
      <c r="L160" s="491" t="n">
        <f aca="false">+I160-F160</f>
        <v>0.3575</v>
      </c>
      <c r="M160" s="491" t="n">
        <f aca="false">+L160-E160</f>
        <v>0.0914289622231871</v>
      </c>
      <c r="N160" s="491" t="n">
        <f aca="false">+M160*7</f>
        <v>0.64000273556231</v>
      </c>
      <c r="O160" s="1" t="n">
        <f aca="false">+N160*D160</f>
        <v>0.229375402606769</v>
      </c>
    </row>
    <row r="161" customFormat="false" ht="12.75" hidden="false" customHeight="false" outlineLevel="0" collapsed="false">
      <c r="B161" s="492" t="s">
        <v>812</v>
      </c>
      <c r="C161" s="495" t="n">
        <v>2082</v>
      </c>
      <c r="D161" s="496" t="n">
        <f aca="false">+C161/C163</f>
        <v>0.641602465331279</v>
      </c>
      <c r="E161" s="500" t="n">
        <f aca="false">+Rates!H79</f>
        <v>0.241569368885066</v>
      </c>
      <c r="F161" s="500" t="n">
        <v>-0.06</v>
      </c>
      <c r="G161" s="510" t="n">
        <f aca="false">+D161*E161</f>
        <v>0.15499150262518</v>
      </c>
      <c r="H161" s="500" t="n">
        <f aca="false">+F161*D161</f>
        <v>-0.0384961479198767</v>
      </c>
      <c r="I161" s="500" t="n">
        <v>0.285</v>
      </c>
      <c r="J161" s="492"/>
      <c r="K161" s="511" t="s">
        <v>73</v>
      </c>
      <c r="L161" s="491" t="n">
        <f aca="false">+I161-F161</f>
        <v>0.345</v>
      </c>
      <c r="M161" s="491" t="n">
        <f aca="false">+L161-E161</f>
        <v>0.103430631114934</v>
      </c>
      <c r="N161" s="491" t="n">
        <f aca="false">+M161*7</f>
        <v>0.724014417804538</v>
      </c>
      <c r="O161" s="1" t="n">
        <f aca="false">+N161*D161</f>
        <v>0.464529435398782</v>
      </c>
    </row>
    <row r="162" customFormat="false" ht="12.75" hidden="false" customHeight="false" outlineLevel="0" collapsed="false">
      <c r="B162" s="492"/>
      <c r="C162" s="500" t="n">
        <v>0</v>
      </c>
      <c r="D162" s="498" t="n">
        <f aca="false">+C162/C163</f>
        <v>0</v>
      </c>
      <c r="E162" s="500"/>
      <c r="F162" s="500" t="s">
        <v>73</v>
      </c>
      <c r="H162" s="492"/>
      <c r="I162" s="507"/>
      <c r="J162" s="492"/>
      <c r="O162" s="1" t="n">
        <f aca="false">SUM(O160:O161)</f>
        <v>0.693904838005551</v>
      </c>
    </row>
    <row r="163" customFormat="false" ht="12.75" hidden="false" customHeight="false" outlineLevel="0" collapsed="false">
      <c r="C163" s="495" t="n">
        <f aca="false">SUM(C160:C162)</f>
        <v>3245</v>
      </c>
      <c r="D163" s="496" t="n">
        <f aca="false">SUM(D160:D162)</f>
        <v>1</v>
      </c>
      <c r="M163" s="491" t="n">
        <f aca="false">AVERAGE(M160:M161)</f>
        <v>0.0974297966690605</v>
      </c>
    </row>
    <row r="164" customFormat="false" ht="12.75" hidden="false" customHeight="false" outlineLevel="0" collapsed="false">
      <c r="O164" s="1" t="e">
        <f aca="false">+O162+O154</f>
        <v>#REF!</v>
      </c>
    </row>
    <row r="165" customFormat="false" ht="12.75" hidden="false" customHeight="false" outlineLevel="0" collapsed="false">
      <c r="O165" s="1" t="e">
        <f aca="false">+O164/12</f>
        <v>#REF!</v>
      </c>
    </row>
    <row r="166" customFormat="false" ht="12.75" hidden="false" customHeight="false" outlineLevel="0" collapsed="false">
      <c r="M166" s="491" t="n">
        <f aca="false">+M163+M155</f>
        <v>0.0974297966690605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false" hidden="false" outlineLevel="0" max="2" min="2" style="3" width="9.14"/>
    <col collapsed="false" customWidth="false" hidden="false" outlineLevel="0" max="4" min="3" style="2" width="9.14"/>
    <col collapsed="false" customWidth="true" hidden="false" outlineLevel="0" max="5" min="5" style="2" width="11.7"/>
    <col collapsed="false" customWidth="true" hidden="false" outlineLevel="0" max="6" min="6" style="4" width="11.7"/>
    <col collapsed="false" customWidth="true" hidden="false" outlineLevel="0" max="7" min="7" style="5" width="10.85"/>
    <col collapsed="false" customWidth="true" hidden="false" outlineLevel="0" max="8" min="8" style="2" width="10.85"/>
    <col collapsed="false" customWidth="true" hidden="false" outlineLevel="0" max="9" min="9" style="2" width="4.14"/>
    <col collapsed="false" customWidth="false" hidden="false" outlineLevel="0" max="12" min="10" style="2" width="9.14"/>
    <col collapsed="false" customWidth="true" hidden="false" outlineLevel="0" max="14" min="13" style="2" width="10.85"/>
    <col collapsed="false" customWidth="false" hidden="false" outlineLevel="0" max="257" min="15" style="2" width="9.14"/>
  </cols>
  <sheetData>
    <row r="1" customFormat="false" ht="12.75" hidden="false" customHeight="false" outlineLevel="0" collapsed="false">
      <c r="A1" s="2" t="s">
        <v>51</v>
      </c>
    </row>
    <row r="3" customFormat="false" ht="12.75" hidden="false" customHeight="false" outlineLevel="0" collapsed="false">
      <c r="B3" s="3" t="s">
        <v>52</v>
      </c>
      <c r="C3" s="2" t="s">
        <v>53</v>
      </c>
    </row>
    <row r="4" customFormat="false" ht="12.75" hidden="false" customHeight="false" outlineLevel="0" collapsed="false">
      <c r="A4" s="2" t="s">
        <v>54</v>
      </c>
      <c r="B4" s="3" t="s">
        <v>55</v>
      </c>
      <c r="C4" s="2" t="s">
        <v>56</v>
      </c>
      <c r="D4" s="2" t="s">
        <v>57</v>
      </c>
      <c r="E4" s="2" t="s">
        <v>58</v>
      </c>
      <c r="F4" s="4" t="s">
        <v>59</v>
      </c>
      <c r="G4" s="5" t="s">
        <v>60</v>
      </c>
    </row>
    <row r="5" customFormat="false" ht="12.75" hidden="false" customHeight="false" outlineLevel="0" collapsed="false">
      <c r="A5" s="6" t="n">
        <v>37057</v>
      </c>
      <c r="B5" s="3" t="n">
        <v>28.3</v>
      </c>
      <c r="C5" s="2" t="n">
        <v>17</v>
      </c>
      <c r="D5" s="2" t="n">
        <v>53.8</v>
      </c>
      <c r="E5" s="4" t="n">
        <f aca="false">+B5/D5</f>
        <v>0.526022304832714</v>
      </c>
      <c r="H5" s="7"/>
      <c r="M5" s="8"/>
      <c r="N5" s="7"/>
    </row>
    <row r="6" customFormat="false" ht="12.75" hidden="false" customHeight="false" outlineLevel="0" collapsed="false">
      <c r="A6" s="6" t="n">
        <v>37064</v>
      </c>
      <c r="B6" s="3" t="n">
        <v>30.2</v>
      </c>
      <c r="C6" s="2" t="n">
        <v>18.3</v>
      </c>
      <c r="D6" s="2" t="n">
        <v>53.8</v>
      </c>
      <c r="E6" s="4" t="n">
        <f aca="false">+B6/D6</f>
        <v>0.561338289962825</v>
      </c>
      <c r="G6" s="5" t="n">
        <f aca="false">+B6-B5</f>
        <v>1.9</v>
      </c>
      <c r="H6" s="7"/>
      <c r="K6" s="9"/>
      <c r="M6" s="8"/>
      <c r="N6" s="7"/>
    </row>
    <row r="7" customFormat="false" ht="12.75" hidden="false" customHeight="false" outlineLevel="0" collapsed="false">
      <c r="A7" s="6" t="n">
        <v>37071</v>
      </c>
      <c r="B7" s="3" t="n">
        <v>32.6</v>
      </c>
      <c r="C7" s="2" t="n">
        <v>19.6</v>
      </c>
      <c r="D7" s="2" t="n">
        <v>53.8</v>
      </c>
      <c r="E7" s="4" t="n">
        <f aca="false">+B7/D7</f>
        <v>0.605947955390335</v>
      </c>
      <c r="F7" s="4" t="n">
        <v>0.601</v>
      </c>
      <c r="G7" s="5" t="n">
        <f aca="false">+B7-B6</f>
        <v>2.4</v>
      </c>
      <c r="H7" s="7"/>
      <c r="M7" s="8"/>
      <c r="N7" s="7"/>
    </row>
    <row r="8" customFormat="false" ht="12.75" hidden="false" customHeight="false" outlineLevel="0" collapsed="false">
      <c r="A8" s="6" t="n">
        <v>37078</v>
      </c>
      <c r="B8" s="3" t="n">
        <v>34.9</v>
      </c>
      <c r="C8" s="2" t="n">
        <v>0</v>
      </c>
      <c r="D8" s="2" t="n">
        <v>53.8</v>
      </c>
      <c r="E8" s="4" t="n">
        <f aca="false">+B8/D8</f>
        <v>0.648698884758364</v>
      </c>
      <c r="F8" s="4" t="n">
        <v>0</v>
      </c>
      <c r="G8" s="5" t="n">
        <f aca="false">+B8-B7</f>
        <v>2.3</v>
      </c>
      <c r="H8" s="7"/>
      <c r="M8" s="8"/>
      <c r="N8" s="7"/>
    </row>
    <row r="9" customFormat="false" ht="12.75" hidden="false" customHeight="false" outlineLevel="0" collapsed="false">
      <c r="A9" s="6" t="n">
        <v>37085</v>
      </c>
      <c r="B9" s="3" t="n">
        <v>36.6</v>
      </c>
      <c r="C9" s="2" t="n">
        <v>22.9</v>
      </c>
      <c r="D9" s="2" t="n">
        <v>53.8</v>
      </c>
      <c r="E9" s="4" t="n">
        <f aca="false">+B9/D9</f>
        <v>0.680297397769517</v>
      </c>
      <c r="F9" s="4" t="n">
        <v>0</v>
      </c>
      <c r="G9" s="5" t="n">
        <f aca="false">+B9-B8</f>
        <v>1.7</v>
      </c>
      <c r="H9" s="7"/>
      <c r="M9" s="8"/>
      <c r="N9" s="7"/>
    </row>
    <row r="10" customFormat="false" ht="12.75" hidden="false" customHeight="false" outlineLevel="0" collapsed="false">
      <c r="A10" s="6" t="n">
        <f aca="false">+A9+7</f>
        <v>37092</v>
      </c>
      <c r="B10" s="3" t="n">
        <v>37.9</v>
      </c>
      <c r="C10" s="2" t="n">
        <v>24</v>
      </c>
      <c r="D10" s="2" t="n">
        <v>53.8</v>
      </c>
      <c r="E10" s="4" t="n">
        <f aca="false">+B10/D10</f>
        <v>0.704460966542751</v>
      </c>
      <c r="F10" s="4" t="n">
        <v>0</v>
      </c>
      <c r="G10" s="5" t="n">
        <f aca="false">+B10-B9</f>
        <v>1.3</v>
      </c>
      <c r="H10" s="7"/>
      <c r="M10" s="8"/>
      <c r="N10" s="7"/>
    </row>
    <row r="11" customFormat="false" ht="12.75" hidden="false" customHeight="false" outlineLevel="0" collapsed="false">
      <c r="A11" s="6" t="n">
        <f aca="false">+A10+7</f>
        <v>37099</v>
      </c>
      <c r="B11" s="3" t="n">
        <v>38.8</v>
      </c>
      <c r="C11" s="2" t="n">
        <v>25.4</v>
      </c>
      <c r="D11" s="2" t="n">
        <v>53.8</v>
      </c>
      <c r="E11" s="4" t="n">
        <f aca="false">+B11/D11</f>
        <v>0.721189591078067</v>
      </c>
      <c r="F11" s="4" t="n">
        <v>0</v>
      </c>
      <c r="G11" s="5" t="n">
        <f aca="false">+B11-B10</f>
        <v>0.899999999999999</v>
      </c>
      <c r="H11" s="7"/>
      <c r="M11" s="8"/>
      <c r="N11" s="7"/>
    </row>
    <row r="12" customFormat="false" ht="12.75" hidden="false" customHeight="false" outlineLevel="0" collapsed="false">
      <c r="A12" s="6" t="n">
        <f aca="false">+A11+7</f>
        <v>37106</v>
      </c>
      <c r="B12" s="3" t="n">
        <v>39.6</v>
      </c>
      <c r="C12" s="2" t="n">
        <v>27.1</v>
      </c>
      <c r="D12" s="2" t="n">
        <v>53.8</v>
      </c>
      <c r="E12" s="4" t="n">
        <f aca="false">+B12/D12</f>
        <v>0.736059479553903</v>
      </c>
      <c r="F12" s="4" t="n">
        <v>0</v>
      </c>
      <c r="G12" s="5" t="n">
        <f aca="false">+B12-B11</f>
        <v>0.800000000000004</v>
      </c>
      <c r="H12" s="7"/>
      <c r="M12" s="8"/>
      <c r="N12" s="7"/>
    </row>
    <row r="13" customFormat="false" ht="12.75" hidden="false" customHeight="false" outlineLevel="0" collapsed="false">
      <c r="A13" s="6" t="n">
        <f aca="false">+A12+7</f>
        <v>37113</v>
      </c>
      <c r="B13" s="3" t="n">
        <v>40.2</v>
      </c>
      <c r="C13" s="2" t="n">
        <v>27.9</v>
      </c>
      <c r="D13" s="2" t="n">
        <v>53.8</v>
      </c>
      <c r="E13" s="4" t="n">
        <f aca="false">+B13/D13</f>
        <v>0.747211895910781</v>
      </c>
      <c r="F13" s="4" t="n">
        <v>0</v>
      </c>
      <c r="G13" s="5" t="n">
        <f aca="false">+B13-B12</f>
        <v>0.600000000000001</v>
      </c>
      <c r="H13" s="7"/>
      <c r="M13" s="8"/>
      <c r="N13" s="7"/>
    </row>
    <row r="14" customFormat="false" ht="12.75" hidden="false" customHeight="false" outlineLevel="0" collapsed="false">
      <c r="A14" s="6" t="n">
        <f aca="false">+A13+7</f>
        <v>37120</v>
      </c>
      <c r="B14" s="3" t="n">
        <v>41.2</v>
      </c>
      <c r="C14" s="2" t="n">
        <v>28.7</v>
      </c>
      <c r="D14" s="2" t="n">
        <v>53.8</v>
      </c>
      <c r="E14" s="4" t="n">
        <f aca="false">+B14/D14</f>
        <v>0.765799256505576</v>
      </c>
      <c r="F14" s="4" t="n">
        <v>0</v>
      </c>
      <c r="G14" s="5" t="n">
        <f aca="false">+B14-B13</f>
        <v>1</v>
      </c>
      <c r="H14" s="7"/>
      <c r="M14" s="8"/>
      <c r="N14" s="7"/>
    </row>
    <row r="15" customFormat="false" ht="12.75" hidden="false" customHeight="false" outlineLevel="0" collapsed="false">
      <c r="A15" s="6" t="n">
        <f aca="false">+A14+7</f>
        <v>37127</v>
      </c>
      <c r="B15" s="3" t="n">
        <v>41.9</v>
      </c>
      <c r="C15" s="2" t="n">
        <v>29.2</v>
      </c>
      <c r="D15" s="2" t="n">
        <v>53.8</v>
      </c>
      <c r="E15" s="4" t="n">
        <f aca="false">+B15/D15</f>
        <v>0.778810408921933</v>
      </c>
      <c r="F15" s="4" t="n">
        <v>0</v>
      </c>
      <c r="G15" s="5" t="n">
        <f aca="false">+B15-B14</f>
        <v>0.699999999999996</v>
      </c>
      <c r="H15" s="7"/>
      <c r="M15" s="8"/>
      <c r="N15" s="7"/>
    </row>
    <row r="16" customFormat="false" ht="12.75" hidden="false" customHeight="false" outlineLevel="0" collapsed="false">
      <c r="A16" s="6" t="n">
        <f aca="false">+A15+7</f>
        <v>37134</v>
      </c>
      <c r="B16" s="3" t="n">
        <v>42.7</v>
      </c>
      <c r="C16" s="2" t="n">
        <v>30</v>
      </c>
      <c r="D16" s="2" t="n">
        <v>53.8</v>
      </c>
      <c r="E16" s="4" t="n">
        <f aca="false">+B16/D16</f>
        <v>0.79368029739777</v>
      </c>
      <c r="F16" s="4" t="n">
        <v>0</v>
      </c>
      <c r="G16" s="5" t="n">
        <f aca="false">+B16-B15</f>
        <v>0.800000000000004</v>
      </c>
      <c r="H16" s="7"/>
      <c r="M16" s="8"/>
      <c r="N16" s="7"/>
    </row>
    <row r="17" customFormat="false" ht="12.75" hidden="false" customHeight="false" outlineLevel="0" collapsed="false">
      <c r="A17" s="6" t="n">
        <f aca="false">+A16+7</f>
        <v>37141</v>
      </c>
      <c r="B17" s="3" t="n">
        <v>44.2</v>
      </c>
      <c r="C17" s="2" t="n">
        <v>31.7</v>
      </c>
      <c r="D17" s="2" t="n">
        <v>53.8</v>
      </c>
      <c r="E17" s="4" t="n">
        <f aca="false">+B17/D17</f>
        <v>0.821561338289963</v>
      </c>
      <c r="F17" s="4" t="n">
        <v>0</v>
      </c>
      <c r="G17" s="5" t="n">
        <f aca="false">+B17-B16</f>
        <v>1.5</v>
      </c>
      <c r="H17" s="7"/>
      <c r="M17" s="8"/>
      <c r="N17" s="7"/>
    </row>
    <row r="18" customFormat="false" ht="12.75" hidden="false" customHeight="false" outlineLevel="0" collapsed="false">
      <c r="A18" s="6" t="n">
        <f aca="false">+A17+7</f>
        <v>37148</v>
      </c>
      <c r="B18" s="3" t="n">
        <v>45.1</v>
      </c>
      <c r="C18" s="2" t="n">
        <v>34.3</v>
      </c>
      <c r="D18" s="2" t="n">
        <v>53.8</v>
      </c>
      <c r="E18" s="4" t="n">
        <f aca="false">+B18/D18</f>
        <v>0.838289962825279</v>
      </c>
      <c r="F18" s="4" t="n">
        <v>0</v>
      </c>
      <c r="G18" s="5" t="n">
        <f aca="false">+B18-B17</f>
        <v>0.899999999999999</v>
      </c>
      <c r="H18" s="7"/>
      <c r="M18" s="8"/>
      <c r="N18" s="7"/>
    </row>
    <row r="19" customFormat="false" ht="12.75" hidden="false" customHeight="false" outlineLevel="0" collapsed="false">
      <c r="A19" s="6" t="n">
        <f aca="false">+A18+7</f>
        <v>37155</v>
      </c>
      <c r="B19" s="3" t="n">
        <v>46.3</v>
      </c>
      <c r="C19" s="2" t="s">
        <v>61</v>
      </c>
      <c r="D19" s="2" t="n">
        <v>53.8</v>
      </c>
      <c r="E19" s="4" t="n">
        <f aca="false">+B19/D19</f>
        <v>0.860594795539033</v>
      </c>
      <c r="F19" s="4" t="n">
        <v>0</v>
      </c>
      <c r="G19" s="5" t="n">
        <f aca="false">+B19-B18</f>
        <v>1.2</v>
      </c>
      <c r="H19" s="7"/>
      <c r="M19" s="8"/>
      <c r="N19" s="7"/>
    </row>
    <row r="20" customFormat="false" ht="12.75" hidden="false" customHeight="false" outlineLevel="0" collapsed="false">
      <c r="A20" s="6" t="n">
        <f aca="false">+A19+7</f>
        <v>37162</v>
      </c>
      <c r="B20" s="3" t="n">
        <v>47.9</v>
      </c>
      <c r="C20" s="2" t="n">
        <v>37.5</v>
      </c>
      <c r="D20" s="2" t="n">
        <v>53.8</v>
      </c>
      <c r="E20" s="4" t="n">
        <f aca="false">+B20/D20</f>
        <v>0.890334572490706</v>
      </c>
      <c r="F20" s="4" t="n">
        <v>0</v>
      </c>
      <c r="G20" s="5" t="n">
        <f aca="false">+B20-B19</f>
        <v>1.6</v>
      </c>
      <c r="H20" s="7"/>
      <c r="M20" s="8"/>
      <c r="N20" s="7"/>
    </row>
    <row r="21" customFormat="false" ht="12.75" hidden="false" customHeight="false" outlineLevel="0" collapsed="false">
      <c r="A21" s="6" t="n">
        <f aca="false">+A20+7</f>
        <v>37169</v>
      </c>
      <c r="B21" s="3" t="n">
        <v>49.2</v>
      </c>
      <c r="C21" s="2" t="n">
        <v>39.2</v>
      </c>
      <c r="D21" s="2" t="n">
        <v>53.8</v>
      </c>
      <c r="E21" s="4" t="n">
        <f aca="false">+B21/D21</f>
        <v>0.914498141263941</v>
      </c>
      <c r="F21" s="4" t="n">
        <v>0</v>
      </c>
      <c r="G21" s="5" t="n">
        <f aca="false">+B21-B20</f>
        <v>1.3</v>
      </c>
      <c r="H21" s="7"/>
      <c r="M21" s="8"/>
      <c r="N21" s="7"/>
    </row>
    <row r="22" customFormat="false" ht="12.75" hidden="false" customHeight="false" outlineLevel="0" collapsed="false">
      <c r="D22" s="10"/>
      <c r="H22" s="10"/>
      <c r="J22" s="11"/>
      <c r="K22" s="12"/>
      <c r="M22" s="8"/>
      <c r="N22" s="7"/>
    </row>
    <row r="23" customFormat="false" ht="12.75" hidden="false" customHeight="false" outlineLevel="0" collapsed="false">
      <c r="C23" s="13"/>
      <c r="D23" s="14"/>
      <c r="G23" s="15"/>
      <c r="H23" s="14"/>
      <c r="J23" s="13"/>
      <c r="K23" s="14"/>
      <c r="M23" s="13"/>
      <c r="N23" s="16"/>
      <c r="O23" s="14"/>
    </row>
    <row r="24" customFormat="false" ht="12.75" hidden="false" customHeight="false" outlineLevel="0" collapsed="false">
      <c r="B24" s="3" t="n">
        <f aca="false">+B11-B9</f>
        <v>2.2</v>
      </c>
      <c r="C24" s="11"/>
      <c r="D24" s="17"/>
      <c r="H24" s="17"/>
      <c r="J24" s="11"/>
      <c r="K24" s="17"/>
    </row>
    <row r="25" customFormat="false" ht="12.75" hidden="false" customHeight="false" outlineLevel="0" collapsed="false">
      <c r="B25" s="3" t="n">
        <f aca="false">+B24/2</f>
        <v>1.1</v>
      </c>
      <c r="H25" s="7"/>
      <c r="M25" s="8"/>
      <c r="N25" s="7"/>
    </row>
    <row r="26" customFormat="false" ht="12.75" hidden="false" customHeight="false" outlineLevel="0" collapsed="false">
      <c r="H26" s="7"/>
      <c r="M26" s="8"/>
      <c r="N26" s="7"/>
    </row>
    <row r="27" customFormat="false" ht="12.75" hidden="false" customHeight="false" outlineLevel="0" collapsed="false">
      <c r="A27" s="2" t="s">
        <v>62</v>
      </c>
      <c r="D27" s="12"/>
      <c r="H27" s="7"/>
      <c r="K27" s="9"/>
      <c r="M27" s="8"/>
      <c r="N27" s="7"/>
    </row>
    <row r="28" customFormat="false" ht="12.75" hidden="false" customHeight="false" outlineLevel="0" collapsed="false">
      <c r="B28" s="3" t="s">
        <v>63</v>
      </c>
      <c r="C28" s="2" t="n">
        <v>0.55</v>
      </c>
      <c r="D28" s="2" t="s">
        <v>64</v>
      </c>
      <c r="E28" s="18" t="n">
        <v>37117</v>
      </c>
      <c r="F28" s="4" t="s">
        <v>65</v>
      </c>
      <c r="H28" s="7"/>
      <c r="M28" s="8"/>
      <c r="N28" s="7"/>
    </row>
    <row r="29" customFormat="false" ht="12.75" hidden="false" customHeight="false" outlineLevel="0" collapsed="false">
      <c r="H29" s="7"/>
      <c r="M29" s="8"/>
      <c r="N29" s="7"/>
      <c r="O29" s="12"/>
    </row>
    <row r="30" customFormat="false" ht="12.75" hidden="false" customHeight="false" outlineLevel="0" collapsed="false">
      <c r="B30" s="3" t="s">
        <v>66</v>
      </c>
      <c r="H30" s="7"/>
      <c r="M30" s="8"/>
      <c r="N30" s="7"/>
      <c r="O30" s="12"/>
    </row>
    <row r="31" customFormat="false" ht="12.75" hidden="false" customHeight="false" outlineLevel="0" collapsed="false">
      <c r="B31" s="3" t="s">
        <v>67</v>
      </c>
      <c r="C31" s="2" t="n">
        <v>0.38</v>
      </c>
      <c r="H31" s="7"/>
      <c r="M31" s="8"/>
      <c r="N31" s="7"/>
    </row>
    <row r="32" customFormat="false" ht="12.75" hidden="false" customHeight="false" outlineLevel="0" collapsed="false">
      <c r="B32" s="3" t="s">
        <v>68</v>
      </c>
      <c r="C32" s="2" t="n">
        <v>0.38</v>
      </c>
      <c r="H32" s="7"/>
      <c r="M32" s="8"/>
      <c r="N32" s="7"/>
    </row>
    <row r="33" customFormat="false" ht="12.75" hidden="false" customHeight="false" outlineLevel="0" collapsed="false">
      <c r="H33" s="7"/>
      <c r="M33" s="8"/>
      <c r="N33" s="7"/>
    </row>
    <row r="34" customFormat="false" ht="12.75" hidden="false" customHeight="false" outlineLevel="0" collapsed="false">
      <c r="A34" s="2" t="s">
        <v>69</v>
      </c>
      <c r="D34" s="9"/>
      <c r="H34" s="7"/>
      <c r="M34" s="8"/>
      <c r="N34" s="7"/>
    </row>
    <row r="35" customFormat="false" ht="12.75" hidden="false" customHeight="false" outlineLevel="0" collapsed="false">
      <c r="B35" s="3" t="s">
        <v>70</v>
      </c>
      <c r="D35" s="9"/>
      <c r="H35" s="7"/>
      <c r="M35" s="8"/>
      <c r="N35" s="7"/>
    </row>
    <row r="36" customFormat="false" ht="12.75" hidden="false" customHeight="false" outlineLevel="0" collapsed="false">
      <c r="B36" s="3" t="s">
        <v>67</v>
      </c>
      <c r="H36" s="7"/>
      <c r="M36" s="8"/>
      <c r="N36" s="7"/>
    </row>
    <row r="37" customFormat="false" ht="12.75" hidden="false" customHeight="false" outlineLevel="0" collapsed="false">
      <c r="B37" s="3" t="s">
        <v>71</v>
      </c>
      <c r="H37" s="7"/>
      <c r="M37" s="8"/>
      <c r="N37" s="7"/>
    </row>
    <row r="38" customFormat="false" ht="12.75" hidden="false" customHeight="false" outlineLevel="0" collapsed="false">
      <c r="H38" s="7"/>
      <c r="M38" s="8"/>
      <c r="N38" s="7"/>
    </row>
    <row r="39" customFormat="false" ht="12.75" hidden="false" customHeight="false" outlineLevel="0" collapsed="false">
      <c r="H39" s="7"/>
      <c r="M39" s="8"/>
      <c r="N39" s="7"/>
    </row>
    <row r="40" customFormat="false" ht="12.75" hidden="false" customHeight="false" outlineLevel="0" collapsed="false">
      <c r="H40" s="7"/>
      <c r="M40" s="8"/>
      <c r="N40" s="7"/>
    </row>
    <row r="41" customFormat="false" ht="12.75" hidden="false" customHeight="false" outlineLevel="0" collapsed="false">
      <c r="H41" s="7"/>
      <c r="M41" s="8"/>
      <c r="N41" s="7"/>
    </row>
    <row r="42" customFormat="false" ht="12.75" hidden="false" customHeight="false" outlineLevel="0" collapsed="false">
      <c r="H42" s="7"/>
      <c r="M42" s="8"/>
      <c r="N42" s="7"/>
    </row>
    <row r="43" customFormat="false" ht="12.75" hidden="false" customHeight="false" outlineLevel="0" collapsed="false">
      <c r="H43" s="7"/>
      <c r="M43" s="8"/>
      <c r="N43" s="7"/>
    </row>
    <row r="44" customFormat="false" ht="12.75" hidden="false" customHeight="false" outlineLevel="0" collapsed="false">
      <c r="H44" s="7"/>
      <c r="M44" s="8"/>
      <c r="N44" s="7"/>
    </row>
    <row r="45" customFormat="false" ht="12.75" hidden="false" customHeight="false" outlineLevel="0" collapsed="false">
      <c r="H45" s="7"/>
      <c r="M45" s="8"/>
      <c r="N4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11.28"/>
    <col collapsed="false" customWidth="true" hidden="false" outlineLevel="0" max="2" min="2" style="20" width="11.99"/>
    <col collapsed="false" customWidth="true" hidden="false" outlineLevel="0" max="3" min="3" style="20" width="17.14"/>
    <col collapsed="false" customWidth="true" hidden="false" outlineLevel="0" max="4" min="4" style="21" width="14.41"/>
    <col collapsed="false" customWidth="true" hidden="false" outlineLevel="0" max="5" min="5" style="21" width="3.7"/>
    <col collapsed="false" customWidth="true" hidden="false" outlineLevel="0" max="6" min="6" style="19" width="11.28"/>
    <col collapsed="false" customWidth="true" hidden="false" outlineLevel="0" max="7" min="7" style="22" width="15.56"/>
    <col collapsed="false" customWidth="true" hidden="false" outlineLevel="0" max="8" min="8" style="22" width="13.99"/>
    <col collapsed="false" customWidth="false" hidden="false" outlineLevel="0" max="9" min="9" style="19" width="9.14"/>
    <col collapsed="false" customWidth="true" hidden="false" outlineLevel="0" max="10" min="10" style="19" width="13.7"/>
    <col collapsed="false" customWidth="false" hidden="false" outlineLevel="0" max="11" min="11" style="19" width="9.14"/>
    <col collapsed="false" customWidth="true" hidden="false" outlineLevel="0" max="12" min="12" style="19" width="12.42"/>
    <col collapsed="false" customWidth="false" hidden="false" outlineLevel="0" max="257" min="13" style="19" width="9.14"/>
  </cols>
  <sheetData>
    <row r="1" customFormat="false" ht="12.75" hidden="false" customHeight="false" outlineLevel="0" collapsed="false">
      <c r="A1" s="23" t="s">
        <v>72</v>
      </c>
      <c r="D1" s="20"/>
      <c r="E1" s="20"/>
      <c r="F1" s="24"/>
      <c r="G1" s="23"/>
      <c r="H1" s="23"/>
      <c r="I1" s="25"/>
      <c r="J1" s="26"/>
    </row>
    <row r="2" customFormat="false" ht="12.75" hidden="false" customHeight="false" outlineLevel="0" collapsed="false">
      <c r="A2" s="23"/>
      <c r="D2" s="27"/>
      <c r="E2" s="27"/>
      <c r="F2" s="24"/>
      <c r="G2" s="23"/>
      <c r="H2" s="23"/>
      <c r="I2" s="25"/>
      <c r="J2" s="26"/>
    </row>
    <row r="3" customFormat="false" ht="12.75" hidden="false" customHeight="false" outlineLevel="0" collapsed="false">
      <c r="A3" s="23"/>
      <c r="D3" s="27"/>
      <c r="E3" s="27"/>
      <c r="F3" s="24"/>
      <c r="G3" s="23" t="s">
        <v>73</v>
      </c>
      <c r="H3" s="23" t="s">
        <v>73</v>
      </c>
      <c r="I3" s="25"/>
      <c r="J3" s="26"/>
    </row>
    <row r="4" customFormat="false" ht="12.75" hidden="false" customHeight="false" outlineLevel="0" collapsed="false">
      <c r="A4" s="25"/>
      <c r="D4" s="20"/>
      <c r="E4" s="20"/>
      <c r="F4" s="24"/>
      <c r="G4" s="28"/>
      <c r="H4" s="23"/>
      <c r="I4" s="25"/>
      <c r="J4" s="26"/>
    </row>
    <row r="5" customFormat="false" ht="12.75" hidden="false" customHeight="false" outlineLevel="0" collapsed="false">
      <c r="A5" s="29" t="s">
        <v>74</v>
      </c>
      <c r="B5" s="30" t="s">
        <v>75</v>
      </c>
      <c r="C5" s="30" t="s">
        <v>76</v>
      </c>
      <c r="D5" s="30" t="s">
        <v>77</v>
      </c>
      <c r="E5" s="30"/>
      <c r="F5" s="31" t="s">
        <v>78</v>
      </c>
      <c r="G5" s="32" t="s">
        <v>79</v>
      </c>
      <c r="H5" s="32" t="s">
        <v>80</v>
      </c>
      <c r="I5" s="29" t="s">
        <v>78</v>
      </c>
      <c r="J5" s="32" t="s">
        <v>81</v>
      </c>
    </row>
    <row r="6" customFormat="false" ht="12.75" hidden="false" customHeight="false" outlineLevel="0" collapsed="false">
      <c r="A6" s="25" t="s">
        <v>82</v>
      </c>
      <c r="B6" s="20" t="n">
        <v>0.3051</v>
      </c>
      <c r="C6" s="20" t="n">
        <v>77177</v>
      </c>
      <c r="D6" s="20" t="s">
        <v>83</v>
      </c>
      <c r="E6" s="20"/>
      <c r="F6" s="24"/>
      <c r="G6" s="23" t="s">
        <v>84</v>
      </c>
      <c r="H6" s="23" t="s">
        <v>84</v>
      </c>
      <c r="I6" s="25" t="s">
        <v>61</v>
      </c>
      <c r="J6" s="23" t="s">
        <v>85</v>
      </c>
    </row>
    <row r="7" customFormat="false" ht="12.75" hidden="false" customHeight="false" outlineLevel="0" collapsed="false">
      <c r="A7" s="25" t="s">
        <v>82</v>
      </c>
      <c r="B7" s="20" t="n">
        <v>0.4983</v>
      </c>
      <c r="C7" s="20" t="n">
        <v>77169</v>
      </c>
      <c r="D7" s="20" t="s">
        <v>83</v>
      </c>
      <c r="E7" s="20"/>
      <c r="F7" s="24"/>
      <c r="G7" s="23" t="s">
        <v>84</v>
      </c>
      <c r="H7" s="23" t="s">
        <v>84</v>
      </c>
      <c r="I7" s="25" t="s">
        <v>61</v>
      </c>
      <c r="J7" s="23" t="s">
        <v>86</v>
      </c>
    </row>
    <row r="8" customFormat="false" ht="12.75" hidden="false" customHeight="false" outlineLevel="0" collapsed="false">
      <c r="A8" s="25" t="s">
        <v>82</v>
      </c>
      <c r="B8" s="20" t="n">
        <v>0.2999</v>
      </c>
      <c r="D8" s="20" t="s">
        <v>83</v>
      </c>
      <c r="E8" s="20"/>
      <c r="F8" s="24"/>
      <c r="G8" s="23" t="s">
        <v>84</v>
      </c>
      <c r="H8" s="23" t="s">
        <v>84</v>
      </c>
      <c r="I8" s="25" t="s">
        <v>61</v>
      </c>
      <c r="J8" s="23" t="s">
        <v>86</v>
      </c>
    </row>
    <row r="9" customFormat="false" ht="12.75" hidden="false" customHeight="false" outlineLevel="0" collapsed="false">
      <c r="A9" s="25" t="s">
        <v>82</v>
      </c>
      <c r="B9" s="20" t="n">
        <v>0.2774</v>
      </c>
      <c r="C9" s="20" t="n">
        <v>77175</v>
      </c>
      <c r="D9" s="20" t="s">
        <v>83</v>
      </c>
      <c r="E9" s="20"/>
      <c r="F9" s="24"/>
      <c r="G9" s="23" t="s">
        <v>84</v>
      </c>
      <c r="H9" s="23" t="s">
        <v>84</v>
      </c>
      <c r="I9" s="25" t="s">
        <v>61</v>
      </c>
      <c r="J9" s="23" t="s">
        <v>86</v>
      </c>
    </row>
    <row r="10" customFormat="false" ht="12.75" hidden="false" customHeight="false" outlineLevel="0" collapsed="false">
      <c r="A10" s="25" t="s">
        <v>82</v>
      </c>
      <c r="B10" s="20" t="n">
        <v>0.7537</v>
      </c>
      <c r="C10" s="20" t="n">
        <v>82420</v>
      </c>
      <c r="D10" s="20" t="s">
        <v>87</v>
      </c>
      <c r="E10" s="20"/>
      <c r="F10" s="24"/>
      <c r="G10" s="23" t="s">
        <v>84</v>
      </c>
      <c r="H10" s="23" t="s">
        <v>84</v>
      </c>
      <c r="I10" s="25" t="s">
        <v>61</v>
      </c>
      <c r="J10" s="23" t="s">
        <v>88</v>
      </c>
    </row>
    <row r="11" customFormat="false" ht="12.75" hidden="false" customHeight="false" outlineLevel="0" collapsed="false">
      <c r="A11" s="25" t="s">
        <v>82</v>
      </c>
      <c r="B11" s="20" t="n">
        <v>3.073</v>
      </c>
      <c r="C11" s="20" t="n">
        <v>96503</v>
      </c>
      <c r="D11" s="20" t="s">
        <v>89</v>
      </c>
      <c r="E11" s="20"/>
      <c r="F11" s="24"/>
      <c r="G11" s="23" t="s">
        <v>84</v>
      </c>
      <c r="H11" s="23" t="s">
        <v>84</v>
      </c>
      <c r="I11" s="25" t="s">
        <v>61</v>
      </c>
      <c r="J11" s="23" t="s">
        <v>90</v>
      </c>
    </row>
    <row r="12" customFormat="false" ht="12.75" hidden="false" customHeight="false" outlineLevel="0" collapsed="false">
      <c r="A12" s="25" t="s">
        <v>82</v>
      </c>
      <c r="B12" s="20" t="n">
        <v>1.8793</v>
      </c>
      <c r="C12" s="20" t="n">
        <v>104783</v>
      </c>
      <c r="D12" s="20" t="s">
        <v>91</v>
      </c>
      <c r="E12" s="20"/>
      <c r="F12" s="24"/>
      <c r="G12" s="23" t="s">
        <v>84</v>
      </c>
      <c r="H12" s="23" t="s">
        <v>84</v>
      </c>
      <c r="I12" s="25" t="s">
        <v>61</v>
      </c>
      <c r="J12" s="23" t="s">
        <v>92</v>
      </c>
    </row>
    <row r="13" customFormat="false" ht="12.75" hidden="false" customHeight="false" outlineLevel="0" collapsed="false">
      <c r="A13" s="25" t="s">
        <v>82</v>
      </c>
      <c r="B13" s="20" t="n">
        <v>0.9047</v>
      </c>
      <c r="C13" s="20" t="n">
        <v>168466</v>
      </c>
      <c r="D13" s="20" t="s">
        <v>93</v>
      </c>
      <c r="E13" s="20"/>
      <c r="F13" s="24"/>
      <c r="G13" s="23" t="s">
        <v>84</v>
      </c>
      <c r="H13" s="23" t="s">
        <v>84</v>
      </c>
      <c r="I13" s="25" t="s">
        <v>61</v>
      </c>
      <c r="J13" s="23" t="s">
        <v>94</v>
      </c>
    </row>
    <row r="15" customFormat="false" ht="12.75" hidden="false" customHeight="false" outlineLevel="0" collapsed="false">
      <c r="A15" s="19" t="s">
        <v>95</v>
      </c>
      <c r="B15" s="20" t="s">
        <v>96</v>
      </c>
    </row>
    <row r="17" customFormat="false" ht="12.75" hidden="false" customHeight="false" outlineLevel="0" collapsed="false">
      <c r="A17" s="19" t="s">
        <v>97</v>
      </c>
      <c r="B17" s="20" t="n">
        <v>2891</v>
      </c>
      <c r="D17" s="21" t="s">
        <v>83</v>
      </c>
      <c r="G17" s="22" t="s">
        <v>84</v>
      </c>
      <c r="H17" s="22" t="s">
        <v>84</v>
      </c>
    </row>
    <row r="18" customFormat="false" ht="12.75" hidden="false" customHeight="false" outlineLevel="0" collapsed="false">
      <c r="A18" s="19" t="s">
        <v>97</v>
      </c>
      <c r="B18" s="20" t="n">
        <v>80045</v>
      </c>
      <c r="D18" s="21" t="s">
        <v>61</v>
      </c>
    </row>
    <row r="20" customFormat="false" ht="12.75" hidden="false" customHeight="false" outlineLevel="0" collapsed="false">
      <c r="A20" s="19" t="s">
        <v>98</v>
      </c>
      <c r="B20" s="20" t="s">
        <v>99</v>
      </c>
      <c r="C20" s="20" t="n">
        <v>98243</v>
      </c>
      <c r="D20" s="21" t="s">
        <v>100</v>
      </c>
      <c r="G20" s="22" t="s">
        <v>84</v>
      </c>
      <c r="H20" s="22" t="s">
        <v>84</v>
      </c>
      <c r="J20" s="19" t="s">
        <v>101</v>
      </c>
    </row>
    <row r="21" customFormat="false" ht="12.75" hidden="false" customHeight="false" outlineLevel="0" collapsed="false">
      <c r="A21" s="19" t="s">
        <v>98</v>
      </c>
      <c r="B21" s="20" t="s">
        <v>99</v>
      </c>
      <c r="C21" s="20" t="n">
        <v>98567</v>
      </c>
      <c r="D21" s="21" t="s">
        <v>102</v>
      </c>
      <c r="G21" s="22" t="s">
        <v>84</v>
      </c>
      <c r="H21" s="22" t="s">
        <v>84</v>
      </c>
      <c r="J21" s="19" t="s">
        <v>103</v>
      </c>
    </row>
    <row r="22" customFormat="false" ht="12.75" hidden="false" customHeight="false" outlineLevel="0" collapsed="false">
      <c r="A22" s="19" t="s">
        <v>98</v>
      </c>
      <c r="B22" s="20" t="n">
        <v>600228</v>
      </c>
      <c r="C22" s="20" t="n">
        <v>77009</v>
      </c>
      <c r="D22" s="21" t="s">
        <v>104</v>
      </c>
      <c r="G22" s="22" t="s">
        <v>84</v>
      </c>
      <c r="H22" s="22" t="s">
        <v>84</v>
      </c>
      <c r="J22" s="19" t="s">
        <v>105</v>
      </c>
    </row>
    <row r="24" customFormat="false" ht="12.75" hidden="false" customHeight="false" outlineLevel="0" collapsed="false">
      <c r="A24" s="19" t="s">
        <v>106</v>
      </c>
      <c r="B24" s="20" t="s">
        <v>107</v>
      </c>
      <c r="C24" s="20" t="n">
        <v>168569</v>
      </c>
      <c r="D24" s="21" t="s">
        <v>108</v>
      </c>
      <c r="G24" s="22" t="s">
        <v>84</v>
      </c>
      <c r="H24" s="22" t="s">
        <v>84</v>
      </c>
      <c r="J24" s="19" t="s">
        <v>109</v>
      </c>
    </row>
    <row r="26" customFormat="false" ht="12.75" hidden="false" customHeight="false" outlineLevel="0" collapsed="false">
      <c r="A26" s="19" t="s">
        <v>110</v>
      </c>
      <c r="B26" s="20" t="n">
        <v>9310010</v>
      </c>
      <c r="D26" s="21" t="s">
        <v>111</v>
      </c>
    </row>
    <row r="28" customFormat="false" ht="12.75" hidden="false" customHeight="false" outlineLevel="0" collapsed="false">
      <c r="A28" s="19" t="s">
        <v>112</v>
      </c>
      <c r="B28" s="20" t="n">
        <v>38641</v>
      </c>
      <c r="C28" s="20" t="n">
        <v>93039</v>
      </c>
      <c r="D28" s="21" t="s">
        <v>113</v>
      </c>
      <c r="J28" s="19" t="s">
        <v>114</v>
      </c>
    </row>
    <row r="29" customFormat="false" ht="12.75" hidden="false" customHeight="false" outlineLevel="0" collapsed="false">
      <c r="A29" s="19" t="s">
        <v>112</v>
      </c>
      <c r="B29" s="20" t="n">
        <v>37556</v>
      </c>
      <c r="C29" s="20" t="n">
        <v>93037</v>
      </c>
      <c r="D29" s="21" t="s">
        <v>115</v>
      </c>
      <c r="J29" s="19" t="s">
        <v>116</v>
      </c>
    </row>
    <row r="30" customFormat="false" ht="12.75" hidden="false" customHeight="false" outlineLevel="0" collapsed="false">
      <c r="A30" s="19" t="s">
        <v>112</v>
      </c>
      <c r="B30" s="20" t="n">
        <v>39229</v>
      </c>
      <c r="C30" s="20" t="n">
        <v>93030</v>
      </c>
      <c r="D30" s="21" t="s">
        <v>117</v>
      </c>
      <c r="J30" s="19" t="s">
        <v>118</v>
      </c>
    </row>
    <row r="33" customFormat="false" ht="12.75" hidden="false" customHeight="false" outlineLevel="0" collapsed="false">
      <c r="A33" s="19" t="s">
        <v>119</v>
      </c>
      <c r="B33" s="20" t="n">
        <v>40998</v>
      </c>
      <c r="D33" s="21" t="s">
        <v>83</v>
      </c>
    </row>
    <row r="34" customFormat="false" ht="12.75" hidden="false" customHeight="false" outlineLevel="0" collapsed="false">
      <c r="A34" s="19" t="s">
        <v>119</v>
      </c>
      <c r="B34" s="20" t="n">
        <v>38021</v>
      </c>
      <c r="C34" s="20" t="n">
        <v>166118</v>
      </c>
      <c r="D34" s="21" t="s">
        <v>120</v>
      </c>
      <c r="G34" s="22" t="s">
        <v>84</v>
      </c>
      <c r="H34" s="22" t="s">
        <v>84</v>
      </c>
      <c r="J34" s="19" t="s">
        <v>109</v>
      </c>
    </row>
    <row r="36" customFormat="false" ht="12.75" hidden="false" customHeight="false" outlineLevel="0" collapsed="false">
      <c r="A36" s="19" t="s">
        <v>121</v>
      </c>
      <c r="B36" s="20" t="s">
        <v>122</v>
      </c>
      <c r="C36" s="20" t="n">
        <v>102637</v>
      </c>
      <c r="D36" s="21" t="s">
        <v>123</v>
      </c>
      <c r="F36" s="19" t="n">
        <v>60000</v>
      </c>
      <c r="J36" s="19" t="s">
        <v>124</v>
      </c>
    </row>
    <row r="37" customFormat="false" ht="12.75" hidden="false" customHeight="false" outlineLevel="0" collapsed="false">
      <c r="A37" s="19" t="s">
        <v>121</v>
      </c>
      <c r="B37" s="20" t="s">
        <v>125</v>
      </c>
      <c r="C37" s="20" t="n">
        <v>549343</v>
      </c>
    </row>
    <row r="38" customFormat="false" ht="12.75" hidden="false" customHeight="false" outlineLevel="0" collapsed="false">
      <c r="A38" s="19" t="s">
        <v>121</v>
      </c>
      <c r="B38" s="20" t="s">
        <v>126</v>
      </c>
      <c r="C38" s="20" t="n">
        <v>549352</v>
      </c>
    </row>
    <row r="39" customFormat="false" ht="12.75" hidden="false" customHeight="false" outlineLevel="0" collapsed="false">
      <c r="A39" s="19" t="s">
        <v>121</v>
      </c>
      <c r="B39" s="20" t="s">
        <v>127</v>
      </c>
      <c r="C39" s="20" t="n">
        <v>549353</v>
      </c>
    </row>
    <row r="40" customFormat="false" ht="12.75" hidden="false" customHeight="false" outlineLevel="0" collapsed="false">
      <c r="A40" s="19" t="s">
        <v>121</v>
      </c>
      <c r="B40" s="20" t="s">
        <v>128</v>
      </c>
      <c r="C40" s="20" t="n">
        <v>549354</v>
      </c>
    </row>
    <row r="43" customFormat="false" ht="12.75" hidden="false" customHeight="false" outlineLevel="0" collapsed="false">
      <c r="A43" s="19" t="s">
        <v>129</v>
      </c>
      <c r="B43" s="20" t="s">
        <v>130</v>
      </c>
      <c r="C43" s="20" t="n">
        <v>104749</v>
      </c>
      <c r="D43" s="21" t="s">
        <v>131</v>
      </c>
      <c r="G43" s="22" t="s">
        <v>132</v>
      </c>
      <c r="J43" s="19" t="s">
        <v>133</v>
      </c>
    </row>
    <row r="44" customFormat="false" ht="12.75" hidden="false" customHeight="false" outlineLevel="0" collapsed="false">
      <c r="A44" s="19" t="s">
        <v>129</v>
      </c>
      <c r="B44" s="20" t="s">
        <v>134</v>
      </c>
      <c r="C44" s="20" t="n">
        <v>82026</v>
      </c>
      <c r="D44" s="21" t="s">
        <v>83</v>
      </c>
      <c r="G44" s="22" t="s">
        <v>84</v>
      </c>
      <c r="H44" s="22" t="s">
        <v>84</v>
      </c>
    </row>
    <row r="45" customFormat="false" ht="12.75" hidden="false" customHeight="false" outlineLevel="0" collapsed="false">
      <c r="A45" s="19" t="s">
        <v>129</v>
      </c>
      <c r="B45" s="20" t="s">
        <v>135</v>
      </c>
      <c r="C45" s="20" t="n">
        <v>312407</v>
      </c>
      <c r="D45" s="21" t="s">
        <v>136</v>
      </c>
      <c r="G45" s="22" t="s">
        <v>84</v>
      </c>
      <c r="H45" s="22" t="s">
        <v>84</v>
      </c>
      <c r="J45" s="19" t="s">
        <v>137</v>
      </c>
    </row>
    <row r="46" customFormat="false" ht="12.75" hidden="false" customHeight="false" outlineLevel="0" collapsed="false">
      <c r="A46" s="19" t="s">
        <v>129</v>
      </c>
      <c r="B46" s="20" t="s">
        <v>138</v>
      </c>
      <c r="C46" s="20" t="s">
        <v>139</v>
      </c>
      <c r="D46" s="21" t="s">
        <v>140</v>
      </c>
      <c r="G46" s="22" t="s">
        <v>84</v>
      </c>
      <c r="H46" s="22" t="s">
        <v>84</v>
      </c>
      <c r="J46" s="19" t="s">
        <v>141</v>
      </c>
    </row>
    <row r="48" customFormat="false" ht="12.75" hidden="false" customHeight="false" outlineLevel="0" collapsed="false">
      <c r="A48" s="19" t="s">
        <v>142</v>
      </c>
      <c r="B48" s="20" t="s">
        <v>143</v>
      </c>
      <c r="C48" s="20" t="n">
        <v>117510</v>
      </c>
      <c r="D48" s="21" t="s">
        <v>83</v>
      </c>
      <c r="J48" s="19" t="s">
        <v>144</v>
      </c>
    </row>
    <row r="50" customFormat="false" ht="12.75" hidden="false" customHeight="false" outlineLevel="0" collapsed="false">
      <c r="A50" s="19" t="s">
        <v>145</v>
      </c>
      <c r="B50" s="20" t="n">
        <v>15</v>
      </c>
      <c r="C50" s="20" t="n">
        <v>125711</v>
      </c>
      <c r="D50" s="21" t="s">
        <v>83</v>
      </c>
    </row>
    <row r="52" customFormat="false" ht="12.75" hidden="false" customHeight="false" outlineLevel="0" collapsed="false">
      <c r="A52" s="19" t="s">
        <v>146</v>
      </c>
      <c r="B52" s="20" t="s">
        <v>147</v>
      </c>
      <c r="C52" s="20" t="n">
        <v>124109</v>
      </c>
      <c r="D52" s="21" t="s">
        <v>148</v>
      </c>
    </row>
    <row r="53" customFormat="false" ht="12.75" hidden="false" customHeight="false" outlineLevel="0" collapsed="false">
      <c r="A53" s="19" t="s">
        <v>146</v>
      </c>
      <c r="B53" s="20" t="s">
        <v>149</v>
      </c>
      <c r="C53" s="20" t="n">
        <v>77753</v>
      </c>
      <c r="D53" s="21" t="s">
        <v>83</v>
      </c>
    </row>
    <row r="55" customFormat="false" ht="12.75" hidden="false" customHeight="false" outlineLevel="0" collapsed="false">
      <c r="A55" s="19" t="s">
        <v>150</v>
      </c>
      <c r="B55" s="20" t="s">
        <v>151</v>
      </c>
      <c r="C55" s="20" t="n">
        <v>220796</v>
      </c>
      <c r="D55" s="21" t="s">
        <v>83</v>
      </c>
      <c r="F55" s="19" t="s">
        <v>152</v>
      </c>
      <c r="J55" s="19" t="s">
        <v>153</v>
      </c>
    </row>
    <row r="58" customFormat="false" ht="12.75" hidden="false" customHeight="false" outlineLevel="0" collapsed="false">
      <c r="A58" s="33" t="s">
        <v>154</v>
      </c>
      <c r="B58" s="34" t="s">
        <v>155</v>
      </c>
      <c r="C58" s="34" t="s">
        <v>155</v>
      </c>
      <c r="D58" s="35" t="s">
        <v>152</v>
      </c>
      <c r="E58" s="35" t="s">
        <v>152</v>
      </c>
      <c r="F58" s="33" t="s">
        <v>156</v>
      </c>
      <c r="G58" s="33" t="s">
        <v>156</v>
      </c>
      <c r="H58" s="34" t="s">
        <v>83</v>
      </c>
      <c r="I58" s="36" t="n">
        <v>0</v>
      </c>
      <c r="J58" s="37" t="n">
        <v>0</v>
      </c>
      <c r="K58" s="37" t="n">
        <v>0.0022</v>
      </c>
      <c r="L58" s="37" t="n">
        <v>0.0072</v>
      </c>
      <c r="M58" s="37" t="n">
        <v>0.0131</v>
      </c>
      <c r="N58" s="38" t="n">
        <v>0</v>
      </c>
      <c r="O58" s="37" t="n">
        <f aca="false">SUM(I58:M58)</f>
        <v>0.0225</v>
      </c>
      <c r="P58" s="39" t="s">
        <v>157</v>
      </c>
      <c r="Q58" s="39" t="s">
        <v>157</v>
      </c>
      <c r="R58" s="34" t="n">
        <v>0</v>
      </c>
      <c r="S58" s="33" t="s">
        <v>158</v>
      </c>
      <c r="T58" s="40" t="n">
        <f aca="false">I58*I$1*R58</f>
        <v>0</v>
      </c>
      <c r="U58" s="40"/>
      <c r="V58" s="41"/>
      <c r="W58" s="41" t="n">
        <v>145336</v>
      </c>
      <c r="X58" s="42"/>
      <c r="Y58" s="42"/>
    </row>
    <row r="60" customFormat="false" ht="12.75" hidden="false" customHeight="false" outlineLevel="0" collapsed="false">
      <c r="A60" s="19" t="s">
        <v>159</v>
      </c>
      <c r="B60" s="20" t="s">
        <v>160</v>
      </c>
      <c r="C60" s="20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8.85"/>
    <col collapsed="false" customWidth="false" hidden="false" outlineLevel="0" max="2" min="2" style="43" width="9.14"/>
    <col collapsed="false" customWidth="true" hidden="false" outlineLevel="0" max="3" min="3" style="43" width="10.56"/>
    <col collapsed="false" customWidth="true" hidden="false" outlineLevel="0" max="4" min="4" style="43" width="8.7"/>
    <col collapsed="false" customWidth="true" hidden="false" outlineLevel="0" max="5" min="5" style="43" width="10.99"/>
    <col collapsed="false" customWidth="true" hidden="false" outlineLevel="0" max="6" min="6" style="44" width="12.42"/>
    <col collapsed="false" customWidth="true" hidden="false" outlineLevel="0" max="7" min="7" style="44" width="7.99"/>
    <col collapsed="false" customWidth="true" hidden="false" outlineLevel="0" max="8" min="8" style="43" width="6.41"/>
    <col collapsed="false" customWidth="true" hidden="true" outlineLevel="0" max="9" min="9" style="43" width="8.85"/>
    <col collapsed="false" customWidth="true" hidden="true" outlineLevel="0" max="13" min="10" style="43" width="9.06"/>
    <col collapsed="false" customWidth="true" hidden="true" outlineLevel="0" max="14" min="14" style="45" width="9.06"/>
    <col collapsed="false" customWidth="true" hidden="true" outlineLevel="0" max="15" min="15" style="43" width="9.06"/>
    <col collapsed="false" customWidth="true" hidden="false" outlineLevel="0" max="16" min="16" style="46" width="12.28"/>
    <col collapsed="false" customWidth="false" hidden="false" outlineLevel="0" max="17" min="17" style="43" width="9.14"/>
    <col collapsed="false" customWidth="true" hidden="false" outlineLevel="0" max="18" min="18" style="43" width="13.7"/>
    <col collapsed="false" customWidth="false" hidden="false" outlineLevel="0" max="20" min="19" style="43" width="9.14"/>
    <col collapsed="false" customWidth="true" hidden="false" outlineLevel="0" max="21" min="21" style="46" width="13.56"/>
    <col collapsed="false" customWidth="true" hidden="false" outlineLevel="0" max="22" min="22" style="43" width="42.28"/>
    <col collapsed="false" customWidth="false" hidden="false" outlineLevel="0" max="24" min="23" style="46" width="9.14"/>
    <col collapsed="false" customWidth="true" hidden="false" outlineLevel="0" max="25" min="25" style="43" width="12.42"/>
    <col collapsed="false" customWidth="false" hidden="false" outlineLevel="0" max="257" min="26" style="43" width="9.14"/>
  </cols>
  <sheetData>
    <row r="1" customFormat="false" ht="12.75" hidden="false" customHeight="false" outlineLevel="0" collapsed="false">
      <c r="A1" s="47" t="s">
        <v>161</v>
      </c>
      <c r="B1" s="34"/>
      <c r="C1" s="34"/>
      <c r="D1" s="35"/>
      <c r="E1" s="35"/>
      <c r="F1" s="33"/>
      <c r="G1" s="33"/>
      <c r="H1" s="34" t="s">
        <v>162</v>
      </c>
      <c r="I1" s="48" t="n">
        <v>31</v>
      </c>
      <c r="J1" s="49" t="s">
        <v>163</v>
      </c>
      <c r="K1" s="37"/>
      <c r="L1" s="37"/>
      <c r="M1" s="37"/>
      <c r="N1" s="38"/>
      <c r="O1" s="37"/>
      <c r="P1" s="42"/>
      <c r="Q1" s="50"/>
      <c r="R1" s="51"/>
      <c r="S1" s="51"/>
      <c r="T1" s="51"/>
      <c r="U1" s="52"/>
      <c r="V1" s="51"/>
      <c r="W1" s="53"/>
      <c r="X1" s="53"/>
    </row>
    <row r="2" customFormat="false" ht="12.75" hidden="false" customHeight="false" outlineLevel="0" collapsed="false">
      <c r="A2" s="54" t="s">
        <v>164</v>
      </c>
      <c r="B2" s="54"/>
      <c r="C2" s="54"/>
      <c r="D2" s="35"/>
      <c r="E2" s="35"/>
      <c r="F2" s="33"/>
      <c r="G2" s="33"/>
      <c r="H2" s="34"/>
      <c r="I2" s="48"/>
      <c r="J2" s="49" t="s">
        <v>165</v>
      </c>
      <c r="K2" s="37"/>
      <c r="L2" s="37"/>
      <c r="M2" s="37"/>
      <c r="N2" s="38"/>
      <c r="O2" s="37"/>
      <c r="P2" s="42"/>
      <c r="Q2" s="50"/>
      <c r="R2" s="51"/>
      <c r="S2" s="51"/>
      <c r="T2" s="51"/>
      <c r="U2" s="52"/>
      <c r="V2" s="51"/>
      <c r="W2" s="53"/>
      <c r="X2" s="53"/>
    </row>
    <row r="3" customFormat="false" ht="12.75" hidden="false" customHeight="false" outlineLevel="0" collapsed="false">
      <c r="A3" s="55" t="s">
        <v>166</v>
      </c>
      <c r="B3" s="55"/>
      <c r="C3" s="55"/>
      <c r="D3" s="35"/>
      <c r="E3" s="35"/>
      <c r="F3" s="56" t="s">
        <v>73</v>
      </c>
      <c r="G3" s="33" t="s">
        <v>73</v>
      </c>
      <c r="H3" s="50" t="s">
        <v>73</v>
      </c>
      <c r="I3" s="36"/>
      <c r="J3" s="57" t="s">
        <v>73</v>
      </c>
      <c r="K3" s="37"/>
      <c r="L3" s="57" t="s">
        <v>73</v>
      </c>
      <c r="M3" s="37"/>
      <c r="N3" s="38"/>
      <c r="O3" s="57" t="s">
        <v>73</v>
      </c>
      <c r="P3" s="42"/>
      <c r="Q3" s="50"/>
      <c r="R3" s="51"/>
      <c r="S3" s="51"/>
      <c r="T3" s="51"/>
      <c r="U3" s="52"/>
      <c r="V3" s="51"/>
      <c r="W3" s="53"/>
      <c r="X3" s="53"/>
    </row>
    <row r="4" customFormat="false" ht="12.75" hidden="false" customHeight="false" outlineLevel="0" collapsed="false">
      <c r="A4" s="58" t="s">
        <v>167</v>
      </c>
      <c r="B4" s="59"/>
      <c r="C4" s="59"/>
      <c r="D4" s="35"/>
      <c r="E4" s="35"/>
      <c r="F4" s="60"/>
      <c r="G4" s="33"/>
      <c r="H4" s="60"/>
      <c r="I4" s="36"/>
      <c r="J4" s="60"/>
      <c r="K4" s="37"/>
      <c r="L4" s="60"/>
      <c r="M4" s="50"/>
      <c r="N4" s="38"/>
      <c r="O4" s="50"/>
      <c r="P4" s="42"/>
      <c r="Q4" s="50"/>
      <c r="R4" s="51"/>
      <c r="S4" s="61"/>
      <c r="T4" s="61"/>
      <c r="U4" s="62"/>
      <c r="V4" s="51"/>
      <c r="W4" s="53"/>
      <c r="X4" s="53"/>
    </row>
    <row r="5" customFormat="false" ht="12.75" hidden="false" customHeight="false" outlineLevel="0" collapsed="false">
      <c r="A5" s="33" t="s">
        <v>168</v>
      </c>
      <c r="B5" s="34"/>
      <c r="C5" s="63" t="s">
        <v>169</v>
      </c>
      <c r="D5" s="35"/>
      <c r="E5" s="35"/>
      <c r="F5" s="60"/>
      <c r="G5" s="33"/>
      <c r="H5" s="60"/>
      <c r="I5" s="36"/>
      <c r="J5" s="60"/>
      <c r="K5" s="37"/>
      <c r="L5" s="60"/>
      <c r="M5" s="50"/>
      <c r="N5" s="38"/>
      <c r="O5" s="50"/>
      <c r="P5" s="42"/>
      <c r="Q5" s="50"/>
      <c r="R5" s="51"/>
      <c r="S5" s="61"/>
      <c r="T5" s="61"/>
      <c r="U5" s="62"/>
      <c r="V5" s="51"/>
      <c r="W5" s="53"/>
      <c r="X5" s="53"/>
    </row>
    <row r="6" customFormat="false" ht="12.75" hidden="false" customHeight="false" outlineLevel="0" collapsed="false">
      <c r="A6" s="33"/>
      <c r="B6" s="34"/>
      <c r="C6" s="63" t="s">
        <v>170</v>
      </c>
      <c r="D6" s="35"/>
      <c r="E6" s="35"/>
      <c r="F6" s="60"/>
      <c r="G6" s="33"/>
      <c r="H6" s="60"/>
      <c r="I6" s="36"/>
      <c r="J6" s="60"/>
      <c r="K6" s="37"/>
      <c r="L6" s="60"/>
      <c r="M6" s="50"/>
      <c r="N6" s="38"/>
      <c r="O6" s="50"/>
      <c r="P6" s="42"/>
      <c r="Q6" s="50"/>
      <c r="R6" s="51"/>
      <c r="S6" s="61"/>
      <c r="T6" s="61"/>
      <c r="U6" s="62"/>
      <c r="V6" s="51"/>
      <c r="W6" s="53"/>
      <c r="X6" s="53"/>
    </row>
    <row r="7" customFormat="false" ht="12.75" hidden="false" customHeight="false" outlineLevel="0" collapsed="false">
      <c r="A7" s="33"/>
      <c r="B7" s="34"/>
      <c r="C7" s="63" t="s">
        <v>171</v>
      </c>
      <c r="D7" s="35"/>
      <c r="E7" s="35"/>
      <c r="F7" s="60"/>
      <c r="G7" s="33"/>
      <c r="H7" s="60"/>
      <c r="I7" s="36"/>
      <c r="J7" s="60"/>
      <c r="K7" s="37"/>
      <c r="L7" s="60"/>
      <c r="M7" s="50"/>
      <c r="N7" s="38"/>
      <c r="O7" s="50"/>
      <c r="P7" s="42"/>
      <c r="Q7" s="50"/>
      <c r="R7" s="51"/>
      <c r="S7" s="61"/>
      <c r="T7" s="61"/>
      <c r="U7" s="62"/>
      <c r="V7" s="51"/>
      <c r="W7" s="53"/>
      <c r="X7" s="53"/>
    </row>
    <row r="8" customFormat="false" ht="12.75" hidden="false" customHeight="false" outlineLevel="0" collapsed="false">
      <c r="A8" s="33"/>
      <c r="B8" s="34"/>
      <c r="C8" s="63"/>
      <c r="D8" s="35"/>
      <c r="E8" s="35"/>
      <c r="F8" s="60"/>
      <c r="G8" s="33"/>
      <c r="H8" s="60"/>
      <c r="I8" s="36"/>
      <c r="J8" s="60"/>
      <c r="K8" s="37"/>
      <c r="L8" s="60"/>
      <c r="M8" s="50"/>
      <c r="N8" s="38"/>
      <c r="O8" s="50"/>
      <c r="P8" s="42"/>
      <c r="Q8" s="50"/>
      <c r="R8" s="51"/>
      <c r="S8" s="61"/>
      <c r="T8" s="61"/>
      <c r="U8" s="62"/>
      <c r="V8" s="51"/>
      <c r="W8" s="53"/>
      <c r="X8" s="53"/>
    </row>
    <row r="9" customFormat="false" ht="12.75" hidden="false" customHeight="false" outlineLevel="0" collapsed="false">
      <c r="A9" s="33"/>
      <c r="B9" s="34"/>
      <c r="C9" s="63"/>
      <c r="D9" s="35"/>
      <c r="E9" s="35"/>
      <c r="F9" s="60"/>
      <c r="G9" s="33"/>
      <c r="H9" s="60"/>
      <c r="I9" s="36"/>
      <c r="J9" s="60"/>
      <c r="K9" s="37"/>
      <c r="L9" s="60"/>
      <c r="M9" s="50"/>
      <c r="N9" s="38"/>
      <c r="O9" s="50"/>
      <c r="P9" s="42"/>
      <c r="Q9" s="50"/>
      <c r="R9" s="51"/>
      <c r="S9" s="61"/>
      <c r="T9" s="61"/>
      <c r="U9" s="62"/>
      <c r="V9" s="51"/>
      <c r="W9" s="53"/>
      <c r="X9" s="53"/>
    </row>
    <row r="10" customFormat="false" ht="12.75" hidden="false" customHeight="false" outlineLevel="0" collapsed="false">
      <c r="A10" s="33"/>
      <c r="B10" s="34"/>
      <c r="C10" s="34"/>
      <c r="D10" s="35"/>
      <c r="E10" s="35"/>
      <c r="F10" s="60"/>
      <c r="G10" s="33"/>
      <c r="H10" s="60"/>
      <c r="I10" s="36"/>
      <c r="J10" s="60"/>
      <c r="K10" s="37"/>
      <c r="L10" s="60"/>
      <c r="M10" s="50"/>
      <c r="N10" s="38"/>
      <c r="O10" s="50"/>
      <c r="P10" s="42"/>
      <c r="Q10" s="50"/>
      <c r="R10" s="51"/>
      <c r="S10" s="61"/>
      <c r="T10" s="61"/>
      <c r="U10" s="62"/>
      <c r="V10" s="51"/>
      <c r="W10" s="53"/>
      <c r="X10" s="53"/>
    </row>
    <row r="11" customFormat="false" ht="12.75" hidden="false" customHeight="false" outlineLevel="0" collapsed="false">
      <c r="A11" s="64" t="s">
        <v>172</v>
      </c>
      <c r="B11" s="65" t="s">
        <v>173</v>
      </c>
      <c r="C11" s="65" t="s">
        <v>174</v>
      </c>
      <c r="D11" s="66" t="s">
        <v>175</v>
      </c>
      <c r="E11" s="66"/>
      <c r="F11" s="64" t="s">
        <v>176</v>
      </c>
      <c r="G11" s="64" t="s">
        <v>177</v>
      </c>
      <c r="H11" s="65" t="s">
        <v>178</v>
      </c>
      <c r="I11" s="67" t="s">
        <v>179</v>
      </c>
      <c r="J11" s="65" t="s">
        <v>180</v>
      </c>
      <c r="K11" s="65" t="s">
        <v>181</v>
      </c>
      <c r="L11" s="65" t="s">
        <v>182</v>
      </c>
      <c r="M11" s="65" t="s">
        <v>183</v>
      </c>
      <c r="N11" s="68" t="s">
        <v>184</v>
      </c>
      <c r="O11" s="65" t="s">
        <v>185</v>
      </c>
      <c r="P11" s="69" t="s">
        <v>186</v>
      </c>
      <c r="Q11" s="65" t="s">
        <v>187</v>
      </c>
      <c r="R11" s="64" t="s">
        <v>188</v>
      </c>
      <c r="S11" s="70" t="s">
        <v>189</v>
      </c>
      <c r="T11" s="70" t="s">
        <v>190</v>
      </c>
      <c r="U11" s="71" t="s">
        <v>76</v>
      </c>
      <c r="V11" s="70" t="s">
        <v>191</v>
      </c>
      <c r="W11" s="42"/>
      <c r="X11" s="42"/>
    </row>
    <row r="12" customFormat="false" ht="12.75" hidden="false" customHeight="false" outlineLevel="0" collapsed="false">
      <c r="A12" s="33" t="s">
        <v>154</v>
      </c>
      <c r="B12" s="34" t="s">
        <v>192</v>
      </c>
      <c r="C12" s="34" t="s">
        <v>193</v>
      </c>
      <c r="D12" s="35" t="n">
        <v>36526</v>
      </c>
      <c r="E12" s="35" t="n">
        <v>36830</v>
      </c>
      <c r="F12" s="33" t="s">
        <v>194</v>
      </c>
      <c r="G12" s="33" t="s">
        <v>195</v>
      </c>
      <c r="H12" s="34"/>
      <c r="I12" s="36" t="n">
        <f aca="false">1.0603/I$1</f>
        <v>0.0342032258064516</v>
      </c>
      <c r="J12" s="37" t="n">
        <v>0.0017</v>
      </c>
      <c r="K12" s="37" t="n">
        <v>0.0022</v>
      </c>
      <c r="L12" s="37" t="n">
        <v>0</v>
      </c>
      <c r="M12" s="37" t="n">
        <v>0</v>
      </c>
      <c r="N12" s="38" t="n">
        <v>0.00593</v>
      </c>
      <c r="O12" s="37" t="n">
        <f aca="false">SUM(I12:M12)</f>
        <v>0.0381032258064516</v>
      </c>
      <c r="P12" s="42" t="n">
        <v>42789</v>
      </c>
      <c r="Q12" s="34" t="n">
        <v>30000</v>
      </c>
      <c r="R12" s="33" t="s">
        <v>196</v>
      </c>
      <c r="S12" s="40" t="n">
        <f aca="false">I12*I$1*Q12</f>
        <v>31809</v>
      </c>
      <c r="T12" s="40"/>
      <c r="U12" s="41" t="n">
        <v>140447</v>
      </c>
      <c r="V12" s="33"/>
      <c r="W12" s="42"/>
      <c r="X12" s="42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false" outlineLevel="0" collapsed="false">
      <c r="A13" s="72" t="s">
        <v>73</v>
      </c>
      <c r="B13" s="73" t="s">
        <v>73</v>
      </c>
      <c r="C13" s="74" t="s">
        <v>73</v>
      </c>
      <c r="D13" s="75" t="s">
        <v>73</v>
      </c>
      <c r="E13" s="75"/>
      <c r="F13" s="72" t="s">
        <v>73</v>
      </c>
      <c r="G13" s="76" t="s">
        <v>73</v>
      </c>
      <c r="H13" s="73" t="s">
        <v>73</v>
      </c>
      <c r="I13" s="77"/>
      <c r="J13" s="78"/>
      <c r="K13" s="78"/>
      <c r="L13" s="78"/>
      <c r="M13" s="78"/>
      <c r="N13" s="79"/>
      <c r="O13" s="78"/>
      <c r="P13" s="80" t="s">
        <v>73</v>
      </c>
      <c r="Q13" s="73" t="n">
        <f aca="false">SUM(Q12)</f>
        <v>30000</v>
      </c>
      <c r="R13" s="72" t="s">
        <v>73</v>
      </c>
      <c r="S13" s="81" t="n">
        <f aca="false">SUM(S12)</f>
        <v>31809</v>
      </c>
      <c r="T13" s="81" t="n">
        <f aca="false">SUM(T12)</f>
        <v>0</v>
      </c>
      <c r="U13" s="82"/>
      <c r="V13" s="83"/>
      <c r="W13" s="42"/>
      <c r="X13" s="42"/>
    </row>
    <row r="14" customFormat="false" ht="12.75" hidden="false" customHeight="false" outlineLevel="0" collapsed="false">
      <c r="A14" s="64" t="s">
        <v>172</v>
      </c>
      <c r="B14" s="65" t="s">
        <v>173</v>
      </c>
      <c r="C14" s="65" t="s">
        <v>174</v>
      </c>
      <c r="D14" s="66" t="s">
        <v>175</v>
      </c>
      <c r="E14" s="66"/>
      <c r="F14" s="64" t="s">
        <v>176</v>
      </c>
      <c r="G14" s="64" t="s">
        <v>177</v>
      </c>
      <c r="H14" s="65" t="s">
        <v>178</v>
      </c>
      <c r="I14" s="67" t="s">
        <v>179</v>
      </c>
      <c r="J14" s="65" t="s">
        <v>180</v>
      </c>
      <c r="K14" s="65" t="s">
        <v>181</v>
      </c>
      <c r="L14" s="65" t="s">
        <v>182</v>
      </c>
      <c r="M14" s="65" t="s">
        <v>183</v>
      </c>
      <c r="N14" s="68" t="s">
        <v>184</v>
      </c>
      <c r="O14" s="65" t="s">
        <v>185</v>
      </c>
      <c r="P14" s="69" t="s">
        <v>186</v>
      </c>
      <c r="Q14" s="65" t="s">
        <v>187</v>
      </c>
      <c r="R14" s="64" t="s">
        <v>188</v>
      </c>
      <c r="S14" s="70" t="s">
        <v>197</v>
      </c>
      <c r="T14" s="70" t="s">
        <v>197</v>
      </c>
      <c r="U14" s="71"/>
      <c r="V14" s="70" t="str">
        <f aca="false">+V11</f>
        <v>Questions</v>
      </c>
      <c r="W14" s="42"/>
      <c r="X14" s="42"/>
    </row>
    <row r="15" customFormat="false" ht="12.75" hidden="false" customHeight="false" outlineLevel="0" collapsed="false">
      <c r="A15" s="33" t="s">
        <v>154</v>
      </c>
      <c r="B15" s="34" t="s">
        <v>198</v>
      </c>
      <c r="C15" s="34" t="s">
        <v>193</v>
      </c>
      <c r="D15" s="35" t="n">
        <v>36526</v>
      </c>
      <c r="E15" s="35" t="s">
        <v>152</v>
      </c>
      <c r="F15" s="33" t="s">
        <v>199</v>
      </c>
      <c r="G15" s="33" t="s">
        <v>199</v>
      </c>
      <c r="H15" s="34"/>
      <c r="I15" s="36" t="n">
        <v>0</v>
      </c>
      <c r="J15" s="37" t="n">
        <v>0</v>
      </c>
      <c r="K15" s="37" t="n">
        <v>0</v>
      </c>
      <c r="L15" s="37" t="n">
        <v>0</v>
      </c>
      <c r="M15" s="37" t="n">
        <v>0</v>
      </c>
      <c r="N15" s="38" t="n">
        <v>0</v>
      </c>
      <c r="O15" s="37" t="n">
        <f aca="false">SUM(I15:M15)</f>
        <v>0</v>
      </c>
      <c r="P15" s="42" t="n">
        <v>36907</v>
      </c>
      <c r="Q15" s="34" t="n">
        <v>0</v>
      </c>
      <c r="R15" s="33" t="s">
        <v>200</v>
      </c>
      <c r="S15" s="40" t="n">
        <f aca="false">I15*I$1*Q15</f>
        <v>0</v>
      </c>
      <c r="T15" s="40"/>
      <c r="U15" s="41" t="n">
        <v>148659</v>
      </c>
      <c r="V15" s="40"/>
      <c r="W15" s="42"/>
      <c r="X15" s="42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33" t="s">
        <v>201</v>
      </c>
      <c r="B16" s="34" t="s">
        <v>198</v>
      </c>
      <c r="C16" s="34" t="s">
        <v>202</v>
      </c>
      <c r="D16" s="35" t="n">
        <v>36526</v>
      </c>
      <c r="E16" s="35" t="s">
        <v>152</v>
      </c>
      <c r="F16" s="33" t="s">
        <v>199</v>
      </c>
      <c r="G16" s="33" t="s">
        <v>199</v>
      </c>
      <c r="H16" s="34"/>
      <c r="I16" s="36" t="n">
        <v>0</v>
      </c>
      <c r="J16" s="37" t="n">
        <v>0</v>
      </c>
      <c r="K16" s="37" t="n">
        <v>0</v>
      </c>
      <c r="L16" s="37" t="n">
        <v>0</v>
      </c>
      <c r="M16" s="37" t="n">
        <v>0</v>
      </c>
      <c r="N16" s="38" t="n">
        <v>0</v>
      </c>
      <c r="O16" s="37" t="n">
        <f aca="false">SUM(I16:M16)</f>
        <v>0</v>
      </c>
      <c r="P16" s="42" t="n">
        <v>48049</v>
      </c>
      <c r="Q16" s="34" t="n">
        <v>0</v>
      </c>
      <c r="R16" s="33" t="s">
        <v>200</v>
      </c>
      <c r="S16" s="40" t="n">
        <f aca="false">I16*I$1*Q16</f>
        <v>0</v>
      </c>
      <c r="T16" s="40"/>
      <c r="U16" s="41" t="n">
        <v>149173</v>
      </c>
      <c r="V16" s="40"/>
      <c r="W16" s="42"/>
      <c r="X16" s="42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33" t="s">
        <v>154</v>
      </c>
      <c r="B17" s="34" t="s">
        <v>198</v>
      </c>
      <c r="C17" s="34" t="s">
        <v>193</v>
      </c>
      <c r="D17" s="35" t="n">
        <v>36526</v>
      </c>
      <c r="E17" s="35" t="s">
        <v>152</v>
      </c>
      <c r="F17" s="33" t="s">
        <v>199</v>
      </c>
      <c r="G17" s="33" t="s">
        <v>199</v>
      </c>
      <c r="H17" s="34"/>
      <c r="I17" s="36" t="n">
        <v>0</v>
      </c>
      <c r="J17" s="37" t="n">
        <v>0</v>
      </c>
      <c r="K17" s="37" t="n">
        <v>0</v>
      </c>
      <c r="L17" s="37" t="n">
        <v>0</v>
      </c>
      <c r="M17" s="37" t="n">
        <v>0</v>
      </c>
      <c r="N17" s="38" t="n">
        <v>0</v>
      </c>
      <c r="O17" s="37" t="n">
        <f aca="false">SUM(I17:M17)</f>
        <v>0</v>
      </c>
      <c r="P17" s="42" t="n">
        <v>39999</v>
      </c>
      <c r="Q17" s="34" t="n">
        <v>0</v>
      </c>
      <c r="R17" s="33" t="s">
        <v>203</v>
      </c>
      <c r="S17" s="40" t="n">
        <f aca="false">I17*I$1*Q17</f>
        <v>0</v>
      </c>
      <c r="T17" s="40"/>
      <c r="U17" s="41" t="n">
        <v>149337</v>
      </c>
      <c r="V17" s="40"/>
      <c r="W17" s="42"/>
      <c r="X17" s="42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33" t="s">
        <v>201</v>
      </c>
      <c r="B18" s="34" t="s">
        <v>198</v>
      </c>
      <c r="C18" s="34" t="s">
        <v>202</v>
      </c>
      <c r="D18" s="35" t="n">
        <v>36526</v>
      </c>
      <c r="E18" s="35" t="s">
        <v>152</v>
      </c>
      <c r="F18" s="33" t="s">
        <v>199</v>
      </c>
      <c r="G18" s="33" t="s">
        <v>199</v>
      </c>
      <c r="H18" s="34"/>
      <c r="I18" s="36" t="n">
        <v>0</v>
      </c>
      <c r="J18" s="37" t="n">
        <v>0</v>
      </c>
      <c r="K18" s="37" t="n">
        <v>0</v>
      </c>
      <c r="L18" s="37" t="n">
        <v>0</v>
      </c>
      <c r="M18" s="37" t="n">
        <v>0</v>
      </c>
      <c r="N18" s="38" t="n">
        <v>0</v>
      </c>
      <c r="O18" s="37" t="n">
        <f aca="false">SUM(I18:M18)</f>
        <v>0</v>
      </c>
      <c r="P18" s="42" t="n">
        <v>48050</v>
      </c>
      <c r="Q18" s="34" t="n">
        <v>0</v>
      </c>
      <c r="R18" s="33" t="s">
        <v>203</v>
      </c>
      <c r="S18" s="40" t="n">
        <f aca="false">I18*I$1*Q18</f>
        <v>0</v>
      </c>
      <c r="T18" s="40"/>
      <c r="U18" s="41" t="n">
        <v>149338</v>
      </c>
      <c r="V18" s="40"/>
      <c r="W18" s="42"/>
      <c r="X18" s="42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false" outlineLevel="0" collapsed="false">
      <c r="A19" s="33"/>
      <c r="B19" s="34"/>
      <c r="C19" s="34"/>
      <c r="D19" s="35" t="s">
        <v>73</v>
      </c>
      <c r="E19" s="35"/>
      <c r="F19" s="33"/>
      <c r="G19" s="33"/>
      <c r="H19" s="34"/>
      <c r="I19" s="36"/>
      <c r="J19" s="37"/>
      <c r="K19" s="84"/>
      <c r="L19" s="37"/>
      <c r="M19" s="37"/>
      <c r="N19" s="38"/>
      <c r="O19" s="37"/>
      <c r="P19" s="53"/>
      <c r="Q19" s="61"/>
      <c r="R19" s="85"/>
      <c r="S19" s="86"/>
      <c r="T19" s="51"/>
      <c r="U19" s="52"/>
      <c r="V19" s="51"/>
      <c r="W19" s="53"/>
      <c r="X19" s="53"/>
    </row>
    <row r="20" customFormat="false" ht="12.75" hidden="false" customHeight="false" outlineLevel="0" collapsed="false">
      <c r="A20" s="64" t="s">
        <v>172</v>
      </c>
      <c r="B20" s="65" t="s">
        <v>173</v>
      </c>
      <c r="C20" s="65" t="s">
        <v>174</v>
      </c>
      <c r="D20" s="66" t="s">
        <v>175</v>
      </c>
      <c r="E20" s="66"/>
      <c r="F20" s="64" t="s">
        <v>176</v>
      </c>
      <c r="G20" s="64" t="s">
        <v>177</v>
      </c>
      <c r="H20" s="65" t="s">
        <v>178</v>
      </c>
      <c r="I20" s="67" t="s">
        <v>179</v>
      </c>
      <c r="J20" s="65" t="s">
        <v>180</v>
      </c>
      <c r="K20" s="65" t="s">
        <v>181</v>
      </c>
      <c r="L20" s="65" t="s">
        <v>182</v>
      </c>
      <c r="M20" s="65" t="s">
        <v>183</v>
      </c>
      <c r="N20" s="68" t="s">
        <v>184</v>
      </c>
      <c r="O20" s="65" t="s">
        <v>185</v>
      </c>
      <c r="P20" s="69" t="s">
        <v>186</v>
      </c>
      <c r="Q20" s="65" t="s">
        <v>187</v>
      </c>
      <c r="R20" s="64" t="s">
        <v>188</v>
      </c>
      <c r="S20" s="70" t="s">
        <v>189</v>
      </c>
      <c r="T20" s="70" t="s">
        <v>190</v>
      </c>
      <c r="U20" s="71" t="s">
        <v>76</v>
      </c>
      <c r="V20" s="70" t="s">
        <v>191</v>
      </c>
      <c r="W20" s="42"/>
      <c r="X20" s="42"/>
    </row>
    <row r="21" customFormat="false" ht="12.75" hidden="false" customHeight="false" outlineLevel="0" collapsed="false">
      <c r="A21" s="33" t="s">
        <v>154</v>
      </c>
      <c r="B21" s="34" t="s">
        <v>204</v>
      </c>
      <c r="C21" s="34" t="s">
        <v>193</v>
      </c>
      <c r="D21" s="35" t="n">
        <v>36526</v>
      </c>
      <c r="E21" s="35" t="s">
        <v>152</v>
      </c>
      <c r="F21" s="33" t="s">
        <v>156</v>
      </c>
      <c r="G21" s="33" t="s">
        <v>156</v>
      </c>
      <c r="H21" s="34" t="s">
        <v>83</v>
      </c>
      <c r="I21" s="36" t="n">
        <v>0</v>
      </c>
      <c r="J21" s="37" t="n">
        <v>0</v>
      </c>
      <c r="K21" s="37" t="n">
        <v>0</v>
      </c>
      <c r="L21" s="37" t="n">
        <v>0</v>
      </c>
      <c r="M21" s="37" t="n">
        <v>0</v>
      </c>
      <c r="N21" s="38" t="n">
        <v>0</v>
      </c>
      <c r="O21" s="37" t="n">
        <f aca="false">SUM(I21:M21)</f>
        <v>0</v>
      </c>
      <c r="P21" s="42" t="n">
        <v>238</v>
      </c>
      <c r="Q21" s="34" t="n">
        <v>0</v>
      </c>
      <c r="R21" s="33" t="s">
        <v>205</v>
      </c>
      <c r="S21" s="40" t="n">
        <f aca="false">I21*I$1*Q21</f>
        <v>0</v>
      </c>
      <c r="T21" s="40"/>
      <c r="U21" s="41" t="n">
        <v>149902</v>
      </c>
      <c r="V21" s="33"/>
      <c r="W21" s="42"/>
      <c r="X21" s="42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.75" hidden="false" customHeight="false" outlineLevel="0" collapsed="false">
      <c r="A22" s="72" t="s">
        <v>73</v>
      </c>
      <c r="B22" s="73" t="s">
        <v>73</v>
      </c>
      <c r="C22" s="74" t="s">
        <v>73</v>
      </c>
      <c r="D22" s="75" t="s">
        <v>73</v>
      </c>
      <c r="E22" s="75"/>
      <c r="F22" s="72" t="s">
        <v>73</v>
      </c>
      <c r="G22" s="76" t="s">
        <v>73</v>
      </c>
      <c r="H22" s="73" t="s">
        <v>73</v>
      </c>
      <c r="I22" s="77"/>
      <c r="J22" s="78"/>
      <c r="K22" s="78"/>
      <c r="L22" s="78"/>
      <c r="M22" s="78"/>
      <c r="N22" s="79"/>
      <c r="O22" s="78"/>
      <c r="P22" s="80" t="s">
        <v>73</v>
      </c>
      <c r="Q22" s="73" t="n">
        <f aca="false">SUM(Q21)</f>
        <v>0</v>
      </c>
      <c r="R22" s="72" t="s">
        <v>73</v>
      </c>
      <c r="S22" s="81" t="n">
        <f aca="false">SUM(S21)</f>
        <v>0</v>
      </c>
      <c r="T22" s="81" t="n">
        <f aca="false">SUM(T21)</f>
        <v>0</v>
      </c>
      <c r="U22" s="82"/>
      <c r="V22" s="83"/>
      <c r="W22" s="42"/>
      <c r="X22" s="42"/>
    </row>
    <row r="23" customFormat="false" ht="12.75" hidden="false" customHeight="false" outlineLevel="0" collapsed="false">
      <c r="A23" s="64" t="s">
        <v>172</v>
      </c>
      <c r="B23" s="65" t="s">
        <v>173</v>
      </c>
      <c r="C23" s="65" t="s">
        <v>174</v>
      </c>
      <c r="D23" s="66" t="s">
        <v>175</v>
      </c>
      <c r="E23" s="66"/>
      <c r="F23" s="64" t="s">
        <v>176</v>
      </c>
      <c r="G23" s="64" t="s">
        <v>177</v>
      </c>
      <c r="H23" s="65" t="s">
        <v>178</v>
      </c>
      <c r="I23" s="67" t="s">
        <v>179</v>
      </c>
      <c r="J23" s="65" t="s">
        <v>180</v>
      </c>
      <c r="K23" s="65" t="s">
        <v>181</v>
      </c>
      <c r="L23" s="65" t="s">
        <v>182</v>
      </c>
      <c r="M23" s="65" t="s">
        <v>183</v>
      </c>
      <c r="N23" s="68" t="s">
        <v>184</v>
      </c>
      <c r="O23" s="65" t="s">
        <v>185</v>
      </c>
      <c r="P23" s="69" t="s">
        <v>186</v>
      </c>
      <c r="Q23" s="65" t="s">
        <v>187</v>
      </c>
      <c r="R23" s="64" t="s">
        <v>188</v>
      </c>
      <c r="S23" s="70" t="s">
        <v>189</v>
      </c>
      <c r="T23" s="70" t="s">
        <v>190</v>
      </c>
      <c r="U23" s="71" t="s">
        <v>76</v>
      </c>
      <c r="V23" s="70" t="s">
        <v>191</v>
      </c>
      <c r="W23" s="42"/>
      <c r="X23" s="42"/>
    </row>
    <row r="24" customFormat="false" ht="12.75" hidden="false" customHeight="false" outlineLevel="0" collapsed="false">
      <c r="A24" s="33" t="s">
        <v>154</v>
      </c>
      <c r="B24" s="34" t="s">
        <v>155</v>
      </c>
      <c r="C24" s="34" t="s">
        <v>193</v>
      </c>
      <c r="D24" s="35" t="n">
        <v>36526</v>
      </c>
      <c r="E24" s="35" t="s">
        <v>152</v>
      </c>
      <c r="F24" s="33" t="s">
        <v>156</v>
      </c>
      <c r="G24" s="33" t="s">
        <v>156</v>
      </c>
      <c r="H24" s="34" t="s">
        <v>83</v>
      </c>
      <c r="I24" s="36" t="n">
        <v>0</v>
      </c>
      <c r="J24" s="37" t="n">
        <v>0</v>
      </c>
      <c r="K24" s="37" t="n">
        <v>0</v>
      </c>
      <c r="L24" s="37" t="n">
        <v>0</v>
      </c>
      <c r="M24" s="37" t="n">
        <v>0</v>
      </c>
      <c r="N24" s="38" t="n">
        <v>0</v>
      </c>
      <c r="O24" s="37" t="n">
        <f aca="false">SUM(I24:M24)</f>
        <v>0</v>
      </c>
      <c r="P24" s="42" t="n">
        <v>3.2846</v>
      </c>
      <c r="Q24" s="34" t="n">
        <v>0</v>
      </c>
      <c r="R24" s="33" t="s">
        <v>205</v>
      </c>
      <c r="S24" s="40" t="n">
        <f aca="false">I24*I$1*Q24</f>
        <v>0</v>
      </c>
      <c r="T24" s="40"/>
      <c r="U24" s="41" t="n">
        <v>149876</v>
      </c>
      <c r="V24" s="33"/>
      <c r="W24" s="42"/>
      <c r="X24" s="42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72" t="s">
        <v>73</v>
      </c>
      <c r="B25" s="73" t="s">
        <v>73</v>
      </c>
      <c r="C25" s="74" t="s">
        <v>73</v>
      </c>
      <c r="D25" s="75" t="s">
        <v>73</v>
      </c>
      <c r="E25" s="75"/>
      <c r="F25" s="72" t="s">
        <v>73</v>
      </c>
      <c r="G25" s="76" t="s">
        <v>73</v>
      </c>
      <c r="H25" s="73" t="s">
        <v>73</v>
      </c>
      <c r="I25" s="77"/>
      <c r="J25" s="78"/>
      <c r="K25" s="78"/>
      <c r="L25" s="78"/>
      <c r="M25" s="78"/>
      <c r="N25" s="79"/>
      <c r="O25" s="78"/>
      <c r="P25" s="80" t="s">
        <v>73</v>
      </c>
      <c r="Q25" s="73" t="n">
        <f aca="false">SUM(Q24)</f>
        <v>0</v>
      </c>
      <c r="R25" s="72" t="s">
        <v>73</v>
      </c>
      <c r="S25" s="81" t="n">
        <f aca="false">SUM(S24)</f>
        <v>0</v>
      </c>
      <c r="T25" s="81" t="n">
        <f aca="false">SUM(T24)</f>
        <v>0</v>
      </c>
      <c r="U25" s="82"/>
      <c r="V25" s="83"/>
      <c r="W25" s="42"/>
      <c r="X25" s="42"/>
    </row>
    <row r="26" customFormat="false" ht="12.75" hidden="false" customHeight="false" outlineLevel="0" collapsed="false">
      <c r="A26" s="44"/>
      <c r="B26" s="34"/>
      <c r="C26" s="34"/>
      <c r="D26" s="35"/>
      <c r="E26" s="35"/>
      <c r="F26" s="33"/>
      <c r="G26" s="33"/>
      <c r="H26" s="34"/>
      <c r="I26" s="36"/>
      <c r="J26" s="37"/>
      <c r="K26" s="37"/>
      <c r="L26" s="37"/>
      <c r="M26" s="37"/>
      <c r="N26" s="38"/>
      <c r="O26" s="37"/>
      <c r="P26" s="53"/>
      <c r="Q26" s="87"/>
      <c r="R26" s="85"/>
      <c r="S26" s="51"/>
      <c r="T26" s="51"/>
      <c r="U26" s="52"/>
      <c r="V26" s="51"/>
      <c r="W26" s="53"/>
      <c r="X26" s="53"/>
    </row>
    <row r="27" customFormat="false" ht="12.75" hidden="false" customHeight="false" outlineLevel="0" collapsed="false">
      <c r="A27" s="44"/>
      <c r="B27" s="34"/>
      <c r="C27" s="34"/>
      <c r="D27" s="35"/>
      <c r="E27" s="35"/>
      <c r="F27" s="33"/>
      <c r="G27" s="33"/>
      <c r="H27" s="34"/>
      <c r="I27" s="37"/>
      <c r="J27" s="37"/>
      <c r="K27" s="37"/>
      <c r="L27" s="37"/>
      <c r="M27" s="37"/>
      <c r="N27" s="38"/>
      <c r="O27" s="37"/>
      <c r="P27" s="53"/>
      <c r="Q27" s="87"/>
      <c r="R27" s="51"/>
      <c r="S27" s="51"/>
      <c r="T27" s="51"/>
      <c r="U27" s="52"/>
      <c r="V27" s="51"/>
      <c r="W27" s="53"/>
      <c r="X27" s="53"/>
    </row>
    <row r="28" customFormat="false" ht="12.75" hidden="false" customHeight="false" outlineLevel="0" collapsed="false">
      <c r="A28" s="44"/>
      <c r="B28" s="34"/>
      <c r="C28" s="34"/>
      <c r="D28" s="35"/>
      <c r="E28" s="35"/>
      <c r="F28" s="33"/>
      <c r="G28" s="33"/>
      <c r="H28" s="34"/>
      <c r="I28" s="36"/>
      <c r="J28" s="37"/>
      <c r="K28" s="37"/>
      <c r="L28" s="37"/>
      <c r="M28" s="37"/>
      <c r="N28" s="38"/>
      <c r="O28" s="37"/>
      <c r="P28" s="53"/>
      <c r="Q28" s="87"/>
      <c r="R28" s="51"/>
      <c r="S28" s="51"/>
      <c r="T28" s="51"/>
      <c r="U28" s="52"/>
      <c r="V28" s="51"/>
      <c r="W28" s="53"/>
      <c r="X28" s="53"/>
    </row>
    <row r="29" customFormat="false" ht="12.75" hidden="false" customHeight="false" outlineLevel="0" collapsed="false">
      <c r="A29" s="44" t="s">
        <v>206</v>
      </c>
      <c r="B29" s="34"/>
      <c r="C29" s="34"/>
      <c r="D29" s="35"/>
      <c r="E29" s="35"/>
      <c r="F29" s="33"/>
      <c r="G29" s="33"/>
      <c r="H29" s="34"/>
      <c r="I29" s="37"/>
      <c r="J29" s="37"/>
      <c r="K29" s="37"/>
      <c r="L29" s="37"/>
      <c r="M29" s="37"/>
      <c r="N29" s="38"/>
      <c r="O29" s="37"/>
      <c r="P29" s="53"/>
      <c r="Q29" s="87"/>
      <c r="R29" s="51"/>
      <c r="S29" s="51"/>
      <c r="T29" s="51"/>
      <c r="U29" s="52"/>
      <c r="V29" s="51"/>
      <c r="W29" s="53"/>
      <c r="X29" s="53"/>
    </row>
    <row r="30" customFormat="false" ht="12.75" hidden="false" customHeight="false" outlineLevel="0" collapsed="false">
      <c r="A30" s="44"/>
      <c r="B30" s="33" t="s">
        <v>207</v>
      </c>
      <c r="C30" s="34"/>
      <c r="D30" s="35"/>
      <c r="E30" s="35"/>
      <c r="F30" s="33"/>
      <c r="G30" s="33"/>
      <c r="H30" s="34"/>
      <c r="I30" s="36"/>
      <c r="J30" s="37"/>
      <c r="K30" s="37"/>
      <c r="L30" s="37"/>
      <c r="M30" s="37"/>
      <c r="N30" s="38"/>
      <c r="O30" s="37"/>
      <c r="P30" s="53"/>
      <c r="Q30" s="87"/>
      <c r="R30" s="51"/>
      <c r="S30" s="51"/>
      <c r="T30" s="51"/>
      <c r="U30" s="52"/>
      <c r="V30" s="51"/>
      <c r="W30" s="53"/>
      <c r="X30" s="53"/>
    </row>
    <row r="31" customFormat="false" ht="12.75" hidden="false" customHeight="false" outlineLevel="0" collapsed="false">
      <c r="A31" s="44"/>
      <c r="B31" s="34" t="s">
        <v>208</v>
      </c>
      <c r="C31" s="42" t="n">
        <v>149776</v>
      </c>
      <c r="D31" s="35"/>
      <c r="E31" s="35"/>
      <c r="F31" s="33"/>
      <c r="G31" s="33"/>
      <c r="H31" s="34"/>
      <c r="I31" s="37"/>
      <c r="J31" s="37"/>
      <c r="K31" s="37"/>
      <c r="L31" s="37"/>
      <c r="M31" s="37"/>
      <c r="N31" s="38"/>
      <c r="O31" s="37"/>
      <c r="P31" s="53"/>
      <c r="Q31" s="87"/>
      <c r="R31" s="51"/>
      <c r="S31" s="51"/>
      <c r="T31" s="51"/>
      <c r="U31" s="52"/>
      <c r="V31" s="51"/>
      <c r="W31" s="53"/>
      <c r="X31" s="53"/>
    </row>
    <row r="32" customFormat="false" ht="12.75" hidden="false" customHeight="false" outlineLevel="0" collapsed="false">
      <c r="A32" s="44"/>
      <c r="B32" s="34" t="s">
        <v>209</v>
      </c>
      <c r="C32" s="42" t="n">
        <v>149775</v>
      </c>
      <c r="D32" s="35"/>
      <c r="E32" s="35"/>
      <c r="F32" s="33"/>
      <c r="G32" s="33"/>
      <c r="H32" s="34"/>
      <c r="I32" s="37"/>
      <c r="J32" s="37"/>
      <c r="K32" s="37"/>
      <c r="L32" s="37"/>
      <c r="M32" s="37"/>
      <c r="N32" s="38"/>
      <c r="O32" s="37"/>
      <c r="P32" s="53"/>
      <c r="Q32" s="87"/>
      <c r="R32" s="51"/>
      <c r="S32" s="51"/>
      <c r="T32" s="51"/>
      <c r="U32" s="52"/>
      <c r="V32" s="51"/>
      <c r="W32" s="85"/>
      <c r="X32" s="53"/>
    </row>
    <row r="33" customFormat="false" ht="12.75" hidden="false" customHeight="false" outlineLevel="0" collapsed="false">
      <c r="A33" s="44"/>
      <c r="B33" s="34"/>
      <c r="C33" s="34"/>
      <c r="D33" s="35"/>
      <c r="E33" s="35"/>
      <c r="F33" s="33"/>
      <c r="G33" s="33"/>
      <c r="H33" s="34"/>
      <c r="I33" s="37"/>
      <c r="J33" s="37"/>
      <c r="K33" s="37"/>
      <c r="L33" s="37"/>
      <c r="M33" s="37"/>
      <c r="N33" s="38"/>
      <c r="O33" s="37"/>
      <c r="P33" s="53"/>
      <c r="Q33" s="87"/>
      <c r="R33" s="51"/>
      <c r="S33" s="51"/>
      <c r="T33" s="51"/>
      <c r="U33" s="52"/>
      <c r="V33" s="51"/>
      <c r="W33" s="53"/>
      <c r="X33" s="53"/>
    </row>
    <row r="34" customFormat="false" ht="12.75" hidden="false" customHeight="false" outlineLevel="0" collapsed="false">
      <c r="A34" s="44"/>
      <c r="B34" s="34"/>
      <c r="C34" s="34"/>
      <c r="D34" s="35"/>
      <c r="E34" s="35"/>
      <c r="F34" s="33"/>
      <c r="G34" s="33"/>
      <c r="H34" s="34"/>
      <c r="I34" s="37"/>
      <c r="J34" s="37"/>
      <c r="K34" s="37"/>
      <c r="L34" s="37"/>
      <c r="M34" s="37"/>
      <c r="N34" s="38"/>
      <c r="O34" s="37"/>
      <c r="P34" s="53"/>
      <c r="Q34" s="87"/>
      <c r="R34" s="51"/>
      <c r="S34" s="51"/>
      <c r="T34" s="51"/>
      <c r="U34" s="52"/>
      <c r="V34" s="51"/>
      <c r="W34" s="53"/>
      <c r="X34" s="53"/>
    </row>
    <row r="35" customFormat="false" ht="12.75" hidden="false" customHeight="false" outlineLevel="0" collapsed="false">
      <c r="A35" s="44"/>
      <c r="B35" s="34"/>
      <c r="C35" s="34"/>
      <c r="D35" s="35"/>
      <c r="E35" s="35"/>
      <c r="F35" s="33"/>
      <c r="G35" s="33"/>
      <c r="H35" s="34"/>
      <c r="I35" s="36"/>
      <c r="J35" s="37"/>
      <c r="K35" s="37"/>
      <c r="L35" s="37"/>
      <c r="M35" s="37"/>
      <c r="N35" s="38"/>
      <c r="O35" s="37"/>
      <c r="P35" s="53"/>
      <c r="Q35" s="87"/>
      <c r="R35" s="85"/>
      <c r="S35" s="51"/>
      <c r="T35" s="51"/>
      <c r="U35" s="52"/>
      <c r="V35" s="51"/>
      <c r="W35" s="53"/>
      <c r="X35" s="53"/>
    </row>
    <row r="36" customFormat="false" ht="12.75" hidden="false" customHeight="false" outlineLevel="0" collapsed="false">
      <c r="A36" s="44"/>
      <c r="B36" s="34"/>
      <c r="C36" s="34"/>
      <c r="D36" s="35"/>
      <c r="E36" s="35"/>
      <c r="F36" s="33"/>
      <c r="G36" s="33"/>
      <c r="H36" s="34"/>
      <c r="I36" s="36"/>
      <c r="J36" s="37"/>
      <c r="K36" s="37"/>
      <c r="L36" s="37"/>
      <c r="M36" s="37"/>
      <c r="N36" s="38"/>
      <c r="O36" s="37"/>
      <c r="P36" s="53"/>
      <c r="Q36" s="87"/>
      <c r="R36" s="85"/>
      <c r="S36" s="51"/>
      <c r="T36" s="51"/>
      <c r="U36" s="52"/>
      <c r="V36" s="51"/>
      <c r="W36" s="53"/>
      <c r="X36" s="53"/>
    </row>
    <row r="37" customFormat="false" ht="12.75" hidden="false" customHeight="false" outlineLevel="0" collapsed="false">
      <c r="P37" s="88"/>
      <c r="Q37" s="2"/>
      <c r="R37" s="2"/>
      <c r="S37" s="2"/>
      <c r="T37" s="2"/>
      <c r="U37" s="88"/>
      <c r="V37" s="2"/>
      <c r="W37" s="88"/>
    </row>
    <row r="38" customFormat="false" ht="12.75" hidden="false" customHeight="false" outlineLevel="0" collapsed="false">
      <c r="P38" s="88"/>
      <c r="Q38" s="2"/>
      <c r="R38" s="2"/>
      <c r="S38" s="2"/>
      <c r="T38" s="2"/>
      <c r="U38" s="88"/>
      <c r="V38" s="2"/>
      <c r="W38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BM56" activePane="bottomLeft" state="frozen"/>
      <selection pane="topLeft" activeCell="A1" activeCellId="0" sqref="A1"/>
      <selection pane="bottomLeft" activeCell="E72" activeCellId="0" sqref="E7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8.85"/>
    <col collapsed="false" customWidth="false" hidden="false" outlineLevel="0" max="2" min="2" style="43" width="9.14"/>
    <col collapsed="false" customWidth="true" hidden="false" outlineLevel="0" max="3" min="3" style="43" width="10.56"/>
    <col collapsed="false" customWidth="true" hidden="false" outlineLevel="0" max="4" min="4" style="43" width="8.7"/>
    <col collapsed="false" customWidth="true" hidden="false" outlineLevel="0" max="5" min="5" style="43" width="10.99"/>
    <col collapsed="false" customWidth="true" hidden="false" outlineLevel="0" max="6" min="6" style="44" width="12.42"/>
    <col collapsed="false" customWidth="true" hidden="false" outlineLevel="0" max="7" min="7" style="44" width="7.99"/>
    <col collapsed="false" customWidth="true" hidden="false" outlineLevel="0" max="8" min="8" style="43" width="6.41"/>
    <col collapsed="false" customWidth="true" hidden="false" outlineLevel="0" max="9" min="9" style="43" width="8.85"/>
    <col collapsed="false" customWidth="true" hidden="true" outlineLevel="0" max="13" min="10" style="43" width="9.06"/>
    <col collapsed="false" customWidth="true" hidden="true" outlineLevel="0" max="14" min="14" style="45" width="9.06"/>
    <col collapsed="false" customWidth="true" hidden="true" outlineLevel="0" max="15" min="15" style="43" width="9.06"/>
    <col collapsed="false" customWidth="true" hidden="false" outlineLevel="0" max="16" min="16" style="43" width="12.28"/>
    <col collapsed="false" customWidth="false" hidden="false" outlineLevel="0" max="17" min="17" style="43" width="9.14"/>
    <col collapsed="false" customWidth="true" hidden="false" outlineLevel="0" max="18" min="18" style="43" width="13.7"/>
    <col collapsed="false" customWidth="true" hidden="false" outlineLevel="0" max="19" min="19" style="19" width="12.85"/>
    <col collapsed="false" customWidth="true" hidden="false" outlineLevel="0" max="20" min="20" style="46" width="13.56"/>
    <col collapsed="false" customWidth="false" hidden="false" outlineLevel="0" max="22" min="21" style="46" width="9.14"/>
    <col collapsed="false" customWidth="true" hidden="false" outlineLevel="0" max="23" min="23" style="43" width="12.42"/>
    <col collapsed="false" customWidth="false" hidden="false" outlineLevel="0" max="257" min="24" style="43" width="9.14"/>
  </cols>
  <sheetData>
    <row r="1" customFormat="false" ht="12.75" hidden="false" customHeight="false" outlineLevel="0" collapsed="false">
      <c r="A1" s="47" t="s">
        <v>210</v>
      </c>
      <c r="B1" s="34"/>
      <c r="C1" s="34"/>
      <c r="D1" s="35"/>
      <c r="E1" s="35"/>
      <c r="F1" s="33" t="s">
        <v>211</v>
      </c>
      <c r="G1" s="33" t="n">
        <v>1</v>
      </c>
      <c r="H1" s="34" t="s">
        <v>162</v>
      </c>
      <c r="I1" s="48" t="n">
        <v>31</v>
      </c>
      <c r="J1" s="49" t="s">
        <v>163</v>
      </c>
      <c r="K1" s="37"/>
      <c r="L1" s="37"/>
      <c r="M1" s="37"/>
      <c r="N1" s="38"/>
      <c r="O1" s="37"/>
      <c r="P1" s="39"/>
      <c r="Q1" s="50"/>
      <c r="R1" s="51"/>
      <c r="S1" s="51"/>
      <c r="T1" s="52"/>
      <c r="U1" s="53"/>
      <c r="V1" s="53"/>
    </row>
    <row r="2" customFormat="false" ht="12.75" hidden="false" customHeight="false" outlineLevel="0" collapsed="false">
      <c r="A2" s="33" t="s">
        <v>164</v>
      </c>
      <c r="B2" s="33"/>
      <c r="C2" s="33"/>
      <c r="D2" s="35"/>
      <c r="E2" s="35"/>
      <c r="F2" s="33"/>
      <c r="G2" s="33"/>
      <c r="H2" s="34"/>
      <c r="I2" s="48"/>
      <c r="J2" s="49" t="s">
        <v>165</v>
      </c>
      <c r="K2" s="37"/>
      <c r="L2" s="37"/>
      <c r="M2" s="37"/>
      <c r="N2" s="38"/>
      <c r="O2" s="37"/>
      <c r="P2" s="39"/>
      <c r="Q2" s="50"/>
      <c r="R2" s="51"/>
      <c r="S2" s="51"/>
      <c r="T2" s="52"/>
      <c r="U2" s="53"/>
      <c r="V2" s="53"/>
    </row>
    <row r="3" customFormat="false" ht="12.75" hidden="false" customHeight="false" outlineLevel="0" collapsed="false">
      <c r="A3" s="33" t="s">
        <v>166</v>
      </c>
      <c r="B3" s="33"/>
      <c r="C3" s="33"/>
      <c r="D3" s="35"/>
      <c r="E3" s="35"/>
      <c r="F3" s="56" t="s">
        <v>73</v>
      </c>
      <c r="G3" s="33" t="s">
        <v>73</v>
      </c>
      <c r="H3" s="50" t="s">
        <v>73</v>
      </c>
      <c r="I3" s="36"/>
      <c r="J3" s="57" t="s">
        <v>73</v>
      </c>
      <c r="K3" s="37"/>
      <c r="L3" s="57" t="s">
        <v>73</v>
      </c>
      <c r="M3" s="37"/>
      <c r="N3" s="38"/>
      <c r="O3" s="57" t="s">
        <v>73</v>
      </c>
      <c r="P3" s="39"/>
      <c r="Q3" s="50"/>
      <c r="R3" s="51"/>
      <c r="S3" s="51"/>
      <c r="T3" s="52"/>
      <c r="U3" s="53"/>
      <c r="V3" s="53"/>
    </row>
    <row r="4" customFormat="false" ht="12.75" hidden="false" customHeight="false" outlineLevel="0" collapsed="false">
      <c r="A4" s="33" t="s">
        <v>167</v>
      </c>
      <c r="B4" s="34"/>
      <c r="C4" s="34"/>
      <c r="D4" s="35"/>
      <c r="E4" s="35"/>
      <c r="F4" s="60"/>
      <c r="G4" s="33"/>
      <c r="H4" s="60"/>
      <c r="I4" s="36"/>
      <c r="J4" s="60"/>
      <c r="K4" s="37"/>
      <c r="L4" s="60"/>
      <c r="M4" s="50"/>
      <c r="N4" s="38"/>
      <c r="O4" s="50"/>
      <c r="P4" s="39"/>
      <c r="Q4" s="50"/>
      <c r="R4" s="51"/>
      <c r="S4" s="51"/>
      <c r="T4" s="62"/>
      <c r="U4" s="53"/>
      <c r="V4" s="53"/>
    </row>
    <row r="5" customFormat="false" ht="12.75" hidden="false" customHeight="false" outlineLevel="0" collapsed="false">
      <c r="A5" s="33" t="s">
        <v>168</v>
      </c>
      <c r="B5" s="34"/>
      <c r="C5" s="63"/>
      <c r="D5" s="35"/>
      <c r="E5" s="35"/>
      <c r="F5" s="60"/>
      <c r="G5" s="33"/>
      <c r="H5" s="60"/>
      <c r="I5" s="36"/>
      <c r="J5" s="60"/>
      <c r="K5" s="37"/>
      <c r="L5" s="60"/>
      <c r="M5" s="50"/>
      <c r="N5" s="38"/>
      <c r="O5" s="50"/>
      <c r="P5" s="39"/>
      <c r="Q5" s="50"/>
      <c r="R5" s="51"/>
      <c r="S5" s="51"/>
      <c r="T5" s="62"/>
      <c r="U5" s="53"/>
      <c r="V5" s="53"/>
    </row>
    <row r="6" customFormat="false" ht="12.75" hidden="false" customHeight="false" outlineLevel="0" collapsed="false">
      <c r="A6" s="33"/>
      <c r="B6" s="34"/>
      <c r="C6" s="63"/>
      <c r="D6" s="35"/>
      <c r="E6" s="35"/>
      <c r="F6" s="60"/>
      <c r="G6" s="33"/>
      <c r="H6" s="60"/>
      <c r="I6" s="36"/>
      <c r="J6" s="60"/>
      <c r="K6" s="37"/>
      <c r="L6" s="60"/>
      <c r="M6" s="50"/>
      <c r="N6" s="38"/>
      <c r="O6" s="50"/>
      <c r="P6" s="39"/>
      <c r="Q6" s="50"/>
      <c r="R6" s="51"/>
      <c r="S6" s="51"/>
      <c r="T6" s="62"/>
      <c r="U6" s="53"/>
      <c r="V6" s="53"/>
    </row>
    <row r="7" customFormat="false" ht="12.75" hidden="false" customHeight="false" outlineLevel="0" collapsed="false">
      <c r="A7" s="33"/>
      <c r="B7" s="34"/>
      <c r="C7" s="63"/>
      <c r="D7" s="35"/>
      <c r="E7" s="35"/>
      <c r="F7" s="60"/>
      <c r="G7" s="33"/>
      <c r="H7" s="60"/>
      <c r="I7" s="36"/>
      <c r="J7" s="60"/>
      <c r="K7" s="37"/>
      <c r="L7" s="60"/>
      <c r="M7" s="50"/>
      <c r="N7" s="38"/>
      <c r="O7" s="50"/>
      <c r="P7" s="39"/>
      <c r="Q7" s="50"/>
      <c r="R7" s="51"/>
      <c r="S7" s="51"/>
      <c r="T7" s="62"/>
      <c r="U7" s="53"/>
      <c r="V7" s="53"/>
    </row>
    <row r="8" customFormat="false" ht="12.75" hidden="false" customHeight="false" outlineLevel="0" collapsed="false">
      <c r="A8" s="33"/>
      <c r="B8" s="34"/>
      <c r="C8" s="63"/>
      <c r="D8" s="35"/>
      <c r="E8" s="35"/>
      <c r="F8" s="60"/>
      <c r="G8" s="33"/>
      <c r="H8" s="60"/>
      <c r="I8" s="36"/>
      <c r="J8" s="60"/>
      <c r="K8" s="37"/>
      <c r="L8" s="60"/>
      <c r="M8" s="50"/>
      <c r="N8" s="38"/>
      <c r="O8" s="50"/>
      <c r="P8" s="39"/>
      <c r="Q8" s="50"/>
      <c r="R8" s="51"/>
      <c r="S8" s="51"/>
      <c r="T8" s="62"/>
      <c r="U8" s="53"/>
      <c r="V8" s="53"/>
    </row>
    <row r="9" customFormat="false" ht="12.75" hidden="false" customHeight="false" outlineLevel="0" collapsed="false">
      <c r="A9" s="33"/>
      <c r="B9" s="34"/>
      <c r="C9" s="63"/>
      <c r="D9" s="35"/>
      <c r="E9" s="35"/>
      <c r="F9" s="60"/>
      <c r="G9" s="33"/>
      <c r="H9" s="60"/>
      <c r="I9" s="36"/>
      <c r="J9" s="60"/>
      <c r="K9" s="37"/>
      <c r="L9" s="60"/>
      <c r="M9" s="50"/>
      <c r="N9" s="38"/>
      <c r="O9" s="50"/>
      <c r="P9" s="39"/>
      <c r="Q9" s="50"/>
      <c r="R9" s="51"/>
      <c r="S9" s="51"/>
      <c r="T9" s="62"/>
      <c r="U9" s="53"/>
      <c r="V9" s="53"/>
    </row>
    <row r="10" customFormat="false" ht="12.75" hidden="false" customHeight="false" outlineLevel="0" collapsed="false">
      <c r="A10" s="33"/>
      <c r="B10" s="34"/>
      <c r="C10" s="34"/>
      <c r="D10" s="35"/>
      <c r="E10" s="35" t="n">
        <v>37377</v>
      </c>
      <c r="F10" s="60"/>
      <c r="G10" s="33"/>
      <c r="H10" s="60"/>
      <c r="I10" s="36"/>
      <c r="J10" s="60"/>
      <c r="K10" s="37"/>
      <c r="L10" s="60"/>
      <c r="M10" s="50"/>
      <c r="N10" s="38"/>
      <c r="O10" s="50"/>
      <c r="P10" s="39"/>
      <c r="Q10" s="50"/>
      <c r="R10" s="51"/>
      <c r="S10" s="51"/>
      <c r="T10" s="62"/>
      <c r="U10" s="53"/>
      <c r="V10" s="53"/>
    </row>
    <row r="11" customFormat="false" ht="12.75" hidden="false" customHeight="false" outlineLevel="0" collapsed="false">
      <c r="A11" s="89"/>
      <c r="B11" s="87"/>
      <c r="C11" s="85"/>
      <c r="D11" s="90"/>
      <c r="E11" s="90"/>
      <c r="F11" s="89"/>
      <c r="G11" s="91"/>
      <c r="H11" s="87"/>
      <c r="I11" s="92"/>
      <c r="J11" s="84"/>
      <c r="K11" s="84"/>
      <c r="L11" s="84"/>
      <c r="M11" s="84"/>
      <c r="N11" s="93"/>
      <c r="O11" s="84"/>
      <c r="P11" s="94"/>
      <c r="Q11" s="87"/>
      <c r="R11" s="89"/>
      <c r="S11" s="51"/>
      <c r="T11" s="62"/>
      <c r="U11" s="42"/>
      <c r="V11" s="42"/>
    </row>
    <row r="12" customFormat="false" ht="12.75" hidden="false" customHeight="false" outlineLevel="0" collapsed="false">
      <c r="A12" s="95" t="s">
        <v>172</v>
      </c>
      <c r="B12" s="96" t="s">
        <v>173</v>
      </c>
      <c r="C12" s="96" t="s">
        <v>174</v>
      </c>
      <c r="D12" s="97" t="s">
        <v>175</v>
      </c>
      <c r="E12" s="97"/>
      <c r="F12" s="95" t="s">
        <v>176</v>
      </c>
      <c r="G12" s="95" t="s">
        <v>177</v>
      </c>
      <c r="H12" s="96" t="s">
        <v>178</v>
      </c>
      <c r="I12" s="98" t="s">
        <v>179</v>
      </c>
      <c r="J12" s="96" t="s">
        <v>180</v>
      </c>
      <c r="K12" s="96" t="s">
        <v>181</v>
      </c>
      <c r="L12" s="96" t="s">
        <v>182</v>
      </c>
      <c r="M12" s="96" t="s">
        <v>183</v>
      </c>
      <c r="N12" s="99" t="s">
        <v>184</v>
      </c>
      <c r="O12" s="96" t="s">
        <v>185</v>
      </c>
      <c r="P12" s="100" t="s">
        <v>212</v>
      </c>
      <c r="Q12" s="96" t="s">
        <v>187</v>
      </c>
      <c r="R12" s="95" t="s">
        <v>188</v>
      </c>
      <c r="S12" s="101" t="s">
        <v>189</v>
      </c>
      <c r="T12" s="102" t="s">
        <v>213</v>
      </c>
      <c r="U12" s="103"/>
      <c r="V12" s="104" t="s">
        <v>214</v>
      </c>
      <c r="W12" s="104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</row>
    <row r="13" customFormat="false" ht="12.75" hidden="false" customHeight="false" outlineLevel="0" collapsed="false">
      <c r="A13" s="33" t="s">
        <v>215</v>
      </c>
      <c r="B13" s="34" t="s">
        <v>216</v>
      </c>
      <c r="C13" s="34" t="s">
        <v>61</v>
      </c>
      <c r="D13" s="35"/>
      <c r="E13" s="106"/>
      <c r="F13" s="33" t="s">
        <v>217</v>
      </c>
      <c r="G13" s="33" t="s">
        <v>218</v>
      </c>
      <c r="H13" s="34" t="s">
        <v>178</v>
      </c>
      <c r="I13" s="36" t="n">
        <f aca="false">1.24/I$1</f>
        <v>0.04</v>
      </c>
      <c r="J13" s="37" t="n">
        <v>0</v>
      </c>
      <c r="K13" s="37" t="n">
        <v>0</v>
      </c>
      <c r="L13" s="37" t="n">
        <v>0</v>
      </c>
      <c r="M13" s="37" t="n">
        <v>0</v>
      </c>
      <c r="N13" s="38" t="n">
        <v>0</v>
      </c>
      <c r="O13" s="37" t="n">
        <f aca="false">SUM(I13:M13)</f>
        <v>0.04</v>
      </c>
      <c r="P13" s="39"/>
      <c r="Q13" s="34" t="n">
        <v>0</v>
      </c>
      <c r="R13" s="33" t="s">
        <v>219</v>
      </c>
      <c r="S13" s="40" t="n">
        <f aca="false">I13*I$1*Q13</f>
        <v>0</v>
      </c>
      <c r="T13" s="41" t="n">
        <v>1074883</v>
      </c>
      <c r="U13" s="42"/>
      <c r="V13" s="42" t="s">
        <v>220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false" outlineLevel="0" collapsed="false">
      <c r="A14" s="33"/>
      <c r="B14" s="34"/>
      <c r="C14" s="34"/>
      <c r="D14" s="35"/>
      <c r="E14" s="107"/>
      <c r="F14" s="33"/>
      <c r="G14" s="33"/>
      <c r="H14" s="34"/>
      <c r="I14" s="36"/>
      <c r="J14" s="37"/>
      <c r="K14" s="37"/>
      <c r="L14" s="37"/>
      <c r="M14" s="37"/>
      <c r="N14" s="38"/>
      <c r="O14" s="37"/>
      <c r="P14" s="39"/>
      <c r="Q14" s="34"/>
      <c r="R14" s="33"/>
      <c r="S14" s="40"/>
      <c r="T14" s="41"/>
      <c r="U14" s="42"/>
      <c r="V14" s="4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33"/>
      <c r="B15" s="34"/>
      <c r="C15" s="34"/>
      <c r="D15" s="35"/>
      <c r="E15" s="35"/>
      <c r="F15" s="33"/>
      <c r="G15" s="33"/>
      <c r="H15" s="34"/>
      <c r="I15" s="36"/>
      <c r="J15" s="37"/>
      <c r="K15" s="37"/>
      <c r="L15" s="37"/>
      <c r="M15" s="37"/>
      <c r="N15" s="38"/>
      <c r="O15" s="37"/>
      <c r="P15" s="39"/>
      <c r="Q15" s="108"/>
      <c r="R15" s="33"/>
      <c r="S15" s="40"/>
      <c r="T15" s="41"/>
      <c r="U15" s="42"/>
      <c r="V15" s="42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89" t="s">
        <v>73</v>
      </c>
      <c r="B16" s="87" t="s">
        <v>73</v>
      </c>
      <c r="C16" s="85" t="s">
        <v>73</v>
      </c>
      <c r="D16" s="90" t="s">
        <v>73</v>
      </c>
      <c r="E16" s="90"/>
      <c r="F16" s="89" t="s">
        <v>73</v>
      </c>
      <c r="G16" s="91" t="s">
        <v>73</v>
      </c>
      <c r="H16" s="87" t="s">
        <v>73</v>
      </c>
      <c r="I16" s="92"/>
      <c r="J16" s="84"/>
      <c r="K16" s="84"/>
      <c r="L16" s="84"/>
      <c r="M16" s="84"/>
      <c r="N16" s="93"/>
      <c r="O16" s="84"/>
      <c r="P16" s="94" t="s">
        <v>73</v>
      </c>
      <c r="Q16" s="85" t="n">
        <f aca="false">SUM(Q13:Q15)</f>
        <v>0</v>
      </c>
      <c r="R16" s="89" t="s">
        <v>221</v>
      </c>
      <c r="S16" s="51" t="n">
        <f aca="false">SUM(S13:S15)</f>
        <v>0</v>
      </c>
      <c r="T16" s="62"/>
      <c r="U16" s="53"/>
      <c r="V16" s="5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89"/>
      <c r="B17" s="87"/>
      <c r="C17" s="85"/>
      <c r="D17" s="90"/>
      <c r="E17" s="90"/>
      <c r="F17" s="89"/>
      <c r="G17" s="91"/>
      <c r="H17" s="87"/>
      <c r="I17" s="92"/>
      <c r="J17" s="84"/>
      <c r="K17" s="84"/>
      <c r="L17" s="84"/>
      <c r="M17" s="84"/>
      <c r="N17" s="93"/>
      <c r="O17" s="84"/>
      <c r="P17" s="94"/>
      <c r="Q17" s="87"/>
      <c r="R17" s="89" t="s">
        <v>222</v>
      </c>
      <c r="S17" s="51" t="n">
        <v>0</v>
      </c>
      <c r="T17" s="62"/>
      <c r="U17" s="53"/>
      <c r="V17" s="5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3.5" hidden="false" customHeight="false" outlineLevel="0" collapsed="false">
      <c r="A18" s="89"/>
      <c r="B18" s="87"/>
      <c r="C18" s="85"/>
      <c r="D18" s="90"/>
      <c r="E18" s="90"/>
      <c r="F18" s="89"/>
      <c r="G18" s="91"/>
      <c r="H18" s="87"/>
      <c r="I18" s="92"/>
      <c r="J18" s="84"/>
      <c r="K18" s="84"/>
      <c r="L18" s="84"/>
      <c r="M18" s="84"/>
      <c r="N18" s="93"/>
      <c r="O18" s="84"/>
      <c r="P18" s="94"/>
      <c r="Q18" s="87"/>
      <c r="R18" s="89" t="s">
        <v>223</v>
      </c>
      <c r="S18" s="109" t="n">
        <f aca="false">+S16-S17</f>
        <v>0</v>
      </c>
      <c r="T18" s="62"/>
      <c r="U18" s="42"/>
      <c r="V18" s="42"/>
    </row>
    <row r="19" customFormat="false" ht="13.5" hidden="false" customHeight="false" outlineLevel="0" collapsed="false">
      <c r="A19" s="89"/>
      <c r="B19" s="87"/>
      <c r="C19" s="85"/>
      <c r="D19" s="90"/>
      <c r="E19" s="90"/>
      <c r="F19" s="89"/>
      <c r="G19" s="91"/>
      <c r="H19" s="87"/>
      <c r="I19" s="92"/>
      <c r="J19" s="84"/>
      <c r="K19" s="84"/>
      <c r="L19" s="84"/>
      <c r="M19" s="84"/>
      <c r="N19" s="93"/>
      <c r="O19" s="84"/>
      <c r="P19" s="94"/>
      <c r="Q19" s="87"/>
      <c r="R19" s="89"/>
      <c r="S19" s="51"/>
      <c r="T19" s="62"/>
      <c r="U19" s="42"/>
      <c r="V19" s="42"/>
    </row>
    <row r="20" customFormat="false" ht="12.75" hidden="false" customHeight="false" outlineLevel="0" collapsed="false">
      <c r="A20" s="95" t="s">
        <v>172</v>
      </c>
      <c r="B20" s="96" t="s">
        <v>173</v>
      </c>
      <c r="C20" s="96" t="s">
        <v>174</v>
      </c>
      <c r="D20" s="97" t="s">
        <v>175</v>
      </c>
      <c r="E20" s="97"/>
      <c r="F20" s="95" t="s">
        <v>176</v>
      </c>
      <c r="G20" s="95" t="s">
        <v>177</v>
      </c>
      <c r="H20" s="96" t="s">
        <v>178</v>
      </c>
      <c r="I20" s="98" t="s">
        <v>179</v>
      </c>
      <c r="J20" s="96" t="s">
        <v>180</v>
      </c>
      <c r="K20" s="96" t="s">
        <v>181</v>
      </c>
      <c r="L20" s="96" t="s">
        <v>182</v>
      </c>
      <c r="M20" s="96" t="s">
        <v>183</v>
      </c>
      <c r="N20" s="99" t="s">
        <v>184</v>
      </c>
      <c r="O20" s="96" t="s">
        <v>185</v>
      </c>
      <c r="P20" s="100" t="s">
        <v>212</v>
      </c>
      <c r="Q20" s="96" t="s">
        <v>187</v>
      </c>
      <c r="R20" s="95" t="s">
        <v>188</v>
      </c>
      <c r="S20" s="101" t="s">
        <v>189</v>
      </c>
      <c r="T20" s="102" t="s">
        <v>213</v>
      </c>
      <c r="U20" s="103"/>
      <c r="V20" s="104" t="s">
        <v>214</v>
      </c>
      <c r="W20" s="104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  <c r="IW20" s="105"/>
    </row>
    <row r="21" customFormat="false" ht="12.75" hidden="false" customHeight="false" outlineLevel="0" collapsed="false">
      <c r="A21" s="33" t="s">
        <v>215</v>
      </c>
      <c r="B21" s="34" t="s">
        <v>192</v>
      </c>
      <c r="C21" s="34" t="s">
        <v>192</v>
      </c>
      <c r="D21" s="35" t="n">
        <v>34274</v>
      </c>
      <c r="E21" s="106" t="n">
        <v>37407</v>
      </c>
      <c r="F21" s="33" t="s">
        <v>224</v>
      </c>
      <c r="G21" s="33" t="s">
        <v>225</v>
      </c>
      <c r="H21" s="34" t="s">
        <v>226</v>
      </c>
      <c r="I21" s="36" t="n">
        <f aca="false">1.0603/I$1</f>
        <v>0.0342032258064516</v>
      </c>
      <c r="J21" s="37" t="n">
        <v>0</v>
      </c>
      <c r="K21" s="37" t="n">
        <v>0</v>
      </c>
      <c r="L21" s="37" t="n">
        <v>0</v>
      </c>
      <c r="M21" s="37" t="n">
        <v>0</v>
      </c>
      <c r="N21" s="38" t="n">
        <v>0</v>
      </c>
      <c r="O21" s="37" t="n">
        <f aca="false">SUM(I21:M21)</f>
        <v>0.0342032258064516</v>
      </c>
      <c r="P21" s="39" t="n">
        <v>37393</v>
      </c>
      <c r="Q21" s="34" t="n">
        <v>20000</v>
      </c>
      <c r="R21" s="33" t="s">
        <v>227</v>
      </c>
      <c r="S21" s="40" t="n">
        <f aca="false">I21*I$1*Q21</f>
        <v>21206</v>
      </c>
      <c r="T21" s="41" t="n">
        <v>92346</v>
      </c>
      <c r="U21" s="42"/>
      <c r="V21" s="42" t="s">
        <v>220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.75" hidden="false" customHeight="false" outlineLevel="0" collapsed="false">
      <c r="A22" s="33" t="s">
        <v>215</v>
      </c>
      <c r="B22" s="34" t="s">
        <v>192</v>
      </c>
      <c r="C22" s="34" t="s">
        <v>193</v>
      </c>
      <c r="D22" s="35" t="n">
        <v>36557</v>
      </c>
      <c r="E22" s="107" t="n">
        <v>37560</v>
      </c>
      <c r="F22" s="33" t="s">
        <v>228</v>
      </c>
      <c r="G22" s="33" t="s">
        <v>195</v>
      </c>
      <c r="H22" s="34"/>
      <c r="I22" s="36" t="n">
        <f aca="false">1.0603/I$1</f>
        <v>0.0342032258064516</v>
      </c>
      <c r="J22" s="37" t="n">
        <v>0</v>
      </c>
      <c r="K22" s="37" t="n">
        <v>0</v>
      </c>
      <c r="L22" s="37" t="n">
        <v>0</v>
      </c>
      <c r="M22" s="37" t="n">
        <v>0</v>
      </c>
      <c r="N22" s="38" t="n">
        <v>0</v>
      </c>
      <c r="O22" s="37" t="n">
        <f aca="false">SUM(I22:M22)</f>
        <v>0.0342032258064516</v>
      </c>
      <c r="P22" s="39" t="n">
        <v>42789</v>
      </c>
      <c r="Q22" s="34" t="n">
        <v>30000</v>
      </c>
      <c r="R22" s="33" t="s">
        <v>196</v>
      </c>
      <c r="S22" s="40" t="n">
        <f aca="false">I22*I$1*Q22</f>
        <v>31809</v>
      </c>
      <c r="T22" s="41" t="n">
        <v>1163952</v>
      </c>
      <c r="U22" s="42"/>
      <c r="V22" s="42" t="s">
        <v>220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2.75" hidden="false" customHeight="false" outlineLevel="0" collapsed="false">
      <c r="A23" s="33" t="s">
        <v>215</v>
      </c>
      <c r="B23" s="34" t="s">
        <v>192</v>
      </c>
      <c r="C23" s="34" t="s">
        <v>193</v>
      </c>
      <c r="D23" s="35" t="n">
        <v>36557</v>
      </c>
      <c r="E23" s="107" t="n">
        <v>37468</v>
      </c>
      <c r="F23" s="33" t="s">
        <v>229</v>
      </c>
      <c r="G23" s="33" t="s">
        <v>195</v>
      </c>
      <c r="H23" s="34"/>
      <c r="I23" s="36" t="n">
        <f aca="false">1.0603/I$1</f>
        <v>0.0342032258064516</v>
      </c>
      <c r="J23" s="37" t="n">
        <v>0</v>
      </c>
      <c r="K23" s="37" t="n">
        <v>0</v>
      </c>
      <c r="L23" s="37" t="n">
        <v>0</v>
      </c>
      <c r="M23" s="37" t="n">
        <v>0</v>
      </c>
      <c r="N23" s="38" t="n">
        <v>0</v>
      </c>
      <c r="O23" s="37" t="n">
        <f aca="false">SUM(I23:M23)</f>
        <v>0.0342032258064516</v>
      </c>
      <c r="P23" s="39" t="n">
        <v>50250</v>
      </c>
      <c r="Q23" s="34" t="n">
        <v>20000</v>
      </c>
      <c r="R23" s="33" t="s">
        <v>230</v>
      </c>
      <c r="S23" s="40" t="n">
        <f aca="false">I23*I$1*Q23</f>
        <v>21206</v>
      </c>
      <c r="T23" s="41" t="n">
        <v>156399</v>
      </c>
      <c r="U23" s="42"/>
      <c r="V23" s="42" t="s">
        <v>220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2.75" hidden="false" customHeight="false" outlineLevel="0" collapsed="false">
      <c r="A24" s="33" t="s">
        <v>215</v>
      </c>
      <c r="B24" s="34" t="s">
        <v>192</v>
      </c>
      <c r="C24" s="34" t="s">
        <v>193</v>
      </c>
      <c r="D24" s="35" t="n">
        <v>36557</v>
      </c>
      <c r="E24" s="106" t="n">
        <v>37955</v>
      </c>
      <c r="F24" s="33" t="s">
        <v>231</v>
      </c>
      <c r="G24" s="33" t="s">
        <v>232</v>
      </c>
      <c r="H24" s="34"/>
      <c r="I24" s="36" t="n">
        <f aca="false">1.0603/I$1</f>
        <v>0.0342032258064516</v>
      </c>
      <c r="J24" s="37" t="n">
        <v>0</v>
      </c>
      <c r="K24" s="37" t="n">
        <v>0</v>
      </c>
      <c r="L24" s="37" t="n">
        <v>0</v>
      </c>
      <c r="M24" s="37" t="n">
        <v>0</v>
      </c>
      <c r="N24" s="38" t="n">
        <v>0</v>
      </c>
      <c r="O24" s="37" t="n">
        <f aca="false">SUM(I24:M24)</f>
        <v>0.0342032258064516</v>
      </c>
      <c r="P24" s="39" t="n">
        <v>62408</v>
      </c>
      <c r="Q24" s="34" t="n">
        <v>40000</v>
      </c>
      <c r="R24" s="110" t="s">
        <v>233</v>
      </c>
      <c r="S24" s="40" t="n">
        <f aca="false">I24*I$1*Q24</f>
        <v>42412</v>
      </c>
      <c r="T24" s="41" t="n">
        <v>156526</v>
      </c>
      <c r="U24" s="42"/>
      <c r="V24" s="42" t="s">
        <v>220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33" t="s">
        <v>215</v>
      </c>
      <c r="B25" s="34" t="s">
        <v>192</v>
      </c>
      <c r="C25" s="34" t="s">
        <v>193</v>
      </c>
      <c r="D25" s="35" t="n">
        <v>36557</v>
      </c>
      <c r="E25" s="106" t="n">
        <v>38291</v>
      </c>
      <c r="F25" s="33" t="s">
        <v>234</v>
      </c>
      <c r="G25" s="33" t="s">
        <v>195</v>
      </c>
      <c r="H25" s="34"/>
      <c r="I25" s="36" t="n">
        <f aca="false">1.0603/I$1</f>
        <v>0.0342032258064516</v>
      </c>
      <c r="J25" s="37" t="n">
        <v>0</v>
      </c>
      <c r="K25" s="37" t="n">
        <v>0</v>
      </c>
      <c r="L25" s="37" t="n">
        <v>0</v>
      </c>
      <c r="M25" s="37" t="n">
        <v>0</v>
      </c>
      <c r="N25" s="38" t="n">
        <v>0</v>
      </c>
      <c r="O25" s="37" t="n">
        <f aca="false">SUM(I25:M25)</f>
        <v>0.0342032258064516</v>
      </c>
      <c r="P25" s="39" t="n">
        <v>63922</v>
      </c>
      <c r="Q25" s="34" t="n">
        <v>25654</v>
      </c>
      <c r="R25" s="110" t="s">
        <v>235</v>
      </c>
      <c r="S25" s="40" t="n">
        <f aca="false">I25*I$1*Q25</f>
        <v>27200.9362</v>
      </c>
      <c r="T25" s="41" t="n">
        <v>156540</v>
      </c>
      <c r="U25" s="42"/>
      <c r="V25" s="42" t="s">
        <v>220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2.75" hidden="false" customHeight="false" outlineLevel="0" collapsed="false">
      <c r="A26" s="33"/>
      <c r="B26" s="34"/>
      <c r="C26" s="34"/>
      <c r="D26" s="35"/>
      <c r="E26" s="35"/>
      <c r="F26" s="33"/>
      <c r="G26" s="33"/>
      <c r="H26" s="34"/>
      <c r="I26" s="36"/>
      <c r="J26" s="37"/>
      <c r="K26" s="37"/>
      <c r="L26" s="37"/>
      <c r="M26" s="37"/>
      <c r="N26" s="38"/>
      <c r="O26" s="37"/>
      <c r="P26" s="39"/>
      <c r="Q26" s="34"/>
      <c r="R26" s="33"/>
      <c r="S26" s="40"/>
      <c r="T26" s="41"/>
      <c r="U26" s="42"/>
      <c r="V26" s="42" t="s">
        <v>220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33"/>
      <c r="B27" s="34"/>
      <c r="C27" s="34"/>
      <c r="D27" s="35"/>
      <c r="E27" s="35"/>
      <c r="F27" s="33"/>
      <c r="G27" s="33"/>
      <c r="H27" s="34"/>
      <c r="I27" s="36"/>
      <c r="J27" s="37"/>
      <c r="K27" s="37"/>
      <c r="L27" s="37"/>
      <c r="M27" s="37"/>
      <c r="N27" s="38"/>
      <c r="O27" s="37"/>
      <c r="P27" s="39"/>
      <c r="Q27" s="34"/>
      <c r="R27" s="33"/>
      <c r="S27" s="40"/>
      <c r="T27" s="41"/>
      <c r="U27" s="42"/>
      <c r="V27" s="42" t="s">
        <v>220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33" t="s">
        <v>215</v>
      </c>
      <c r="B28" s="34" t="s">
        <v>192</v>
      </c>
      <c r="C28" s="34" t="s">
        <v>192</v>
      </c>
      <c r="D28" s="35" t="n">
        <v>34274</v>
      </c>
      <c r="E28" s="106" t="n">
        <v>40117</v>
      </c>
      <c r="F28" s="33" t="s">
        <v>225</v>
      </c>
      <c r="G28" s="33" t="s">
        <v>236</v>
      </c>
      <c r="H28" s="34" t="s">
        <v>226</v>
      </c>
      <c r="I28" s="36" t="n">
        <f aca="false">3.145/I$1</f>
        <v>0.101451612903226</v>
      </c>
      <c r="J28" s="37" t="n">
        <v>0</v>
      </c>
      <c r="K28" s="37" t="n">
        <v>0</v>
      </c>
      <c r="L28" s="37" t="n">
        <v>0</v>
      </c>
      <c r="M28" s="37" t="n">
        <v>0</v>
      </c>
      <c r="N28" s="38" t="n">
        <v>0</v>
      </c>
      <c r="O28" s="37" t="n">
        <f aca="false">SUM(I28:M28)</f>
        <v>0.101451612903226</v>
      </c>
      <c r="P28" s="111" t="n">
        <v>37861</v>
      </c>
      <c r="Q28" s="34" t="n">
        <v>15000</v>
      </c>
      <c r="R28" s="110" t="s">
        <v>237</v>
      </c>
      <c r="S28" s="40" t="n">
        <f aca="false">I28*I$1*Q28</f>
        <v>47175</v>
      </c>
      <c r="T28" s="41" t="n">
        <v>93034</v>
      </c>
      <c r="U28" s="42"/>
      <c r="V28" s="42" t="s">
        <v>220</v>
      </c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12.75" hidden="false" customHeight="false" outlineLevel="0" collapsed="false">
      <c r="A29" s="33" t="s">
        <v>215</v>
      </c>
      <c r="B29" s="34" t="s">
        <v>192</v>
      </c>
      <c r="C29" s="34" t="s">
        <v>193</v>
      </c>
      <c r="D29" s="35" t="n">
        <v>36557</v>
      </c>
      <c r="E29" s="106" t="n">
        <v>38472</v>
      </c>
      <c r="F29" s="33" t="s">
        <v>195</v>
      </c>
      <c r="G29" s="33" t="s">
        <v>236</v>
      </c>
      <c r="H29" s="34"/>
      <c r="I29" s="36" t="n">
        <f aca="false">3.145/I$1</f>
        <v>0.101451612903226</v>
      </c>
      <c r="J29" s="37" t="n">
        <v>0</v>
      </c>
      <c r="K29" s="37" t="n">
        <v>0</v>
      </c>
      <c r="L29" s="37" t="n">
        <v>0</v>
      </c>
      <c r="M29" s="37" t="n">
        <v>0</v>
      </c>
      <c r="N29" s="38" t="n">
        <v>0</v>
      </c>
      <c r="O29" s="37" t="n">
        <f aca="false">SUM(I29:M29)</f>
        <v>0.101451612903226</v>
      </c>
      <c r="P29" s="39" t="n">
        <v>58654</v>
      </c>
      <c r="Q29" s="34" t="n">
        <v>15000</v>
      </c>
      <c r="R29" s="110" t="s">
        <v>238</v>
      </c>
      <c r="S29" s="40" t="n">
        <f aca="false">I29*I$1*Q29</f>
        <v>47175</v>
      </c>
      <c r="T29" s="41" t="n">
        <v>156408</v>
      </c>
      <c r="U29" s="42"/>
      <c r="V29" s="42" t="s">
        <v>220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2.75" hidden="false" customHeight="false" outlineLevel="0" collapsed="false">
      <c r="A30" s="33" t="s">
        <v>215</v>
      </c>
      <c r="B30" s="34" t="s">
        <v>192</v>
      </c>
      <c r="C30" s="34" t="s">
        <v>193</v>
      </c>
      <c r="D30" s="35" t="n">
        <v>36557</v>
      </c>
      <c r="E30" s="106" t="n">
        <v>37346</v>
      </c>
      <c r="F30" s="33" t="s">
        <v>195</v>
      </c>
      <c r="G30" s="33" t="s">
        <v>236</v>
      </c>
      <c r="H30" s="34"/>
      <c r="I30" s="36" t="n">
        <f aca="false">2.6805/I$1</f>
        <v>0.0864677419354839</v>
      </c>
      <c r="J30" s="37" t="n">
        <v>0</v>
      </c>
      <c r="K30" s="37" t="n">
        <v>0</v>
      </c>
      <c r="L30" s="37" t="n">
        <v>0</v>
      </c>
      <c r="M30" s="37" t="n">
        <v>0</v>
      </c>
      <c r="N30" s="38" t="n">
        <v>0</v>
      </c>
      <c r="O30" s="37" t="n">
        <f aca="false">SUM(I30:M30)</f>
        <v>0.0864677419354839</v>
      </c>
      <c r="P30" s="39" t="n">
        <v>63115</v>
      </c>
      <c r="Q30" s="34" t="n">
        <v>30000</v>
      </c>
      <c r="R30" s="110" t="s">
        <v>239</v>
      </c>
      <c r="S30" s="40" t="n">
        <f aca="false">I30*I$1*Q30</f>
        <v>80415</v>
      </c>
      <c r="T30" s="41" t="n">
        <v>156532</v>
      </c>
      <c r="U30" s="42"/>
      <c r="V30" s="42" t="s">
        <v>220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2.75" hidden="false" customHeight="false" outlineLevel="0" collapsed="false">
      <c r="A31" s="33"/>
      <c r="B31" s="34"/>
      <c r="C31" s="34"/>
      <c r="D31" s="35"/>
      <c r="E31" s="35"/>
      <c r="F31" s="33"/>
      <c r="G31" s="33"/>
      <c r="H31" s="34"/>
      <c r="I31" s="36"/>
      <c r="J31" s="37"/>
      <c r="K31" s="37"/>
      <c r="L31" s="37"/>
      <c r="M31" s="37"/>
      <c r="N31" s="38"/>
      <c r="O31" s="37"/>
      <c r="P31" s="39"/>
      <c r="Q31" s="108"/>
      <c r="R31" s="33"/>
      <c r="S31" s="40"/>
      <c r="T31" s="41"/>
      <c r="U31" s="42"/>
      <c r="V31" s="42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2.75" hidden="false" customHeight="false" outlineLevel="0" collapsed="false">
      <c r="A32" s="89" t="s">
        <v>73</v>
      </c>
      <c r="B32" s="87" t="s">
        <v>73</v>
      </c>
      <c r="C32" s="85" t="s">
        <v>73</v>
      </c>
      <c r="D32" s="90" t="s">
        <v>73</v>
      </c>
      <c r="E32" s="90"/>
      <c r="F32" s="89" t="s">
        <v>73</v>
      </c>
      <c r="G32" s="91" t="s">
        <v>73</v>
      </c>
      <c r="H32" s="87" t="s">
        <v>73</v>
      </c>
      <c r="I32" s="92"/>
      <c r="J32" s="84"/>
      <c r="K32" s="84"/>
      <c r="L32" s="84"/>
      <c r="M32" s="84"/>
      <c r="N32" s="93"/>
      <c r="O32" s="84"/>
      <c r="P32" s="94" t="s">
        <v>73</v>
      </c>
      <c r="Q32" s="85" t="n">
        <f aca="false">SUM(Q21:Q31)</f>
        <v>195654</v>
      </c>
      <c r="R32" s="89" t="s">
        <v>221</v>
      </c>
      <c r="S32" s="51" t="n">
        <f aca="false">SUM(S21:S31)</f>
        <v>318598.9362</v>
      </c>
      <c r="T32" s="62"/>
      <c r="U32" s="53"/>
      <c r="V32" s="5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89"/>
      <c r="B33" s="87"/>
      <c r="C33" s="85"/>
      <c r="D33" s="90"/>
      <c r="E33" s="90"/>
      <c r="F33" s="89"/>
      <c r="G33" s="91"/>
      <c r="H33" s="87"/>
      <c r="I33" s="92"/>
      <c r="J33" s="84"/>
      <c r="K33" s="84"/>
      <c r="L33" s="84"/>
      <c r="M33" s="84"/>
      <c r="N33" s="93"/>
      <c r="O33" s="84"/>
      <c r="P33" s="94"/>
      <c r="Q33" s="87"/>
      <c r="R33" s="89" t="s">
        <v>222</v>
      </c>
      <c r="S33" s="51" t="n">
        <v>0</v>
      </c>
      <c r="T33" s="62"/>
      <c r="U33" s="53"/>
      <c r="V33" s="5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3.5" hidden="false" customHeight="false" outlineLevel="0" collapsed="false">
      <c r="A34" s="89"/>
      <c r="B34" s="87"/>
      <c r="C34" s="85"/>
      <c r="D34" s="90"/>
      <c r="E34" s="90"/>
      <c r="F34" s="89"/>
      <c r="G34" s="91"/>
      <c r="H34" s="87"/>
      <c r="I34" s="92"/>
      <c r="J34" s="84"/>
      <c r="K34" s="84"/>
      <c r="L34" s="84"/>
      <c r="M34" s="84"/>
      <c r="N34" s="93"/>
      <c r="O34" s="84"/>
      <c r="P34" s="94"/>
      <c r="Q34" s="87"/>
      <c r="R34" s="89" t="s">
        <v>223</v>
      </c>
      <c r="S34" s="109" t="n">
        <f aca="false">+S32-S33</f>
        <v>318598.9362</v>
      </c>
      <c r="T34" s="62"/>
      <c r="U34" s="42"/>
      <c r="V34" s="42"/>
    </row>
    <row r="35" customFormat="false" ht="13.5" hidden="false" customHeight="false" outlineLevel="0" collapsed="false">
      <c r="A35" s="89"/>
      <c r="B35" s="87"/>
      <c r="C35" s="85"/>
      <c r="D35" s="90"/>
      <c r="E35" s="90"/>
      <c r="F35" s="89"/>
      <c r="G35" s="91"/>
      <c r="H35" s="87"/>
      <c r="I35" s="92"/>
      <c r="J35" s="84"/>
      <c r="K35" s="84"/>
      <c r="L35" s="84"/>
      <c r="M35" s="84"/>
      <c r="N35" s="93"/>
      <c r="O35" s="84"/>
      <c r="P35" s="94"/>
      <c r="Q35" s="87"/>
      <c r="R35" s="89"/>
      <c r="S35" s="51"/>
      <c r="T35" s="62"/>
      <c r="U35" s="42"/>
      <c r="V35" s="42"/>
    </row>
    <row r="36" customFormat="false" ht="12.75" hidden="false" customHeight="false" outlineLevel="0" collapsed="false">
      <c r="A36" s="95" t="s">
        <v>172</v>
      </c>
      <c r="B36" s="96" t="s">
        <v>173</v>
      </c>
      <c r="C36" s="96" t="s">
        <v>174</v>
      </c>
      <c r="D36" s="97" t="s">
        <v>175</v>
      </c>
      <c r="E36" s="97"/>
      <c r="F36" s="95" t="s">
        <v>176</v>
      </c>
      <c r="G36" s="95" t="s">
        <v>177</v>
      </c>
      <c r="H36" s="96" t="s">
        <v>178</v>
      </c>
      <c r="I36" s="98" t="s">
        <v>179</v>
      </c>
      <c r="J36" s="96" t="s">
        <v>180</v>
      </c>
      <c r="K36" s="96" t="s">
        <v>181</v>
      </c>
      <c r="L36" s="96" t="s">
        <v>182</v>
      </c>
      <c r="M36" s="96" t="s">
        <v>183</v>
      </c>
      <c r="N36" s="99" t="s">
        <v>184</v>
      </c>
      <c r="O36" s="96" t="s">
        <v>185</v>
      </c>
      <c r="P36" s="100" t="s">
        <v>212</v>
      </c>
      <c r="Q36" s="96" t="s">
        <v>187</v>
      </c>
      <c r="R36" s="95" t="s">
        <v>188</v>
      </c>
      <c r="S36" s="101" t="s">
        <v>197</v>
      </c>
      <c r="T36" s="112" t="s">
        <v>197</v>
      </c>
      <c r="U36" s="102"/>
      <c r="V36" s="103"/>
      <c r="W36" s="103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  <c r="IW36" s="105"/>
    </row>
    <row r="37" customFormat="false" ht="12.75" hidden="false" customHeight="false" outlineLevel="0" collapsed="false">
      <c r="A37" s="33" t="s">
        <v>215</v>
      </c>
      <c r="B37" s="34" t="s">
        <v>198</v>
      </c>
      <c r="C37" s="34" t="s">
        <v>119</v>
      </c>
      <c r="D37" s="35" t="n">
        <v>37012</v>
      </c>
      <c r="E37" s="35" t="n">
        <v>37376</v>
      </c>
      <c r="F37" s="33" t="s">
        <v>240</v>
      </c>
      <c r="G37" s="33" t="s">
        <v>241</v>
      </c>
      <c r="H37" s="34" t="s">
        <v>242</v>
      </c>
      <c r="I37" s="42" t="n">
        <f aca="false">6.195/I1</f>
        <v>0.199838709677419</v>
      </c>
      <c r="J37" s="37"/>
      <c r="K37" s="37"/>
      <c r="L37" s="37"/>
      <c r="M37" s="37"/>
      <c r="N37" s="38"/>
      <c r="O37" s="37"/>
      <c r="P37" s="39" t="n">
        <v>67207</v>
      </c>
      <c r="Q37" s="34" t="n">
        <v>19293</v>
      </c>
      <c r="R37" s="33" t="s">
        <v>243</v>
      </c>
      <c r="S37" s="41" t="n">
        <f aca="false">I37*I$1*Q37</f>
        <v>119520.135</v>
      </c>
      <c r="T37" s="113"/>
      <c r="U37" s="41" t="n">
        <v>615426</v>
      </c>
      <c r="V37" s="42" t="s">
        <v>244</v>
      </c>
      <c r="W37" s="42"/>
      <c r="X37" s="42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2.75" hidden="false" customHeight="false" outlineLevel="0" collapsed="false">
      <c r="A38" s="54" t="s">
        <v>245</v>
      </c>
      <c r="B38" s="114" t="s">
        <v>198</v>
      </c>
      <c r="C38" s="114" t="s">
        <v>198</v>
      </c>
      <c r="D38" s="106" t="n">
        <v>36982</v>
      </c>
      <c r="E38" s="106" t="n">
        <v>37346</v>
      </c>
      <c r="F38" s="54" t="s">
        <v>246</v>
      </c>
      <c r="G38" s="54" t="s">
        <v>247</v>
      </c>
      <c r="H38" s="114" t="s">
        <v>226</v>
      </c>
      <c r="I38" s="115" t="n">
        <f aca="false">6.195/I$1</f>
        <v>0.199838709677419</v>
      </c>
      <c r="J38" s="116" t="n">
        <v>0</v>
      </c>
      <c r="K38" s="116" t="n">
        <v>0</v>
      </c>
      <c r="L38" s="116" t="n">
        <v>0</v>
      </c>
      <c r="M38" s="116" t="n">
        <v>0</v>
      </c>
      <c r="N38" s="117" t="n">
        <v>0</v>
      </c>
      <c r="O38" s="116" t="n">
        <f aca="false">SUM(I38:M38)</f>
        <v>0.199838709677419</v>
      </c>
      <c r="P38" s="111" t="n">
        <v>67133</v>
      </c>
      <c r="Q38" s="114" t="n">
        <v>4000</v>
      </c>
      <c r="R38" s="54" t="s">
        <v>248</v>
      </c>
      <c r="S38" s="40" t="n">
        <f aca="false">I38*I$1*Q38</f>
        <v>24780</v>
      </c>
      <c r="T38" s="118" t="n">
        <v>4.41</v>
      </c>
      <c r="U38" s="119" t="n">
        <v>690593</v>
      </c>
      <c r="V38" s="120" t="s">
        <v>244</v>
      </c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</row>
    <row r="39" customFormat="false" ht="12.75" hidden="false" customHeight="false" outlineLevel="0" collapsed="false">
      <c r="A39" s="54" t="s">
        <v>245</v>
      </c>
      <c r="B39" s="114" t="s">
        <v>198</v>
      </c>
      <c r="C39" s="114" t="s">
        <v>198</v>
      </c>
      <c r="D39" s="106" t="n">
        <v>36982</v>
      </c>
      <c r="E39" s="106" t="n">
        <v>37346</v>
      </c>
      <c r="F39" s="54" t="s">
        <v>246</v>
      </c>
      <c r="G39" s="54" t="s">
        <v>249</v>
      </c>
      <c r="H39" s="114" t="s">
        <v>226</v>
      </c>
      <c r="I39" s="115" t="n">
        <f aca="false">6.231/I$1</f>
        <v>0.201</v>
      </c>
      <c r="J39" s="116" t="n">
        <v>0</v>
      </c>
      <c r="K39" s="116" t="n">
        <v>0</v>
      </c>
      <c r="L39" s="116" t="n">
        <v>0</v>
      </c>
      <c r="M39" s="116" t="n">
        <v>0</v>
      </c>
      <c r="N39" s="117" t="n">
        <v>0</v>
      </c>
      <c r="O39" s="116" t="n">
        <f aca="false">SUM(I39:M39)</f>
        <v>0.201</v>
      </c>
      <c r="P39" s="111" t="n">
        <v>70197</v>
      </c>
      <c r="Q39" s="114" t="n">
        <v>4000</v>
      </c>
      <c r="R39" s="54" t="s">
        <v>248</v>
      </c>
      <c r="S39" s="40" t="n">
        <f aca="false">I39*I$1*Q39</f>
        <v>24924</v>
      </c>
      <c r="T39" s="118" t="n">
        <v>6.201</v>
      </c>
      <c r="U39" s="119" t="n">
        <v>544527</v>
      </c>
      <c r="V39" s="120" t="s">
        <v>244</v>
      </c>
      <c r="W39" s="120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</row>
    <row r="40" customFormat="false" ht="12.75" hidden="false" customHeight="false" outlineLevel="0" collapsed="false">
      <c r="A40" s="33" t="s">
        <v>250</v>
      </c>
      <c r="B40" s="34" t="s">
        <v>198</v>
      </c>
      <c r="C40" s="34" t="s">
        <v>251</v>
      </c>
      <c r="D40" s="35" t="n">
        <v>36434</v>
      </c>
      <c r="E40" s="35" t="n">
        <v>36714</v>
      </c>
      <c r="F40" s="33" t="s">
        <v>236</v>
      </c>
      <c r="G40" s="33" t="s">
        <v>252</v>
      </c>
      <c r="H40" s="34"/>
      <c r="I40" s="36" t="n">
        <v>0</v>
      </c>
      <c r="J40" s="37" t="n">
        <v>0</v>
      </c>
      <c r="K40" s="37" t="n">
        <v>0</v>
      </c>
      <c r="L40" s="37" t="n">
        <v>0</v>
      </c>
      <c r="M40" s="37" t="n">
        <v>0</v>
      </c>
      <c r="N40" s="38" t="n">
        <v>0</v>
      </c>
      <c r="O40" s="37" t="n">
        <f aca="false">SUM(I40:M40)</f>
        <v>0</v>
      </c>
      <c r="P40" s="39"/>
      <c r="Q40" s="34" t="n">
        <v>40000</v>
      </c>
      <c r="R40" s="33"/>
      <c r="S40" s="40" t="n">
        <f aca="false">I40*I$1*Q40</f>
        <v>0</v>
      </c>
      <c r="T40" s="40"/>
      <c r="U40" s="41"/>
      <c r="V40" s="42" t="s">
        <v>244</v>
      </c>
      <c r="W40" s="42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2.75" hidden="false" customHeight="false" outlineLevel="0" collapsed="false">
      <c r="A41" s="54" t="s">
        <v>208</v>
      </c>
      <c r="B41" s="114" t="s">
        <v>198</v>
      </c>
      <c r="C41" s="114" t="s">
        <v>251</v>
      </c>
      <c r="D41" s="106" t="n">
        <v>37196</v>
      </c>
      <c r="E41" s="106" t="n">
        <v>37346</v>
      </c>
      <c r="F41" s="54" t="s">
        <v>236</v>
      </c>
      <c r="G41" s="54" t="s">
        <v>252</v>
      </c>
      <c r="H41" s="114"/>
      <c r="I41" s="115" t="n">
        <f aca="false">3.02/I$1</f>
        <v>0.0974193548387097</v>
      </c>
      <c r="J41" s="116" t="n">
        <v>0</v>
      </c>
      <c r="K41" s="116" t="n">
        <v>0</v>
      </c>
      <c r="L41" s="116" t="n">
        <v>0</v>
      </c>
      <c r="M41" s="116" t="n">
        <v>0</v>
      </c>
      <c r="N41" s="117" t="n">
        <v>0</v>
      </c>
      <c r="O41" s="116" t="n">
        <f aca="false">SUM(I41:M41)</f>
        <v>0.0974193548387097</v>
      </c>
      <c r="P41" s="111"/>
      <c r="Q41" s="114" t="n">
        <v>40000</v>
      </c>
      <c r="R41" s="54" t="s">
        <v>253</v>
      </c>
      <c r="S41" s="122" t="n">
        <f aca="false">I41*I$1*Q41</f>
        <v>120800</v>
      </c>
      <c r="T41" s="122"/>
      <c r="U41" s="119" t="n">
        <v>1143768</v>
      </c>
      <c r="V41" s="120" t="s">
        <v>244</v>
      </c>
      <c r="W41" s="120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</row>
    <row r="42" customFormat="false" ht="12.75" hidden="false" customHeight="false" outlineLevel="0" collapsed="false">
      <c r="A42" s="33"/>
      <c r="B42" s="34"/>
      <c r="C42" s="34"/>
      <c r="D42" s="35"/>
      <c r="E42" s="35"/>
      <c r="F42" s="33"/>
      <c r="G42" s="33"/>
      <c r="H42" s="34"/>
      <c r="I42" s="36"/>
      <c r="J42" s="37"/>
      <c r="K42" s="37"/>
      <c r="L42" s="37"/>
      <c r="M42" s="37"/>
      <c r="N42" s="38"/>
      <c r="O42" s="37"/>
      <c r="P42" s="39"/>
      <c r="Q42" s="34"/>
      <c r="R42" s="33"/>
      <c r="S42" s="40"/>
      <c r="T42" s="40"/>
      <c r="U42" s="41"/>
      <c r="V42" s="42" t="s">
        <v>244</v>
      </c>
      <c r="W42" s="42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33"/>
      <c r="B43" s="34"/>
      <c r="C43" s="34"/>
      <c r="D43" s="123"/>
      <c r="E43" s="35"/>
      <c r="F43" s="33"/>
      <c r="G43" s="33"/>
      <c r="H43" s="34"/>
      <c r="I43" s="36"/>
      <c r="J43" s="37"/>
      <c r="K43" s="37"/>
      <c r="L43" s="37"/>
      <c r="M43" s="37"/>
      <c r="N43" s="38"/>
      <c r="O43" s="37"/>
      <c r="P43" s="39"/>
      <c r="Q43" s="85" t="n">
        <f aca="false">SUM(Q37:Q42)</f>
        <v>107293</v>
      </c>
      <c r="R43" s="89" t="s">
        <v>221</v>
      </c>
      <c r="S43" s="51" t="n">
        <f aca="false">SUM(S37:S42)</f>
        <v>290024.135</v>
      </c>
      <c r="T43" s="40"/>
      <c r="U43" s="41"/>
      <c r="V43" s="42" t="s">
        <v>244</v>
      </c>
      <c r="W43" s="42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33"/>
      <c r="B44" s="34"/>
      <c r="C44" s="34"/>
      <c r="D44" s="123"/>
      <c r="E44" s="35"/>
      <c r="F44" s="33"/>
      <c r="G44" s="33"/>
      <c r="H44" s="34"/>
      <c r="I44" s="36"/>
      <c r="J44" s="37"/>
      <c r="K44" s="37"/>
      <c r="L44" s="37"/>
      <c r="M44" s="37"/>
      <c r="N44" s="38"/>
      <c r="O44" s="37"/>
      <c r="P44" s="39"/>
      <c r="Q44" s="85"/>
      <c r="R44" s="89" t="s">
        <v>254</v>
      </c>
      <c r="S44" s="51" t="n">
        <v>0</v>
      </c>
      <c r="T44" s="33"/>
      <c r="U44" s="41"/>
      <c r="V44" s="42" t="s">
        <v>244</v>
      </c>
      <c r="W44" s="42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2.75" hidden="false" customHeight="false" outlineLevel="0" collapsed="false">
      <c r="A45" s="33"/>
      <c r="B45" s="34"/>
      <c r="C45" s="34"/>
      <c r="D45" s="35"/>
      <c r="E45" s="35"/>
      <c r="F45" s="33"/>
      <c r="G45" s="33"/>
      <c r="H45" s="34"/>
      <c r="I45" s="36"/>
      <c r="J45" s="37"/>
      <c r="K45" s="37"/>
      <c r="L45" s="37"/>
      <c r="M45" s="37"/>
      <c r="N45" s="38"/>
      <c r="O45" s="37"/>
      <c r="P45" s="39"/>
      <c r="Q45" s="87"/>
      <c r="R45" s="89" t="s">
        <v>222</v>
      </c>
      <c r="S45" s="51" t="n">
        <v>0</v>
      </c>
      <c r="T45" s="40"/>
      <c r="U45" s="41"/>
      <c r="V45" s="42" t="s">
        <v>244</v>
      </c>
      <c r="W45" s="42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3.5" hidden="false" customHeight="false" outlineLevel="0" collapsed="false">
      <c r="A46" s="33"/>
      <c r="B46" s="34"/>
      <c r="C46" s="34"/>
      <c r="D46" s="35"/>
      <c r="E46" s="35"/>
      <c r="F46" s="33"/>
      <c r="G46" s="33"/>
      <c r="H46" s="34"/>
      <c r="I46" s="36"/>
      <c r="J46" s="37"/>
      <c r="K46" s="37"/>
      <c r="L46" s="37"/>
      <c r="M46" s="37"/>
      <c r="N46" s="38"/>
      <c r="O46" s="37"/>
      <c r="P46" s="39"/>
      <c r="Q46" s="87"/>
      <c r="R46" s="89" t="s">
        <v>223</v>
      </c>
      <c r="S46" s="124" t="n">
        <f aca="false">+S43-S45</f>
        <v>290024.135</v>
      </c>
      <c r="T46" s="40"/>
      <c r="U46" s="41"/>
      <c r="V46" s="42" t="s">
        <v>244</v>
      </c>
      <c r="W46" s="42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3.5" hidden="false" customHeight="false" outlineLevel="0" collapsed="false">
      <c r="A47" s="33"/>
      <c r="B47" s="34"/>
      <c r="C47" s="34"/>
      <c r="D47" s="35"/>
      <c r="E47" s="35"/>
      <c r="F47" s="33"/>
      <c r="G47" s="33"/>
      <c r="H47" s="34"/>
      <c r="I47" s="36"/>
      <c r="J47" s="37"/>
      <c r="K47" s="37"/>
      <c r="L47" s="37"/>
      <c r="M47" s="37"/>
      <c r="N47" s="38"/>
      <c r="O47" s="37"/>
      <c r="P47" s="39"/>
      <c r="Q47" s="34"/>
      <c r="R47" s="33"/>
      <c r="S47" s="40"/>
      <c r="T47" s="40"/>
      <c r="U47" s="41"/>
      <c r="V47" s="42"/>
      <c r="W47" s="42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2.75" hidden="false" customHeight="false" outlineLevel="0" collapsed="false">
      <c r="A48" s="33"/>
      <c r="B48" s="34"/>
      <c r="C48" s="34"/>
      <c r="D48" s="35"/>
      <c r="E48" s="35"/>
      <c r="F48" s="33"/>
      <c r="G48" s="33"/>
      <c r="H48" s="34"/>
      <c r="I48" s="36"/>
      <c r="J48" s="37"/>
      <c r="K48" s="37"/>
      <c r="L48" s="37"/>
      <c r="M48" s="37"/>
      <c r="N48" s="38"/>
      <c r="O48" s="37"/>
      <c r="P48" s="39"/>
      <c r="Q48" s="34"/>
      <c r="R48" s="33"/>
      <c r="S48" s="40"/>
      <c r="T48" s="40"/>
      <c r="U48" s="41"/>
      <c r="V48" s="42"/>
      <c r="W48" s="42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95" t="s">
        <v>172</v>
      </c>
      <c r="B49" s="96" t="s">
        <v>173</v>
      </c>
      <c r="C49" s="96" t="s">
        <v>174</v>
      </c>
      <c r="D49" s="97" t="s">
        <v>175</v>
      </c>
      <c r="E49" s="97"/>
      <c r="F49" s="95" t="s">
        <v>176</v>
      </c>
      <c r="G49" s="95" t="s">
        <v>177</v>
      </c>
      <c r="H49" s="96" t="s">
        <v>178</v>
      </c>
      <c r="I49" s="98" t="s">
        <v>179</v>
      </c>
      <c r="J49" s="96" t="s">
        <v>180</v>
      </c>
      <c r="K49" s="96" t="s">
        <v>181</v>
      </c>
      <c r="L49" s="96" t="s">
        <v>182</v>
      </c>
      <c r="M49" s="96" t="s">
        <v>183</v>
      </c>
      <c r="N49" s="99" t="s">
        <v>184</v>
      </c>
      <c r="O49" s="96" t="s">
        <v>185</v>
      </c>
      <c r="P49" s="100" t="s">
        <v>212</v>
      </c>
      <c r="Q49" s="96" t="s">
        <v>187</v>
      </c>
      <c r="R49" s="95" t="s">
        <v>188</v>
      </c>
      <c r="S49" s="101" t="s">
        <v>189</v>
      </c>
      <c r="T49" s="102" t="s">
        <v>213</v>
      </c>
      <c r="U49" s="103"/>
      <c r="V49" s="103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  <c r="IT49" s="105"/>
      <c r="IU49" s="105"/>
      <c r="IV49" s="105"/>
      <c r="IW49" s="105"/>
    </row>
    <row r="50" customFormat="false" ht="12.75" hidden="false" customHeight="false" outlineLevel="0" collapsed="false">
      <c r="A50" s="33" t="s">
        <v>255</v>
      </c>
      <c r="B50" s="34" t="s">
        <v>256</v>
      </c>
      <c r="C50" s="34" t="s">
        <v>256</v>
      </c>
      <c r="D50" s="35" t="n">
        <v>37104</v>
      </c>
      <c r="E50" s="35" t="n">
        <v>37134</v>
      </c>
      <c r="F50" s="33" t="s">
        <v>257</v>
      </c>
      <c r="G50" s="33" t="s">
        <v>257</v>
      </c>
      <c r="H50" s="34" t="s">
        <v>226</v>
      </c>
      <c r="I50" s="36" t="n">
        <v>0.3717</v>
      </c>
      <c r="J50" s="37" t="n">
        <v>0</v>
      </c>
      <c r="K50" s="37" t="n">
        <v>0</v>
      </c>
      <c r="L50" s="37" t="n">
        <v>0</v>
      </c>
      <c r="M50" s="37" t="n">
        <v>0</v>
      </c>
      <c r="N50" s="38" t="n">
        <v>0</v>
      </c>
      <c r="O50" s="37" t="n">
        <f aca="false">SUM(I50:M50)</f>
        <v>0.3717</v>
      </c>
      <c r="P50" s="39" t="n">
        <v>5085</v>
      </c>
      <c r="Q50" s="34" t="n">
        <v>2816</v>
      </c>
      <c r="R50" s="33" t="s">
        <v>258</v>
      </c>
      <c r="S50" s="40" t="n">
        <f aca="false">I50*I$1*Q50</f>
        <v>32447.9232</v>
      </c>
      <c r="T50" s="41"/>
      <c r="U50" s="42"/>
      <c r="V50" s="42" t="s">
        <v>259</v>
      </c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2.75" hidden="false" customHeight="false" outlineLevel="0" collapsed="false">
      <c r="A51" s="33" t="s">
        <v>255</v>
      </c>
      <c r="B51" s="34" t="s">
        <v>256</v>
      </c>
      <c r="C51" s="34" t="s">
        <v>256</v>
      </c>
      <c r="D51" s="35" t="n">
        <v>37104</v>
      </c>
      <c r="E51" s="35" t="n">
        <v>37134</v>
      </c>
      <c r="F51" s="33" t="s">
        <v>257</v>
      </c>
      <c r="G51" s="33" t="s">
        <v>257</v>
      </c>
      <c r="H51" s="34" t="s">
        <v>226</v>
      </c>
      <c r="I51" s="36" t="n">
        <v>0.7553</v>
      </c>
      <c r="J51" s="37" t="n">
        <v>0</v>
      </c>
      <c r="K51" s="37" t="n">
        <v>0</v>
      </c>
      <c r="L51" s="37" t="n">
        <v>0</v>
      </c>
      <c r="M51" s="37" t="n">
        <v>0</v>
      </c>
      <c r="N51" s="38" t="n">
        <v>0</v>
      </c>
      <c r="O51" s="37" t="n">
        <f aca="false">SUM(I51:M51)</f>
        <v>0.7553</v>
      </c>
      <c r="P51" s="39" t="n">
        <v>5626</v>
      </c>
      <c r="Q51" s="34" t="n">
        <v>75</v>
      </c>
      <c r="R51" s="33" t="s">
        <v>260</v>
      </c>
      <c r="S51" s="40" t="n">
        <f aca="false">I51*I$1*Q51</f>
        <v>1756.0725</v>
      </c>
      <c r="T51" s="41"/>
      <c r="U51" s="42"/>
      <c r="V51" s="42" t="s">
        <v>259</v>
      </c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2.75" hidden="false" customHeight="false" outlineLevel="0" collapsed="false">
      <c r="A52" s="33" t="s">
        <v>255</v>
      </c>
      <c r="B52" s="34" t="s">
        <v>256</v>
      </c>
      <c r="C52" s="34" t="s">
        <v>256</v>
      </c>
      <c r="D52" s="35" t="n">
        <v>37104</v>
      </c>
      <c r="E52" s="35" t="n">
        <v>37134</v>
      </c>
      <c r="F52" s="33" t="s">
        <v>257</v>
      </c>
      <c r="G52" s="33" t="s">
        <v>257</v>
      </c>
      <c r="H52" s="34" t="s">
        <v>226</v>
      </c>
      <c r="I52" s="36" t="n">
        <v>0.7648</v>
      </c>
      <c r="J52" s="37" t="n">
        <v>0</v>
      </c>
      <c r="K52" s="37" t="n">
        <v>0</v>
      </c>
      <c r="L52" s="37" t="n">
        <v>0</v>
      </c>
      <c r="M52" s="37" t="n">
        <v>0</v>
      </c>
      <c r="N52" s="38" t="n">
        <v>0</v>
      </c>
      <c r="O52" s="37" t="n">
        <f aca="false">SUM(I52:M52)</f>
        <v>0.7648</v>
      </c>
      <c r="P52" s="39" t="n">
        <v>5626</v>
      </c>
      <c r="Q52" s="34" t="n">
        <v>122</v>
      </c>
      <c r="R52" s="33" t="s">
        <v>260</v>
      </c>
      <c r="S52" s="40" t="n">
        <f aca="false">I52*I$1*Q52</f>
        <v>2892.4736</v>
      </c>
      <c r="T52" s="41"/>
      <c r="U52" s="42"/>
      <c r="V52" s="42" t="s">
        <v>259</v>
      </c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2.75" hidden="false" customHeight="false" outlineLevel="0" collapsed="false">
      <c r="A53" s="33" t="s">
        <v>255</v>
      </c>
      <c r="B53" s="34" t="s">
        <v>256</v>
      </c>
      <c r="C53" s="34" t="s">
        <v>256</v>
      </c>
      <c r="D53" s="35" t="n">
        <v>37104</v>
      </c>
      <c r="E53" s="35" t="n">
        <v>37134</v>
      </c>
      <c r="F53" s="33" t="s">
        <v>257</v>
      </c>
      <c r="G53" s="33" t="s">
        <v>257</v>
      </c>
      <c r="H53" s="34" t="s">
        <v>226</v>
      </c>
      <c r="I53" s="36" t="n">
        <v>0.3923</v>
      </c>
      <c r="J53" s="37" t="n">
        <v>0</v>
      </c>
      <c r="K53" s="37" t="n">
        <v>0</v>
      </c>
      <c r="L53" s="37" t="n">
        <v>0</v>
      </c>
      <c r="M53" s="37" t="n">
        <v>0</v>
      </c>
      <c r="N53" s="38" t="n">
        <v>0</v>
      </c>
      <c r="O53" s="37" t="n">
        <f aca="false">SUM(I53:M53)</f>
        <v>0.3923</v>
      </c>
      <c r="P53" s="39" t="n">
        <v>5626</v>
      </c>
      <c r="Q53" s="34" t="n">
        <v>350</v>
      </c>
      <c r="R53" s="33" t="s">
        <v>260</v>
      </c>
      <c r="S53" s="40" t="n">
        <f aca="false">I53*I$1*Q53</f>
        <v>4256.455</v>
      </c>
      <c r="T53" s="41"/>
      <c r="U53" s="42"/>
      <c r="V53" s="42" t="s">
        <v>259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2.75" hidden="false" customHeight="false" outlineLevel="0" collapsed="false">
      <c r="A54" s="33" t="s">
        <v>261</v>
      </c>
      <c r="B54" s="34" t="s">
        <v>256</v>
      </c>
      <c r="C54" s="34" t="s">
        <v>256</v>
      </c>
      <c r="D54" s="35" t="n">
        <v>37104</v>
      </c>
      <c r="E54" s="35" t="n">
        <v>37134</v>
      </c>
      <c r="F54" s="33" t="s">
        <v>257</v>
      </c>
      <c r="G54" s="33" t="s">
        <v>257</v>
      </c>
      <c r="H54" s="34" t="s">
        <v>226</v>
      </c>
      <c r="I54" s="36" t="n">
        <v>0.3717</v>
      </c>
      <c r="J54" s="37" t="n">
        <v>0</v>
      </c>
      <c r="K54" s="37" t="n">
        <v>0</v>
      </c>
      <c r="L54" s="37" t="n">
        <v>0</v>
      </c>
      <c r="M54" s="37" t="n">
        <v>0</v>
      </c>
      <c r="N54" s="38" t="n">
        <v>0</v>
      </c>
      <c r="O54" s="37" t="n">
        <f aca="false">SUM(I54:M54)</f>
        <v>0.3717</v>
      </c>
      <c r="P54" s="39" t="n">
        <v>5879</v>
      </c>
      <c r="Q54" s="34" t="n">
        <v>2002</v>
      </c>
      <c r="R54" s="33" t="s">
        <v>258</v>
      </c>
      <c r="S54" s="40" t="n">
        <f aca="false">I54*I$1*Q54</f>
        <v>23068.4454</v>
      </c>
      <c r="T54" s="41"/>
      <c r="U54" s="42"/>
      <c r="V54" s="42" t="s">
        <v>259</v>
      </c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12.75" hidden="false" customHeight="false" outlineLevel="0" collapsed="false">
      <c r="A55" s="33" t="s">
        <v>261</v>
      </c>
      <c r="B55" s="34" t="s">
        <v>256</v>
      </c>
      <c r="C55" s="34" t="s">
        <v>256</v>
      </c>
      <c r="D55" s="35" t="n">
        <v>37104</v>
      </c>
      <c r="E55" s="35" t="n">
        <v>37134</v>
      </c>
      <c r="F55" s="33" t="s">
        <v>257</v>
      </c>
      <c r="G55" s="33" t="s">
        <v>257</v>
      </c>
      <c r="H55" s="34" t="s">
        <v>226</v>
      </c>
      <c r="I55" s="36" t="n">
        <v>0.3717</v>
      </c>
      <c r="J55" s="37" t="n">
        <v>0</v>
      </c>
      <c r="K55" s="37" t="n">
        <v>0</v>
      </c>
      <c r="L55" s="37" t="n">
        <v>0</v>
      </c>
      <c r="M55" s="37" t="n">
        <v>0</v>
      </c>
      <c r="N55" s="38" t="n">
        <v>0</v>
      </c>
      <c r="O55" s="37" t="n">
        <f aca="false">SUM(I55:M55)</f>
        <v>0.3717</v>
      </c>
      <c r="P55" s="39" t="n">
        <v>6020</v>
      </c>
      <c r="Q55" s="34" t="n">
        <v>1100</v>
      </c>
      <c r="R55" s="33" t="s">
        <v>258</v>
      </c>
      <c r="S55" s="40" t="n">
        <f aca="false">I55*I$1*Q55</f>
        <v>12674.97</v>
      </c>
      <c r="T55" s="41"/>
      <c r="U55" s="42"/>
      <c r="V55" s="42" t="s">
        <v>259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12.75" hidden="false" customHeight="false" outlineLevel="0" collapsed="false">
      <c r="A56" s="33" t="s">
        <v>261</v>
      </c>
      <c r="B56" s="34" t="s">
        <v>256</v>
      </c>
      <c r="C56" s="34" t="s">
        <v>256</v>
      </c>
      <c r="D56" s="35" t="n">
        <v>36739</v>
      </c>
      <c r="E56" s="35" t="n">
        <v>44043</v>
      </c>
      <c r="F56" s="33" t="s">
        <v>262</v>
      </c>
      <c r="G56" s="33" t="s">
        <v>257</v>
      </c>
      <c r="H56" s="34" t="s">
        <v>226</v>
      </c>
      <c r="I56" s="36" t="n">
        <v>0.3717</v>
      </c>
      <c r="J56" s="37" t="n">
        <v>0</v>
      </c>
      <c r="K56" s="37" t="n">
        <v>0</v>
      </c>
      <c r="L56" s="37" t="n">
        <v>0</v>
      </c>
      <c r="M56" s="37" t="n">
        <v>0</v>
      </c>
      <c r="N56" s="38" t="n">
        <v>0</v>
      </c>
      <c r="O56" s="37" t="n">
        <f aca="false">SUM(I56:M56)</f>
        <v>0.3717</v>
      </c>
      <c r="P56" s="39" t="n">
        <v>6089</v>
      </c>
      <c r="Q56" s="34" t="n">
        <v>6669</v>
      </c>
      <c r="R56" s="33" t="s">
        <v>258</v>
      </c>
      <c r="S56" s="40" t="n">
        <f aca="false">I56*I$1*Q56</f>
        <v>76844.8863</v>
      </c>
      <c r="T56" s="41"/>
      <c r="U56" s="42"/>
      <c r="V56" s="42" t="s">
        <v>259</v>
      </c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12.75" hidden="false" customHeight="false" outlineLevel="0" collapsed="false">
      <c r="A57" s="33"/>
      <c r="B57" s="34"/>
      <c r="C57" s="34"/>
      <c r="D57" s="35"/>
      <c r="E57" s="35"/>
      <c r="F57" s="33"/>
      <c r="G57" s="33"/>
      <c r="H57" s="34"/>
      <c r="I57" s="36"/>
      <c r="J57" s="37"/>
      <c r="K57" s="37"/>
      <c r="L57" s="37"/>
      <c r="M57" s="37"/>
      <c r="N57" s="38"/>
      <c r="O57" s="37"/>
      <c r="P57" s="39"/>
      <c r="Q57" s="108"/>
      <c r="R57" s="33"/>
      <c r="S57" s="40"/>
      <c r="T57" s="41"/>
      <c r="U57" s="42"/>
      <c r="V57" s="42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12.75" hidden="false" customHeight="false" outlineLevel="0" collapsed="false">
      <c r="A58" s="89" t="s">
        <v>73</v>
      </c>
      <c r="B58" s="87" t="s">
        <v>73</v>
      </c>
      <c r="C58" s="85" t="s">
        <v>73</v>
      </c>
      <c r="D58" s="90" t="s">
        <v>73</v>
      </c>
      <c r="E58" s="90"/>
      <c r="F58" s="89" t="s">
        <v>73</v>
      </c>
      <c r="G58" s="91" t="s">
        <v>73</v>
      </c>
      <c r="H58" s="87" t="s">
        <v>73</v>
      </c>
      <c r="I58" s="92"/>
      <c r="J58" s="84"/>
      <c r="K58" s="84"/>
      <c r="L58" s="84"/>
      <c r="M58" s="84"/>
      <c r="N58" s="93"/>
      <c r="O58" s="84"/>
      <c r="P58" s="94" t="s">
        <v>73</v>
      </c>
      <c r="Q58" s="85" t="n">
        <f aca="false">SUM(Q50:Q57)</f>
        <v>13134</v>
      </c>
      <c r="R58" s="89" t="s">
        <v>221</v>
      </c>
      <c r="S58" s="51" t="n">
        <f aca="false">SUM(S50:S57)</f>
        <v>153941.226</v>
      </c>
      <c r="T58" s="62"/>
      <c r="U58" s="53"/>
      <c r="V58" s="5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89"/>
      <c r="B59" s="87"/>
      <c r="C59" s="85"/>
      <c r="D59" s="90"/>
      <c r="E59" s="90"/>
      <c r="F59" s="89"/>
      <c r="G59" s="91"/>
      <c r="H59" s="87"/>
      <c r="I59" s="92"/>
      <c r="J59" s="84"/>
      <c r="K59" s="84"/>
      <c r="L59" s="84"/>
      <c r="M59" s="84"/>
      <c r="N59" s="93"/>
      <c r="O59" s="84"/>
      <c r="P59" s="94"/>
      <c r="Q59" s="87"/>
      <c r="R59" s="89" t="s">
        <v>222</v>
      </c>
      <c r="S59" s="51" t="n">
        <f aca="false">SUM(S50:S53)</f>
        <v>41352.9243</v>
      </c>
      <c r="T59" s="62"/>
      <c r="U59" s="53"/>
      <c r="V59" s="5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89"/>
      <c r="B60" s="87"/>
      <c r="C60" s="85"/>
      <c r="D60" s="90"/>
      <c r="E60" s="90"/>
      <c r="F60" s="89"/>
      <c r="G60" s="91"/>
      <c r="H60" s="87"/>
      <c r="I60" s="92"/>
      <c r="J60" s="84"/>
      <c r="K60" s="84"/>
      <c r="L60" s="84"/>
      <c r="M60" s="84"/>
      <c r="N60" s="93"/>
      <c r="O60" s="84"/>
      <c r="P60" s="94"/>
      <c r="Q60" s="87"/>
      <c r="R60" s="89" t="s">
        <v>223</v>
      </c>
      <c r="S60" s="109" t="n">
        <f aca="false">+S58-S59</f>
        <v>112588.3017</v>
      </c>
      <c r="T60" s="62"/>
      <c r="U60" s="42"/>
      <c r="V60" s="42"/>
    </row>
    <row r="61" customFormat="false" ht="13.5" hidden="false" customHeight="false" outlineLevel="0" collapsed="false">
      <c r="A61" s="89"/>
      <c r="B61" s="87"/>
      <c r="C61" s="85"/>
      <c r="D61" s="90"/>
      <c r="E61" s="90"/>
      <c r="F61" s="89"/>
      <c r="G61" s="91"/>
      <c r="H61" s="87"/>
      <c r="I61" s="92"/>
      <c r="J61" s="84"/>
      <c r="K61" s="84"/>
      <c r="L61" s="84"/>
      <c r="M61" s="84"/>
      <c r="N61" s="93"/>
      <c r="O61" s="84"/>
      <c r="P61" s="94"/>
      <c r="Q61" s="87"/>
      <c r="R61" s="89"/>
      <c r="S61" s="51"/>
      <c r="T61" s="62"/>
      <c r="U61" s="42"/>
      <c r="V61" s="42"/>
    </row>
    <row r="62" customFormat="false" ht="12.75" hidden="false" customHeight="false" outlineLevel="0" collapsed="false">
      <c r="A62" s="125" t="s">
        <v>172</v>
      </c>
      <c r="B62" s="126" t="s">
        <v>173</v>
      </c>
      <c r="C62" s="126" t="s">
        <v>174</v>
      </c>
      <c r="D62" s="127" t="s">
        <v>175</v>
      </c>
      <c r="E62" s="127"/>
      <c r="F62" s="125" t="s">
        <v>176</v>
      </c>
      <c r="G62" s="125" t="s">
        <v>177</v>
      </c>
      <c r="H62" s="126" t="s">
        <v>178</v>
      </c>
      <c r="I62" s="128" t="s">
        <v>179</v>
      </c>
      <c r="J62" s="126" t="s">
        <v>180</v>
      </c>
      <c r="K62" s="126" t="s">
        <v>181</v>
      </c>
      <c r="L62" s="126" t="s">
        <v>182</v>
      </c>
      <c r="M62" s="126" t="s">
        <v>183</v>
      </c>
      <c r="N62" s="129" t="s">
        <v>184</v>
      </c>
      <c r="O62" s="126" t="s">
        <v>185</v>
      </c>
      <c r="P62" s="130" t="s">
        <v>186</v>
      </c>
      <c r="Q62" s="126" t="s">
        <v>187</v>
      </c>
      <c r="R62" s="125" t="s">
        <v>188</v>
      </c>
      <c r="S62" s="101" t="s">
        <v>263</v>
      </c>
      <c r="T62" s="103"/>
      <c r="U62" s="103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131"/>
      <c r="DQ62" s="131"/>
      <c r="DR62" s="131"/>
      <c r="DS62" s="131"/>
      <c r="DT62" s="131"/>
      <c r="DU62" s="131"/>
      <c r="DV62" s="131"/>
      <c r="DW62" s="131"/>
      <c r="DX62" s="131"/>
      <c r="DY62" s="131"/>
      <c r="DZ62" s="131"/>
      <c r="EA62" s="131"/>
      <c r="EB62" s="131"/>
      <c r="EC62" s="131"/>
      <c r="ED62" s="131"/>
      <c r="EE62" s="131"/>
      <c r="EF62" s="131"/>
      <c r="EG62" s="131"/>
      <c r="EH62" s="131"/>
      <c r="EI62" s="131"/>
      <c r="EJ62" s="131"/>
      <c r="EK62" s="131"/>
      <c r="EL62" s="131"/>
      <c r="EM62" s="131"/>
      <c r="EN62" s="131"/>
      <c r="EO62" s="131"/>
      <c r="EP62" s="131"/>
      <c r="EQ62" s="131"/>
      <c r="ER62" s="131"/>
      <c r="ES62" s="131"/>
      <c r="ET62" s="131"/>
      <c r="EU62" s="131"/>
      <c r="EV62" s="131"/>
      <c r="EW62" s="131"/>
      <c r="EX62" s="131"/>
      <c r="EY62" s="131"/>
      <c r="EZ62" s="131"/>
      <c r="FA62" s="131"/>
      <c r="FB62" s="131"/>
      <c r="FC62" s="131"/>
      <c r="FD62" s="131"/>
      <c r="FE62" s="131"/>
      <c r="FF62" s="131"/>
      <c r="FG62" s="131"/>
      <c r="FH62" s="131"/>
      <c r="FI62" s="131"/>
      <c r="FJ62" s="131"/>
      <c r="FK62" s="131"/>
      <c r="FL62" s="131"/>
      <c r="FM62" s="131"/>
      <c r="FN62" s="131"/>
      <c r="FO62" s="131"/>
      <c r="FP62" s="131"/>
      <c r="FQ62" s="131"/>
      <c r="FR62" s="131"/>
      <c r="FS62" s="131"/>
      <c r="FT62" s="131"/>
      <c r="FU62" s="131"/>
      <c r="FV62" s="131"/>
      <c r="FW62" s="131"/>
      <c r="FX62" s="131"/>
      <c r="FY62" s="131"/>
      <c r="FZ62" s="131"/>
      <c r="GA62" s="131"/>
      <c r="GB62" s="131"/>
      <c r="GC62" s="131"/>
      <c r="GD62" s="131"/>
      <c r="GE62" s="131"/>
      <c r="GF62" s="131"/>
      <c r="GG62" s="131"/>
      <c r="GH62" s="131"/>
      <c r="GI62" s="131"/>
      <c r="GJ62" s="131"/>
      <c r="GK62" s="131"/>
      <c r="GL62" s="131"/>
      <c r="GM62" s="131"/>
      <c r="GN62" s="131"/>
      <c r="GO62" s="131"/>
      <c r="GP62" s="131"/>
      <c r="GQ62" s="131"/>
      <c r="GR62" s="131"/>
      <c r="GS62" s="131"/>
      <c r="GT62" s="131"/>
      <c r="GU62" s="131"/>
      <c r="GV62" s="131"/>
      <c r="GW62" s="131"/>
      <c r="GX62" s="131"/>
      <c r="GY62" s="131"/>
      <c r="GZ62" s="131"/>
      <c r="HA62" s="131"/>
      <c r="HB62" s="131"/>
      <c r="HC62" s="131"/>
      <c r="HD62" s="131"/>
      <c r="HE62" s="131"/>
      <c r="HF62" s="131"/>
      <c r="HG62" s="131"/>
      <c r="HH62" s="131"/>
      <c r="HI62" s="131"/>
      <c r="HJ62" s="131"/>
      <c r="HK62" s="131"/>
      <c r="HL62" s="131"/>
      <c r="HM62" s="131"/>
      <c r="HN62" s="131"/>
      <c r="HO62" s="131"/>
      <c r="HP62" s="131"/>
      <c r="HQ62" s="131"/>
      <c r="HR62" s="131"/>
      <c r="HS62" s="131"/>
      <c r="HT62" s="131"/>
      <c r="HU62" s="131"/>
      <c r="HV62" s="131"/>
      <c r="HW62" s="131"/>
      <c r="HX62" s="131"/>
      <c r="HY62" s="131"/>
      <c r="HZ62" s="131"/>
      <c r="IA62" s="131"/>
      <c r="IB62" s="131"/>
      <c r="IC62" s="131"/>
      <c r="ID62" s="131"/>
      <c r="IE62" s="131"/>
      <c r="IF62" s="131"/>
      <c r="IG62" s="131"/>
      <c r="IH62" s="131"/>
      <c r="II62" s="131"/>
      <c r="IJ62" s="131"/>
      <c r="IK62" s="131"/>
      <c r="IL62" s="131"/>
      <c r="IM62" s="131"/>
      <c r="IN62" s="131"/>
      <c r="IO62" s="131"/>
      <c r="IP62" s="131"/>
      <c r="IQ62" s="131"/>
      <c r="IR62" s="131"/>
      <c r="IS62" s="131"/>
      <c r="IT62" s="131"/>
      <c r="IU62" s="131"/>
      <c r="IV62" s="131"/>
      <c r="IW62" s="131"/>
    </row>
    <row r="63" customFormat="false" ht="12.75" hidden="false" customHeight="false" outlineLevel="0" collapsed="false">
      <c r="A63" s="33" t="s">
        <v>250</v>
      </c>
      <c r="B63" s="33" t="s">
        <v>264</v>
      </c>
      <c r="C63" s="34" t="s">
        <v>265</v>
      </c>
      <c r="D63" s="35" t="n">
        <v>36251</v>
      </c>
      <c r="E63" s="35" t="n">
        <v>37346</v>
      </c>
      <c r="F63" s="33" t="s">
        <v>266</v>
      </c>
      <c r="G63" s="33" t="s">
        <v>267</v>
      </c>
      <c r="H63" s="34" t="s">
        <v>73</v>
      </c>
      <c r="I63" s="37" t="n">
        <f aca="false">6.38/I$1</f>
        <v>0.205806451612903</v>
      </c>
      <c r="J63" s="37" t="n">
        <v>0.003</v>
      </c>
      <c r="K63" s="37" t="n">
        <v>0.0022</v>
      </c>
      <c r="L63" s="37" t="n">
        <v>0</v>
      </c>
      <c r="M63" s="37" t="n">
        <v>0</v>
      </c>
      <c r="N63" s="132" t="n">
        <v>0</v>
      </c>
      <c r="O63" s="37" t="n">
        <f aca="false">SUM(I63:M63)</f>
        <v>0.211006451612903</v>
      </c>
      <c r="P63" s="39" t="n">
        <v>28223</v>
      </c>
      <c r="Q63" s="34" t="n">
        <v>42500</v>
      </c>
      <c r="R63" s="33" t="s">
        <v>268</v>
      </c>
      <c r="S63" s="133" t="n">
        <f aca="false">I63*I$1*Q63</f>
        <v>271150</v>
      </c>
      <c r="T63" s="42" t="s">
        <v>269</v>
      </c>
      <c r="U63" s="42"/>
      <c r="V63" s="42" t="s">
        <v>270</v>
      </c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</row>
    <row r="64" customFormat="false" ht="12.75" hidden="false" customHeight="false" outlineLevel="0" collapsed="false">
      <c r="A64" s="33" t="s">
        <v>172</v>
      </c>
      <c r="B64" s="33" t="s">
        <v>264</v>
      </c>
      <c r="C64" s="34" t="s">
        <v>271</v>
      </c>
      <c r="D64" s="35" t="n">
        <v>36923</v>
      </c>
      <c r="E64" s="35" t="n">
        <v>37802</v>
      </c>
      <c r="F64" s="33"/>
      <c r="G64" s="33"/>
      <c r="H64" s="34" t="s">
        <v>73</v>
      </c>
      <c r="I64" s="37" t="n">
        <f aca="false">1.3566/I1</f>
        <v>0.0437612903225806</v>
      </c>
      <c r="J64" s="37" t="n">
        <v>0.003</v>
      </c>
      <c r="K64" s="37" t="n">
        <v>0.0022</v>
      </c>
      <c r="L64" s="37" t="n">
        <v>0</v>
      </c>
      <c r="M64" s="37" t="n">
        <v>0</v>
      </c>
      <c r="N64" s="132" t="n">
        <v>0</v>
      </c>
      <c r="O64" s="37" t="n">
        <f aca="false">SUM(I64:M64)</f>
        <v>0.0489612903225807</v>
      </c>
      <c r="P64" s="39" t="n">
        <v>28754</v>
      </c>
      <c r="Q64" s="34" t="n">
        <v>15000</v>
      </c>
      <c r="R64" s="33" t="s">
        <v>272</v>
      </c>
      <c r="S64" s="133" t="n">
        <f aca="false">I64*I$1*Q64</f>
        <v>20349</v>
      </c>
      <c r="T64" s="42" t="n">
        <v>592256</v>
      </c>
      <c r="U64" s="42"/>
      <c r="V64" s="42" t="s">
        <v>270</v>
      </c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</row>
    <row r="65" customFormat="false" ht="12.75" hidden="false" customHeight="false" outlineLevel="0" collapsed="false">
      <c r="A65" s="33"/>
      <c r="B65" s="34"/>
      <c r="C65" s="34"/>
      <c r="D65" s="35"/>
      <c r="E65" s="35"/>
      <c r="F65" s="33"/>
      <c r="G65" s="33"/>
      <c r="H65" s="34"/>
      <c r="I65" s="36"/>
      <c r="J65" s="37"/>
      <c r="K65" s="84"/>
      <c r="L65" s="37"/>
      <c r="M65" s="37"/>
      <c r="N65" s="132"/>
      <c r="O65" s="37"/>
      <c r="P65" s="39"/>
      <c r="Q65" s="34"/>
      <c r="R65" s="34"/>
      <c r="S65" s="134"/>
      <c r="T65" s="42"/>
      <c r="U65" s="42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</row>
    <row r="66" customFormat="false" ht="12.75" hidden="false" customHeight="false" outlineLevel="0" collapsed="false">
      <c r="A66" s="33"/>
      <c r="B66" s="34"/>
      <c r="C66" s="34"/>
      <c r="D66" s="35"/>
      <c r="E66" s="35"/>
      <c r="F66" s="33"/>
      <c r="G66" s="33"/>
      <c r="H66" s="34"/>
      <c r="I66" s="36"/>
      <c r="J66" s="37"/>
      <c r="K66" s="37"/>
      <c r="L66" s="37"/>
      <c r="M66" s="37"/>
      <c r="N66" s="38"/>
      <c r="O66" s="37"/>
      <c r="P66" s="39"/>
      <c r="Q66" s="85" t="n">
        <f aca="false">SUM(Q63:Q65)</f>
        <v>57500</v>
      </c>
      <c r="R66" s="89" t="s">
        <v>221</v>
      </c>
      <c r="S66" s="51" t="n">
        <f aca="false">SUM(S63:S65)</f>
        <v>291499</v>
      </c>
      <c r="T66" s="41"/>
      <c r="U66" s="42"/>
      <c r="V66" s="42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2.75" hidden="false" customHeight="false" outlineLevel="0" collapsed="false">
      <c r="A67" s="33"/>
      <c r="B67" s="34"/>
      <c r="C67" s="34"/>
      <c r="D67" s="35"/>
      <c r="E67" s="35"/>
      <c r="F67" s="33"/>
      <c r="G67" s="33"/>
      <c r="H67" s="34"/>
      <c r="I67" s="36"/>
      <c r="J67" s="37"/>
      <c r="K67" s="37"/>
      <c r="L67" s="37"/>
      <c r="M67" s="37"/>
      <c r="N67" s="38"/>
      <c r="O67" s="37"/>
      <c r="P67" s="39"/>
      <c r="Q67" s="87"/>
      <c r="R67" s="89" t="s">
        <v>222</v>
      </c>
      <c r="S67" s="51" t="n">
        <f aca="false">+S63</f>
        <v>271150</v>
      </c>
      <c r="T67" s="41"/>
      <c r="U67" s="42"/>
      <c r="V67" s="42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</row>
    <row r="68" customFormat="false" ht="13.5" hidden="false" customHeight="false" outlineLevel="0" collapsed="false">
      <c r="A68" s="33"/>
      <c r="B68" s="34"/>
      <c r="C68" s="34"/>
      <c r="D68" s="35"/>
      <c r="E68" s="35"/>
      <c r="F68" s="33"/>
      <c r="G68" s="33"/>
      <c r="H68" s="34"/>
      <c r="I68" s="36"/>
      <c r="J68" s="37"/>
      <c r="K68" s="37"/>
      <c r="L68" s="37"/>
      <c r="M68" s="37"/>
      <c r="N68" s="38"/>
      <c r="O68" s="37"/>
      <c r="P68" s="39"/>
      <c r="Q68" s="87"/>
      <c r="R68" s="89" t="s">
        <v>223</v>
      </c>
      <c r="S68" s="109" t="n">
        <f aca="false">+S66-S67</f>
        <v>20349</v>
      </c>
      <c r="T68" s="41"/>
      <c r="U68" s="42"/>
      <c r="V68" s="42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3.5" hidden="false" customHeight="false" outlineLevel="0" collapsed="false">
      <c r="A69" s="72"/>
      <c r="B69" s="74"/>
      <c r="C69" s="74"/>
      <c r="D69" s="75"/>
      <c r="E69" s="75"/>
      <c r="F69" s="72"/>
      <c r="G69" s="72"/>
      <c r="H69" s="74"/>
      <c r="I69" s="77"/>
      <c r="J69" s="78"/>
      <c r="K69" s="78"/>
      <c r="L69" s="78"/>
      <c r="M69" s="78"/>
      <c r="N69" s="79"/>
      <c r="O69" s="78"/>
      <c r="P69" s="135"/>
      <c r="Q69" s="74"/>
      <c r="R69" s="72"/>
      <c r="S69" s="83"/>
      <c r="T69" s="136"/>
      <c r="U69" s="137"/>
      <c r="V69" s="137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138"/>
      <c r="CH69" s="138"/>
      <c r="CI69" s="138"/>
      <c r="CJ69" s="138"/>
      <c r="CK69" s="138"/>
      <c r="CL69" s="138"/>
      <c r="CM69" s="138"/>
      <c r="CN69" s="138"/>
      <c r="CO69" s="138"/>
      <c r="CP69" s="138"/>
      <c r="CQ69" s="138"/>
      <c r="CR69" s="138"/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8"/>
      <c r="DW69" s="138"/>
      <c r="DX69" s="138"/>
      <c r="DY69" s="138"/>
      <c r="DZ69" s="138"/>
      <c r="EA69" s="138"/>
      <c r="EB69" s="138"/>
      <c r="EC69" s="138"/>
      <c r="ED69" s="138"/>
      <c r="EE69" s="138"/>
      <c r="EF69" s="138"/>
      <c r="EG69" s="138"/>
      <c r="EH69" s="138"/>
      <c r="EI69" s="138"/>
      <c r="EJ69" s="138"/>
      <c r="EK69" s="138"/>
      <c r="EL69" s="138"/>
      <c r="EM69" s="138"/>
      <c r="EN69" s="138"/>
      <c r="EO69" s="138"/>
      <c r="EP69" s="138"/>
      <c r="EQ69" s="138"/>
      <c r="ER69" s="138"/>
      <c r="ES69" s="138"/>
      <c r="ET69" s="138"/>
      <c r="EU69" s="138"/>
      <c r="EV69" s="138"/>
      <c r="EW69" s="138"/>
      <c r="EX69" s="138"/>
      <c r="EY69" s="138"/>
      <c r="EZ69" s="138"/>
      <c r="FA69" s="138"/>
      <c r="FB69" s="138"/>
      <c r="FC69" s="138"/>
      <c r="FD69" s="138"/>
      <c r="FE69" s="138"/>
      <c r="FF69" s="138"/>
      <c r="FG69" s="138"/>
      <c r="FH69" s="138"/>
      <c r="FI69" s="138"/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8"/>
      <c r="FW69" s="138"/>
      <c r="FX69" s="138"/>
      <c r="FY69" s="138"/>
      <c r="FZ69" s="138"/>
      <c r="GA69" s="138"/>
      <c r="GB69" s="138"/>
      <c r="GC69" s="138"/>
      <c r="GD69" s="138"/>
      <c r="GE69" s="138"/>
      <c r="GF69" s="138"/>
      <c r="GG69" s="138"/>
      <c r="GH69" s="138"/>
      <c r="GI69" s="138"/>
      <c r="GJ69" s="138"/>
      <c r="GK69" s="138"/>
      <c r="GL69" s="138"/>
      <c r="GM69" s="138"/>
      <c r="GN69" s="138"/>
      <c r="GO69" s="138"/>
      <c r="GP69" s="138"/>
      <c r="GQ69" s="138"/>
      <c r="GR69" s="138"/>
      <c r="GS69" s="138"/>
      <c r="GT69" s="138"/>
      <c r="GU69" s="138"/>
      <c r="GV69" s="138"/>
      <c r="GW69" s="138"/>
      <c r="GX69" s="138"/>
      <c r="GY69" s="138"/>
      <c r="GZ69" s="138"/>
      <c r="HA69" s="138"/>
      <c r="HB69" s="138"/>
      <c r="HC69" s="138"/>
      <c r="HD69" s="138"/>
      <c r="HE69" s="138"/>
      <c r="HF69" s="138"/>
      <c r="HG69" s="138"/>
      <c r="HH69" s="138"/>
      <c r="HI69" s="138"/>
      <c r="HJ69" s="138"/>
      <c r="HK69" s="138"/>
      <c r="HL69" s="138"/>
      <c r="HM69" s="138"/>
      <c r="HN69" s="138"/>
      <c r="HO69" s="138"/>
      <c r="HP69" s="138"/>
      <c r="HQ69" s="138"/>
      <c r="HR69" s="138"/>
      <c r="HS69" s="138"/>
      <c r="HT69" s="138"/>
      <c r="HU69" s="138"/>
      <c r="HV69" s="138"/>
      <c r="HW69" s="138"/>
      <c r="HX69" s="138"/>
      <c r="HY69" s="138"/>
      <c r="HZ69" s="138"/>
      <c r="IA69" s="138"/>
      <c r="IB69" s="138"/>
      <c r="IC69" s="138"/>
      <c r="ID69" s="138"/>
      <c r="IE69" s="138"/>
      <c r="IF69" s="138"/>
      <c r="IG69" s="138"/>
      <c r="IH69" s="138"/>
      <c r="II69" s="138"/>
      <c r="IJ69" s="138"/>
      <c r="IK69" s="138"/>
      <c r="IL69" s="138"/>
      <c r="IM69" s="138"/>
      <c r="IN69" s="138"/>
      <c r="IO69" s="138"/>
      <c r="IP69" s="138"/>
      <c r="IQ69" s="138"/>
      <c r="IR69" s="138"/>
      <c r="IS69" s="138"/>
      <c r="IT69" s="138"/>
      <c r="IU69" s="138"/>
      <c r="IV69" s="138"/>
      <c r="IW69" s="138"/>
    </row>
    <row r="70" customFormat="false" ht="12.75" hidden="false" customHeight="false" outlineLevel="0" collapsed="false">
      <c r="A70" s="64" t="s">
        <v>172</v>
      </c>
      <c r="B70" s="65" t="s">
        <v>173</v>
      </c>
      <c r="C70" s="65" t="s">
        <v>174</v>
      </c>
      <c r="D70" s="66" t="s">
        <v>175</v>
      </c>
      <c r="E70" s="66"/>
      <c r="F70" s="64" t="s">
        <v>176</v>
      </c>
      <c r="G70" s="64" t="s">
        <v>177</v>
      </c>
      <c r="H70" s="65" t="s">
        <v>273</v>
      </c>
      <c r="I70" s="67" t="s">
        <v>179</v>
      </c>
      <c r="J70" s="65" t="s">
        <v>180</v>
      </c>
      <c r="K70" s="65" t="s">
        <v>181</v>
      </c>
      <c r="L70" s="65" t="s">
        <v>182</v>
      </c>
      <c r="M70" s="65" t="s">
        <v>183</v>
      </c>
      <c r="N70" s="68" t="s">
        <v>184</v>
      </c>
      <c r="O70" s="65" t="s">
        <v>185</v>
      </c>
      <c r="P70" s="139" t="s">
        <v>212</v>
      </c>
      <c r="Q70" s="65" t="s">
        <v>187</v>
      </c>
      <c r="R70" s="64" t="s">
        <v>188</v>
      </c>
      <c r="S70" s="140" t="s">
        <v>189</v>
      </c>
      <c r="T70" s="70" t="s">
        <v>190</v>
      </c>
      <c r="U70" s="71" t="s">
        <v>213</v>
      </c>
      <c r="V70" s="42"/>
      <c r="W70" s="42"/>
    </row>
    <row r="71" customFormat="false" ht="12.75" hidden="false" customHeight="false" outlineLevel="0" collapsed="false">
      <c r="A71" s="33" t="s">
        <v>274</v>
      </c>
      <c r="B71" s="34" t="s">
        <v>275</v>
      </c>
      <c r="C71" s="34" t="s">
        <v>275</v>
      </c>
      <c r="D71" s="35" t="n">
        <v>36100</v>
      </c>
      <c r="E71" s="35" t="n">
        <v>39022</v>
      </c>
      <c r="F71" s="33" t="n">
        <v>1</v>
      </c>
      <c r="G71" s="33" t="n">
        <v>2</v>
      </c>
      <c r="H71" s="34" t="s">
        <v>226</v>
      </c>
      <c r="I71" s="36" t="n">
        <f aca="false">(14.1123+0.2)/I$1</f>
        <v>0.461687096774194</v>
      </c>
      <c r="J71" s="37" t="n">
        <v>0.0054</v>
      </c>
      <c r="K71" s="37" t="n">
        <v>0.0022</v>
      </c>
      <c r="L71" s="37" t="n">
        <v>0.0075</v>
      </c>
      <c r="M71" s="37" t="n">
        <v>0.0012</v>
      </c>
      <c r="N71" s="132" t="n">
        <v>0.007</v>
      </c>
      <c r="O71" s="37" t="n">
        <f aca="false">SUM(I71:M71)</f>
        <v>0.477987096774194</v>
      </c>
      <c r="P71" s="39" t="s">
        <v>276</v>
      </c>
      <c r="Q71" s="34" t="n">
        <v>2017</v>
      </c>
      <c r="R71" s="33" t="s">
        <v>277</v>
      </c>
      <c r="S71" s="141" t="n">
        <f aca="false">I71*I$1*Q71</f>
        <v>28867.9091</v>
      </c>
      <c r="T71" s="40"/>
      <c r="U71" s="42" t="n">
        <v>77758</v>
      </c>
      <c r="V71" s="19" t="s">
        <v>220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false" outlineLevel="0" collapsed="false">
      <c r="A72" s="33" t="s">
        <v>274</v>
      </c>
      <c r="B72" s="34" t="s">
        <v>275</v>
      </c>
      <c r="C72" s="34" t="s">
        <v>278</v>
      </c>
      <c r="D72" s="35" t="n">
        <v>36100</v>
      </c>
      <c r="E72" s="35" t="n">
        <v>39173</v>
      </c>
      <c r="F72" s="33" t="s">
        <v>279</v>
      </c>
      <c r="G72" s="33" t="s">
        <v>280</v>
      </c>
      <c r="H72" s="34" t="s">
        <v>73</v>
      </c>
      <c r="I72" s="36" t="n">
        <f aca="false">(7.8557-0.0392)/I$1</f>
        <v>0.252145161290323</v>
      </c>
      <c r="J72" s="37" t="n">
        <v>0.003</v>
      </c>
      <c r="K72" s="37" t="n">
        <v>0.0022</v>
      </c>
      <c r="L72" s="37" t="n">
        <v>0</v>
      </c>
      <c r="M72" s="37" t="n">
        <v>0.0007</v>
      </c>
      <c r="N72" s="132" t="n">
        <v>0</v>
      </c>
      <c r="O72" s="37" t="n">
        <f aca="false">SUM(I72:M72)</f>
        <v>0.258045161290323</v>
      </c>
      <c r="P72" s="39" t="s">
        <v>281</v>
      </c>
      <c r="Q72" s="34" t="n">
        <v>35465</v>
      </c>
      <c r="R72" s="33" t="s">
        <v>282</v>
      </c>
      <c r="S72" s="141" t="n">
        <f aca="false">I72*I$1*Q72</f>
        <v>277212.1725</v>
      </c>
      <c r="T72" s="40"/>
      <c r="U72" s="42" t="n">
        <v>77729</v>
      </c>
      <c r="V72" s="19" t="s">
        <v>283</v>
      </c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false" outlineLevel="0" collapsed="false">
      <c r="A73" s="33"/>
      <c r="B73" s="34"/>
      <c r="C73" s="34"/>
      <c r="D73" s="35"/>
      <c r="E73" s="35"/>
      <c r="F73" s="33"/>
      <c r="G73" s="33"/>
      <c r="H73" s="34"/>
      <c r="I73" s="36"/>
      <c r="J73" s="37"/>
      <c r="K73" s="37"/>
      <c r="L73" s="37"/>
      <c r="M73" s="37"/>
      <c r="N73" s="132"/>
      <c r="O73" s="37"/>
      <c r="P73" s="39"/>
      <c r="Q73" s="34"/>
      <c r="R73" s="33"/>
      <c r="S73" s="141"/>
      <c r="T73" s="40"/>
      <c r="U73" s="42"/>
      <c r="V73" s="42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.75" hidden="false" customHeight="false" outlineLevel="0" collapsed="false">
      <c r="A74" s="33"/>
      <c r="B74" s="34"/>
      <c r="C74" s="34"/>
      <c r="D74" s="35"/>
      <c r="E74" s="35"/>
      <c r="F74" s="33"/>
      <c r="G74" s="33"/>
      <c r="H74" s="34"/>
      <c r="I74" s="36"/>
      <c r="J74" s="37"/>
      <c r="K74" s="37"/>
      <c r="L74" s="37"/>
      <c r="M74" s="37"/>
      <c r="N74" s="38"/>
      <c r="O74" s="37"/>
      <c r="P74" s="39"/>
      <c r="Q74" s="85" t="n">
        <f aca="false">SUM(Q71:Q73)</f>
        <v>37482</v>
      </c>
      <c r="R74" s="89" t="s">
        <v>221</v>
      </c>
      <c r="S74" s="142" t="n">
        <f aca="false">SUM(S71:S73)</f>
        <v>306080.0816</v>
      </c>
      <c r="T74" s="40"/>
      <c r="U74" s="41"/>
      <c r="V74" s="42"/>
      <c r="W74" s="42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2.75" hidden="false" customHeight="false" outlineLevel="0" collapsed="false">
      <c r="A75" s="33"/>
      <c r="B75" s="34"/>
      <c r="C75" s="34"/>
      <c r="D75" s="35"/>
      <c r="E75" s="35"/>
      <c r="F75" s="33"/>
      <c r="G75" s="33"/>
      <c r="H75" s="34"/>
      <c r="I75" s="36"/>
      <c r="J75" s="37"/>
      <c r="K75" s="37"/>
      <c r="L75" s="37"/>
      <c r="M75" s="37"/>
      <c r="N75" s="38"/>
      <c r="O75" s="37"/>
      <c r="P75" s="39"/>
      <c r="Q75" s="87"/>
      <c r="R75" s="89" t="s">
        <v>222</v>
      </c>
      <c r="S75" s="142" t="n">
        <f aca="false">SUM(S72)</f>
        <v>277212.1725</v>
      </c>
      <c r="T75" s="40"/>
      <c r="U75" s="41"/>
      <c r="V75" s="42"/>
      <c r="W75" s="42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3.5" hidden="false" customHeight="false" outlineLevel="0" collapsed="false">
      <c r="A76" s="33"/>
      <c r="B76" s="34"/>
      <c r="C76" s="34"/>
      <c r="D76" s="35"/>
      <c r="E76" s="35"/>
      <c r="F76" s="33"/>
      <c r="G76" s="33"/>
      <c r="H76" s="34"/>
      <c r="I76" s="36"/>
      <c r="J76" s="37"/>
      <c r="K76" s="37"/>
      <c r="L76" s="37"/>
      <c r="M76" s="37"/>
      <c r="N76" s="38"/>
      <c r="O76" s="37"/>
      <c r="P76" s="39"/>
      <c r="Q76" s="87"/>
      <c r="R76" s="89" t="s">
        <v>223</v>
      </c>
      <c r="S76" s="143" t="n">
        <f aca="false">+S74-S75</f>
        <v>28867.9091</v>
      </c>
      <c r="T76" s="40"/>
      <c r="U76" s="41"/>
      <c r="V76" s="42"/>
      <c r="W76" s="42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3.5" hidden="false" customHeight="false" outlineLevel="0" collapsed="false">
      <c r="A77" s="33"/>
      <c r="B77" s="34"/>
      <c r="C77" s="34"/>
      <c r="D77" s="35"/>
      <c r="E77" s="35"/>
      <c r="F77" s="33"/>
      <c r="G77" s="33"/>
      <c r="H77" s="34"/>
      <c r="I77" s="36"/>
      <c r="J77" s="37"/>
      <c r="K77" s="37"/>
      <c r="L77" s="37"/>
      <c r="M77" s="37"/>
      <c r="N77" s="38"/>
      <c r="O77" s="37"/>
      <c r="P77" s="39"/>
      <c r="Q77" s="34"/>
      <c r="R77" s="33"/>
      <c r="S77" s="40"/>
      <c r="T77" s="40"/>
      <c r="U77" s="41"/>
      <c r="V77" s="42"/>
      <c r="W77" s="42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.75" hidden="false" customHeight="false" outlineLevel="0" collapsed="false">
      <c r="A78" s="72"/>
      <c r="B78" s="74"/>
      <c r="C78" s="74"/>
      <c r="D78" s="75"/>
      <c r="E78" s="75"/>
      <c r="F78" s="72"/>
      <c r="G78" s="72"/>
      <c r="H78" s="74"/>
      <c r="I78" s="77"/>
      <c r="J78" s="78"/>
      <c r="K78" s="78"/>
      <c r="L78" s="78"/>
      <c r="M78" s="78"/>
      <c r="N78" s="79"/>
      <c r="O78" s="78"/>
      <c r="P78" s="135"/>
      <c r="Q78" s="74"/>
      <c r="R78" s="72"/>
      <c r="S78" s="83"/>
      <c r="T78" s="136"/>
      <c r="U78" s="137"/>
      <c r="V78" s="137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8"/>
      <c r="EH78" s="138"/>
      <c r="EI78" s="138"/>
      <c r="EJ78" s="138"/>
      <c r="EK78" s="138"/>
      <c r="EL78" s="138"/>
      <c r="EM78" s="138"/>
      <c r="EN78" s="138"/>
      <c r="EO78" s="138"/>
      <c r="EP78" s="138"/>
      <c r="EQ78" s="138"/>
      <c r="ER78" s="138"/>
      <c r="ES78" s="138"/>
      <c r="ET78" s="138"/>
      <c r="EU78" s="138"/>
      <c r="EV78" s="138"/>
      <c r="EW78" s="138"/>
      <c r="EX78" s="138"/>
      <c r="EY78" s="138"/>
      <c r="EZ78" s="138"/>
      <c r="FA78" s="138"/>
      <c r="FB78" s="138"/>
      <c r="FC78" s="138"/>
      <c r="FD78" s="138"/>
      <c r="FE78" s="138"/>
      <c r="FF78" s="138"/>
      <c r="FG78" s="138"/>
      <c r="FH78" s="138"/>
      <c r="FI78" s="138"/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8"/>
      <c r="FW78" s="138"/>
      <c r="FX78" s="138"/>
      <c r="FY78" s="138"/>
      <c r="FZ78" s="138"/>
      <c r="GA78" s="138"/>
      <c r="GB78" s="138"/>
      <c r="GC78" s="138"/>
      <c r="GD78" s="138"/>
      <c r="GE78" s="138"/>
      <c r="GF78" s="138"/>
      <c r="GG78" s="138"/>
      <c r="GH78" s="138"/>
      <c r="GI78" s="138"/>
      <c r="GJ78" s="138"/>
      <c r="GK78" s="138"/>
      <c r="GL78" s="138"/>
      <c r="GM78" s="138"/>
      <c r="GN78" s="138"/>
      <c r="GO78" s="138"/>
      <c r="GP78" s="138"/>
      <c r="GQ78" s="138"/>
      <c r="GR78" s="138"/>
      <c r="GS78" s="138"/>
      <c r="GT78" s="138"/>
      <c r="GU78" s="138"/>
      <c r="GV78" s="138"/>
      <c r="GW78" s="138"/>
      <c r="GX78" s="138"/>
      <c r="GY78" s="138"/>
      <c r="GZ78" s="138"/>
      <c r="HA78" s="138"/>
      <c r="HB78" s="138"/>
      <c r="HC78" s="138"/>
      <c r="HD78" s="138"/>
      <c r="HE78" s="138"/>
      <c r="HF78" s="138"/>
      <c r="HG78" s="138"/>
      <c r="HH78" s="138"/>
      <c r="HI78" s="138"/>
      <c r="HJ78" s="138"/>
      <c r="HK78" s="138"/>
      <c r="HL78" s="138"/>
      <c r="HM78" s="138"/>
      <c r="HN78" s="138"/>
      <c r="HO78" s="138"/>
      <c r="HP78" s="138"/>
      <c r="HQ78" s="138"/>
      <c r="HR78" s="138"/>
      <c r="HS78" s="138"/>
      <c r="HT78" s="138"/>
      <c r="HU78" s="138"/>
      <c r="HV78" s="138"/>
      <c r="HW78" s="138"/>
      <c r="HX78" s="138"/>
      <c r="HY78" s="138"/>
      <c r="HZ78" s="138"/>
      <c r="IA78" s="138"/>
      <c r="IB78" s="138"/>
      <c r="IC78" s="138"/>
      <c r="ID78" s="138"/>
      <c r="IE78" s="138"/>
      <c r="IF78" s="138"/>
      <c r="IG78" s="138"/>
      <c r="IH78" s="138"/>
      <c r="II78" s="138"/>
      <c r="IJ78" s="138"/>
      <c r="IK78" s="138"/>
      <c r="IL78" s="138"/>
      <c r="IM78" s="138"/>
      <c r="IN78" s="138"/>
      <c r="IO78" s="138"/>
      <c r="IP78" s="138"/>
      <c r="IQ78" s="138"/>
      <c r="IR78" s="138"/>
      <c r="IS78" s="138"/>
      <c r="IT78" s="138"/>
      <c r="IU78" s="138"/>
      <c r="IV78" s="138"/>
      <c r="IW78" s="138"/>
    </row>
    <row r="79" customFormat="false" ht="12.75" hidden="false" customHeight="false" outlineLevel="0" collapsed="false">
      <c r="A79" s="33"/>
      <c r="B79" s="34"/>
      <c r="C79" s="34"/>
      <c r="D79" s="35"/>
      <c r="E79" s="35"/>
      <c r="F79" s="33"/>
      <c r="G79" s="33"/>
      <c r="H79" s="34"/>
      <c r="I79" s="36"/>
      <c r="J79" s="37"/>
      <c r="K79" s="37"/>
      <c r="L79" s="37"/>
      <c r="M79" s="37"/>
      <c r="N79" s="38"/>
      <c r="O79" s="37"/>
      <c r="P79" s="39"/>
      <c r="Q79" s="34"/>
      <c r="R79" s="33"/>
      <c r="S79" s="40"/>
      <c r="T79" s="41"/>
      <c r="U79" s="42"/>
      <c r="V79" s="42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false" outlineLevel="0" collapsed="false">
      <c r="A80" s="125" t="s">
        <v>172</v>
      </c>
      <c r="B80" s="126" t="s">
        <v>173</v>
      </c>
      <c r="C80" s="126" t="s">
        <v>174</v>
      </c>
      <c r="D80" s="127" t="s">
        <v>175</v>
      </c>
      <c r="E80" s="127"/>
      <c r="F80" s="125" t="s">
        <v>176</v>
      </c>
      <c r="G80" s="125" t="s">
        <v>177</v>
      </c>
      <c r="H80" s="126" t="s">
        <v>178</v>
      </c>
      <c r="I80" s="128" t="s">
        <v>179</v>
      </c>
      <c r="J80" s="126" t="s">
        <v>180</v>
      </c>
      <c r="K80" s="126" t="s">
        <v>181</v>
      </c>
      <c r="L80" s="126" t="s">
        <v>182</v>
      </c>
      <c r="M80" s="126" t="s">
        <v>183</v>
      </c>
      <c r="N80" s="129" t="s">
        <v>184</v>
      </c>
      <c r="O80" s="126" t="s">
        <v>185</v>
      </c>
      <c r="P80" s="130" t="s">
        <v>186</v>
      </c>
      <c r="Q80" s="126" t="s">
        <v>187</v>
      </c>
      <c r="R80" s="125" t="s">
        <v>188</v>
      </c>
      <c r="S80" s="101" t="s">
        <v>263</v>
      </c>
      <c r="T80" s="101" t="s">
        <v>284</v>
      </c>
      <c r="U80" s="103"/>
      <c r="V80" s="103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  <c r="CE80" s="131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1"/>
      <c r="CQ80" s="131"/>
      <c r="CR80" s="131"/>
      <c r="CS80" s="131"/>
      <c r="CT80" s="131"/>
      <c r="CU80" s="131"/>
      <c r="CV80" s="131"/>
      <c r="CW80" s="131"/>
      <c r="CX80" s="131"/>
      <c r="CY80" s="131"/>
      <c r="CZ80" s="131"/>
      <c r="DA80" s="131"/>
      <c r="DB80" s="131"/>
      <c r="DC80" s="131"/>
      <c r="DD80" s="131"/>
      <c r="DE80" s="131"/>
      <c r="DF80" s="131"/>
      <c r="DG80" s="131"/>
      <c r="DH80" s="131"/>
      <c r="DI80" s="131"/>
      <c r="DJ80" s="131"/>
      <c r="DK80" s="131"/>
      <c r="DL80" s="131"/>
      <c r="DM80" s="131"/>
      <c r="DN80" s="131"/>
      <c r="DO80" s="131"/>
      <c r="DP80" s="131"/>
      <c r="DQ80" s="131"/>
      <c r="DR80" s="131"/>
      <c r="DS80" s="131"/>
      <c r="DT80" s="131"/>
      <c r="DU80" s="131"/>
      <c r="DV80" s="131"/>
      <c r="DW80" s="131"/>
      <c r="DX80" s="131"/>
      <c r="DY80" s="131"/>
      <c r="DZ80" s="131"/>
      <c r="EA80" s="131"/>
      <c r="EB80" s="131"/>
      <c r="EC80" s="131"/>
      <c r="ED80" s="131"/>
      <c r="EE80" s="131"/>
      <c r="EF80" s="131"/>
      <c r="EG80" s="131"/>
      <c r="EH80" s="131"/>
      <c r="EI80" s="131"/>
      <c r="EJ80" s="131"/>
      <c r="EK80" s="131"/>
      <c r="EL80" s="131"/>
      <c r="EM80" s="131"/>
      <c r="EN80" s="131"/>
      <c r="EO80" s="131"/>
      <c r="EP80" s="131"/>
      <c r="EQ80" s="131"/>
      <c r="ER80" s="131"/>
      <c r="ES80" s="131"/>
      <c r="ET80" s="131"/>
      <c r="EU80" s="131"/>
      <c r="EV80" s="131"/>
      <c r="EW80" s="131"/>
      <c r="EX80" s="131"/>
      <c r="EY80" s="131"/>
      <c r="EZ80" s="131"/>
      <c r="FA80" s="131"/>
      <c r="FB80" s="131"/>
      <c r="FC80" s="131"/>
      <c r="FD80" s="131"/>
      <c r="FE80" s="131"/>
      <c r="FF80" s="131"/>
      <c r="FG80" s="131"/>
      <c r="FH80" s="131"/>
      <c r="FI80" s="131"/>
      <c r="FJ80" s="131"/>
      <c r="FK80" s="131"/>
      <c r="FL80" s="131"/>
      <c r="FM80" s="131"/>
      <c r="FN80" s="131"/>
      <c r="FO80" s="131"/>
      <c r="FP80" s="131"/>
      <c r="FQ80" s="131"/>
      <c r="FR80" s="131"/>
      <c r="FS80" s="131"/>
      <c r="FT80" s="131"/>
      <c r="FU80" s="131"/>
      <c r="FV80" s="131"/>
      <c r="FW80" s="131"/>
      <c r="FX80" s="131"/>
      <c r="FY80" s="131"/>
      <c r="FZ80" s="131"/>
      <c r="GA80" s="131"/>
      <c r="GB80" s="131"/>
      <c r="GC80" s="131"/>
      <c r="GD80" s="131"/>
      <c r="GE80" s="131"/>
      <c r="GF80" s="131"/>
      <c r="GG80" s="131"/>
      <c r="GH80" s="131"/>
      <c r="GI80" s="131"/>
      <c r="GJ80" s="131"/>
      <c r="GK80" s="131"/>
      <c r="GL80" s="131"/>
      <c r="GM80" s="131"/>
      <c r="GN80" s="131"/>
      <c r="GO80" s="131"/>
      <c r="GP80" s="131"/>
      <c r="GQ80" s="131"/>
      <c r="GR80" s="131"/>
      <c r="GS80" s="131"/>
      <c r="GT80" s="131"/>
      <c r="GU80" s="131"/>
      <c r="GV80" s="131"/>
      <c r="GW80" s="131"/>
      <c r="GX80" s="131"/>
      <c r="GY80" s="131"/>
      <c r="GZ80" s="131"/>
      <c r="HA80" s="131"/>
      <c r="HB80" s="131"/>
      <c r="HC80" s="131"/>
      <c r="HD80" s="131"/>
      <c r="HE80" s="131"/>
      <c r="HF80" s="131"/>
      <c r="HG80" s="131"/>
      <c r="HH80" s="131"/>
      <c r="HI80" s="131"/>
      <c r="HJ80" s="131"/>
      <c r="HK80" s="131"/>
      <c r="HL80" s="131"/>
      <c r="HM80" s="131"/>
      <c r="HN80" s="131"/>
      <c r="HO80" s="131"/>
      <c r="HP80" s="131"/>
      <c r="HQ80" s="131"/>
      <c r="HR80" s="131"/>
      <c r="HS80" s="131"/>
      <c r="HT80" s="131"/>
      <c r="HU80" s="131"/>
      <c r="HV80" s="131"/>
      <c r="HW80" s="131"/>
      <c r="HX80" s="131"/>
      <c r="HY80" s="131"/>
      <c r="HZ80" s="131"/>
      <c r="IA80" s="131"/>
      <c r="IB80" s="131"/>
      <c r="IC80" s="131"/>
      <c r="ID80" s="131"/>
      <c r="IE80" s="131"/>
      <c r="IF80" s="131"/>
      <c r="IG80" s="131"/>
      <c r="IH80" s="131"/>
      <c r="II80" s="131"/>
      <c r="IJ80" s="131"/>
      <c r="IK80" s="131"/>
      <c r="IL80" s="131"/>
      <c r="IM80" s="131"/>
      <c r="IN80" s="131"/>
      <c r="IO80" s="131"/>
      <c r="IP80" s="131"/>
      <c r="IQ80" s="131"/>
      <c r="IR80" s="131"/>
      <c r="IS80" s="131"/>
      <c r="IT80" s="131"/>
      <c r="IU80" s="131"/>
      <c r="IV80" s="131"/>
      <c r="IW80" s="131"/>
    </row>
    <row r="81" customFormat="false" ht="12.75" hidden="false" customHeight="false" outlineLevel="0" collapsed="false">
      <c r="A81" s="33" t="s">
        <v>274</v>
      </c>
      <c r="B81" s="34" t="s">
        <v>285</v>
      </c>
      <c r="C81" s="34" t="s">
        <v>286</v>
      </c>
      <c r="D81" s="35" t="n">
        <v>36100</v>
      </c>
      <c r="E81" s="35" t="n">
        <v>39387</v>
      </c>
      <c r="F81" s="33" t="s">
        <v>287</v>
      </c>
      <c r="G81" s="33" t="s">
        <v>288</v>
      </c>
      <c r="H81" s="34" t="s">
        <v>73</v>
      </c>
      <c r="I81" s="37" t="n">
        <f aca="false">6.1038/I$1</f>
        <v>0.196896774193548</v>
      </c>
      <c r="J81" s="37" t="n">
        <v>0.0013</v>
      </c>
      <c r="K81" s="37" t="n">
        <v>0.0022</v>
      </c>
      <c r="L81" s="37" t="n">
        <v>0</v>
      </c>
      <c r="M81" s="37" t="n">
        <v>0</v>
      </c>
      <c r="N81" s="132" t="n">
        <v>0.02</v>
      </c>
      <c r="O81" s="37" t="n">
        <f aca="false">SUM(I81:M81)</f>
        <v>0.200396774193548</v>
      </c>
      <c r="P81" s="39" t="s">
        <v>289</v>
      </c>
      <c r="Q81" s="34" t="n">
        <v>117</v>
      </c>
      <c r="R81" s="33" t="s">
        <v>290</v>
      </c>
      <c r="S81" s="40" t="n">
        <f aca="false">I81*I$1*Q81</f>
        <v>714.1446</v>
      </c>
      <c r="T81" s="133"/>
      <c r="U81" s="42" t="n">
        <v>79923</v>
      </c>
      <c r="V81" s="19" t="s">
        <v>291</v>
      </c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54" t="s">
        <v>274</v>
      </c>
      <c r="B82" s="114" t="s">
        <v>285</v>
      </c>
      <c r="C82" s="114" t="s">
        <v>286</v>
      </c>
      <c r="D82" s="106" t="n">
        <v>37196</v>
      </c>
      <c r="E82" s="106" t="n">
        <v>37560</v>
      </c>
      <c r="F82" s="54" t="s">
        <v>287</v>
      </c>
      <c r="G82" s="54" t="s">
        <v>288</v>
      </c>
      <c r="H82" s="114" t="s">
        <v>73</v>
      </c>
      <c r="I82" s="116" t="n">
        <f aca="false">6.1038/I$1</f>
        <v>0.196896774193548</v>
      </c>
      <c r="J82" s="116" t="n">
        <v>0.0013</v>
      </c>
      <c r="K82" s="116" t="n">
        <v>0.0022</v>
      </c>
      <c r="L82" s="116" t="n">
        <v>0</v>
      </c>
      <c r="M82" s="116" t="n">
        <v>0</v>
      </c>
      <c r="N82" s="144" t="n">
        <v>0.02</v>
      </c>
      <c r="O82" s="116" t="n">
        <f aca="false">SUM(I82:M82)</f>
        <v>0.200396774193548</v>
      </c>
      <c r="P82" s="111" t="s">
        <v>292</v>
      </c>
      <c r="Q82" s="114" t="n">
        <v>9189</v>
      </c>
      <c r="R82" s="54" t="s">
        <v>293</v>
      </c>
      <c r="S82" s="122" t="n">
        <f aca="false">I82*I$1*Q82</f>
        <v>56087.8182</v>
      </c>
      <c r="T82" s="145"/>
      <c r="U82" s="120" t="n">
        <v>1134794</v>
      </c>
      <c r="V82" s="121" t="s">
        <v>220</v>
      </c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</row>
    <row r="83" customFormat="false" ht="12.75" hidden="false" customHeight="false" outlineLevel="0" collapsed="false">
      <c r="A83" s="33"/>
      <c r="B83" s="34"/>
      <c r="C83" s="34"/>
      <c r="D83" s="35"/>
      <c r="E83" s="35"/>
      <c r="F83" s="33"/>
      <c r="G83" s="33"/>
      <c r="H83" s="34"/>
      <c r="I83" s="36"/>
      <c r="J83" s="37"/>
      <c r="K83" s="37"/>
      <c r="L83" s="37"/>
      <c r="M83" s="37"/>
      <c r="N83" s="132"/>
      <c r="O83" s="37"/>
      <c r="P83" s="39"/>
      <c r="Q83" s="34"/>
      <c r="R83" s="33"/>
      <c r="S83" s="40"/>
      <c r="T83" s="40" t="n">
        <f aca="false">SUM(T81:T82)</f>
        <v>0</v>
      </c>
      <c r="U83" s="42"/>
      <c r="V83" s="42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33"/>
      <c r="B84" s="34"/>
      <c r="C84" s="34"/>
      <c r="D84" s="35"/>
      <c r="E84" s="35"/>
      <c r="F84" s="33"/>
      <c r="G84" s="33"/>
      <c r="H84" s="34"/>
      <c r="I84" s="36"/>
      <c r="J84" s="37"/>
      <c r="K84" s="37"/>
      <c r="L84" s="37"/>
      <c r="M84" s="37"/>
      <c r="N84" s="38"/>
      <c r="O84" s="37"/>
      <c r="P84" s="39"/>
      <c r="Q84" s="85" t="n">
        <f aca="false">SUM(Q81:Q83)</f>
        <v>9306</v>
      </c>
      <c r="R84" s="89" t="s">
        <v>221</v>
      </c>
      <c r="S84" s="51" t="n">
        <f aca="false">SUM(S81:S83)</f>
        <v>56801.9628</v>
      </c>
      <c r="T84" s="40"/>
      <c r="U84" s="41"/>
      <c r="V84" s="42"/>
      <c r="W84" s="42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33"/>
      <c r="B85" s="34"/>
      <c r="C85" s="34"/>
      <c r="D85" s="35"/>
      <c r="E85" s="35"/>
      <c r="F85" s="33"/>
      <c r="G85" s="33"/>
      <c r="H85" s="34"/>
      <c r="I85" s="36"/>
      <c r="J85" s="37"/>
      <c r="K85" s="37"/>
      <c r="L85" s="37"/>
      <c r="M85" s="37"/>
      <c r="N85" s="38"/>
      <c r="O85" s="37"/>
      <c r="P85" s="39"/>
      <c r="Q85" s="87"/>
      <c r="R85" s="89" t="s">
        <v>222</v>
      </c>
      <c r="S85" s="51" t="n">
        <f aca="false">SUM(S82)</f>
        <v>56087.8182</v>
      </c>
      <c r="T85" s="40"/>
      <c r="U85" s="41"/>
      <c r="V85" s="42"/>
      <c r="W85" s="4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3.5" hidden="false" customHeight="false" outlineLevel="0" collapsed="false">
      <c r="A86" s="33"/>
      <c r="B86" s="34"/>
      <c r="C86" s="34"/>
      <c r="D86" s="35"/>
      <c r="E86" s="35"/>
      <c r="F86" s="33"/>
      <c r="G86" s="33"/>
      <c r="H86" s="34"/>
      <c r="I86" s="36"/>
      <c r="J86" s="37"/>
      <c r="K86" s="37"/>
      <c r="L86" s="37"/>
      <c r="M86" s="37"/>
      <c r="N86" s="38"/>
      <c r="O86" s="37"/>
      <c r="P86" s="39"/>
      <c r="Q86" s="87"/>
      <c r="R86" s="89" t="s">
        <v>223</v>
      </c>
      <c r="S86" s="109" t="n">
        <f aca="false">+S84-S85</f>
        <v>714.1446</v>
      </c>
      <c r="T86" s="40"/>
      <c r="U86" s="41"/>
      <c r="V86" s="42"/>
      <c r="W86" s="42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3.5" hidden="false" customHeight="false" outlineLevel="0" collapsed="false">
      <c r="A87" s="33"/>
      <c r="B87" s="34"/>
      <c r="C87" s="34"/>
      <c r="D87" s="35"/>
      <c r="E87" s="35"/>
      <c r="F87" s="33"/>
      <c r="G87" s="33"/>
      <c r="H87" s="34"/>
      <c r="I87" s="36"/>
      <c r="J87" s="37"/>
      <c r="K87" s="37"/>
      <c r="L87" s="37"/>
      <c r="M87" s="37"/>
      <c r="N87" s="38"/>
      <c r="O87" s="37"/>
      <c r="P87" s="39"/>
      <c r="Q87" s="87"/>
      <c r="R87" s="89"/>
      <c r="S87" s="51"/>
      <c r="T87" s="40"/>
      <c r="U87" s="41"/>
      <c r="V87" s="42"/>
      <c r="W87" s="42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25" t="s">
        <v>172</v>
      </c>
      <c r="B88" s="126" t="s">
        <v>173</v>
      </c>
      <c r="C88" s="126" t="s">
        <v>174</v>
      </c>
      <c r="D88" s="127" t="s">
        <v>175</v>
      </c>
      <c r="E88" s="127"/>
      <c r="F88" s="125" t="s">
        <v>176</v>
      </c>
      <c r="G88" s="125" t="s">
        <v>177</v>
      </c>
      <c r="H88" s="126" t="s">
        <v>178</v>
      </c>
      <c r="I88" s="128" t="s">
        <v>179</v>
      </c>
      <c r="J88" s="126" t="s">
        <v>180</v>
      </c>
      <c r="K88" s="126" t="s">
        <v>181</v>
      </c>
      <c r="L88" s="126" t="s">
        <v>182</v>
      </c>
      <c r="M88" s="126" t="s">
        <v>183</v>
      </c>
      <c r="N88" s="129" t="s">
        <v>184</v>
      </c>
      <c r="O88" s="126" t="s">
        <v>185</v>
      </c>
      <c r="P88" s="130" t="s">
        <v>186</v>
      </c>
      <c r="Q88" s="126" t="s">
        <v>187</v>
      </c>
      <c r="R88" s="125" t="s">
        <v>188</v>
      </c>
      <c r="S88" s="101" t="s">
        <v>263</v>
      </c>
      <c r="T88" s="103"/>
      <c r="U88" s="103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1"/>
      <c r="BV88" s="131"/>
      <c r="BW88" s="131"/>
      <c r="BX88" s="131"/>
      <c r="BY88" s="131"/>
      <c r="BZ88" s="131"/>
      <c r="CA88" s="131"/>
      <c r="CB88" s="131"/>
      <c r="CC88" s="131"/>
      <c r="CD88" s="131"/>
      <c r="CE88" s="131"/>
      <c r="CF88" s="131"/>
      <c r="CG88" s="131"/>
      <c r="CH88" s="131"/>
      <c r="CI88" s="131"/>
      <c r="CJ88" s="131"/>
      <c r="CK88" s="131"/>
      <c r="CL88" s="131"/>
      <c r="CM88" s="131"/>
      <c r="CN88" s="131"/>
      <c r="CO88" s="131"/>
      <c r="CP88" s="131"/>
      <c r="CQ88" s="131"/>
      <c r="CR88" s="131"/>
      <c r="CS88" s="131"/>
      <c r="CT88" s="131"/>
      <c r="CU88" s="131"/>
      <c r="CV88" s="131"/>
      <c r="CW88" s="131"/>
      <c r="CX88" s="131"/>
      <c r="CY88" s="131"/>
      <c r="CZ88" s="131"/>
      <c r="DA88" s="131"/>
      <c r="DB88" s="131"/>
      <c r="DC88" s="131"/>
      <c r="DD88" s="131"/>
      <c r="DE88" s="131"/>
      <c r="DF88" s="131"/>
      <c r="DG88" s="131"/>
      <c r="DH88" s="131"/>
      <c r="DI88" s="131"/>
      <c r="DJ88" s="131"/>
      <c r="DK88" s="131"/>
      <c r="DL88" s="131"/>
      <c r="DM88" s="131"/>
      <c r="DN88" s="131"/>
      <c r="DO88" s="131"/>
      <c r="DP88" s="131"/>
      <c r="DQ88" s="131"/>
      <c r="DR88" s="131"/>
      <c r="DS88" s="131"/>
      <c r="DT88" s="131"/>
      <c r="DU88" s="131"/>
      <c r="DV88" s="131"/>
      <c r="DW88" s="131"/>
      <c r="DX88" s="131"/>
      <c r="DY88" s="131"/>
      <c r="DZ88" s="131"/>
      <c r="EA88" s="131"/>
      <c r="EB88" s="131"/>
      <c r="EC88" s="131"/>
      <c r="ED88" s="131"/>
      <c r="EE88" s="131"/>
      <c r="EF88" s="131"/>
      <c r="EG88" s="131"/>
      <c r="EH88" s="131"/>
      <c r="EI88" s="131"/>
      <c r="EJ88" s="131"/>
      <c r="EK88" s="131"/>
      <c r="EL88" s="131"/>
      <c r="EM88" s="131"/>
      <c r="EN88" s="131"/>
      <c r="EO88" s="131"/>
      <c r="EP88" s="131"/>
      <c r="EQ88" s="131"/>
      <c r="ER88" s="131"/>
      <c r="ES88" s="131"/>
      <c r="ET88" s="131"/>
      <c r="EU88" s="131"/>
      <c r="EV88" s="131"/>
      <c r="EW88" s="131"/>
      <c r="EX88" s="131"/>
      <c r="EY88" s="131"/>
      <c r="EZ88" s="131"/>
      <c r="FA88" s="131"/>
      <c r="FB88" s="131"/>
      <c r="FC88" s="131"/>
      <c r="FD88" s="131"/>
      <c r="FE88" s="131"/>
      <c r="FF88" s="131"/>
      <c r="FG88" s="131"/>
      <c r="FH88" s="131"/>
      <c r="FI88" s="131"/>
      <c r="FJ88" s="131"/>
      <c r="FK88" s="131"/>
      <c r="FL88" s="131"/>
      <c r="FM88" s="131"/>
      <c r="FN88" s="131"/>
      <c r="FO88" s="131"/>
      <c r="FP88" s="131"/>
      <c r="FQ88" s="131"/>
      <c r="FR88" s="131"/>
      <c r="FS88" s="131"/>
      <c r="FT88" s="131"/>
      <c r="FU88" s="131"/>
      <c r="FV88" s="131"/>
      <c r="FW88" s="131"/>
      <c r="FX88" s="131"/>
      <c r="FY88" s="131"/>
      <c r="FZ88" s="131"/>
      <c r="GA88" s="131"/>
      <c r="GB88" s="131"/>
      <c r="GC88" s="131"/>
      <c r="GD88" s="131"/>
      <c r="GE88" s="131"/>
      <c r="GF88" s="131"/>
      <c r="GG88" s="131"/>
      <c r="GH88" s="131"/>
      <c r="GI88" s="131"/>
      <c r="GJ88" s="131"/>
      <c r="GK88" s="131"/>
      <c r="GL88" s="131"/>
      <c r="GM88" s="131"/>
      <c r="GN88" s="131"/>
      <c r="GO88" s="131"/>
      <c r="GP88" s="131"/>
      <c r="GQ88" s="131"/>
      <c r="GR88" s="131"/>
      <c r="GS88" s="131"/>
      <c r="GT88" s="131"/>
      <c r="GU88" s="131"/>
      <c r="GV88" s="131"/>
      <c r="GW88" s="131"/>
      <c r="GX88" s="131"/>
      <c r="GY88" s="131"/>
      <c r="GZ88" s="131"/>
      <c r="HA88" s="131"/>
      <c r="HB88" s="131"/>
      <c r="HC88" s="131"/>
      <c r="HD88" s="131"/>
      <c r="HE88" s="131"/>
      <c r="HF88" s="131"/>
      <c r="HG88" s="131"/>
      <c r="HH88" s="131"/>
      <c r="HI88" s="131"/>
      <c r="HJ88" s="131"/>
      <c r="HK88" s="131"/>
      <c r="HL88" s="131"/>
      <c r="HM88" s="131"/>
      <c r="HN88" s="131"/>
      <c r="HO88" s="131"/>
      <c r="HP88" s="131"/>
      <c r="HQ88" s="131"/>
      <c r="HR88" s="131"/>
      <c r="HS88" s="131"/>
      <c r="HT88" s="131"/>
      <c r="HU88" s="131"/>
      <c r="HV88" s="131"/>
      <c r="HW88" s="131"/>
      <c r="HX88" s="131"/>
      <c r="HY88" s="131"/>
      <c r="HZ88" s="131"/>
      <c r="IA88" s="131"/>
      <c r="IB88" s="131"/>
      <c r="IC88" s="131"/>
      <c r="ID88" s="131"/>
      <c r="IE88" s="131"/>
      <c r="IF88" s="131"/>
      <c r="IG88" s="131"/>
      <c r="IH88" s="131"/>
      <c r="II88" s="131"/>
      <c r="IJ88" s="131"/>
      <c r="IK88" s="131"/>
      <c r="IL88" s="131"/>
      <c r="IM88" s="131"/>
      <c r="IN88" s="131"/>
      <c r="IO88" s="131"/>
      <c r="IP88" s="131"/>
      <c r="IQ88" s="131"/>
      <c r="IR88" s="131"/>
      <c r="IS88" s="131"/>
      <c r="IT88" s="131"/>
      <c r="IU88" s="131"/>
      <c r="IV88" s="131"/>
      <c r="IW88" s="131"/>
    </row>
    <row r="89" customFormat="false" ht="12.75" hidden="false" customHeight="false" outlineLevel="0" collapsed="false">
      <c r="A89" s="146" t="s">
        <v>274</v>
      </c>
      <c r="B89" s="147" t="s">
        <v>294</v>
      </c>
      <c r="C89" s="147" t="s">
        <v>295</v>
      </c>
      <c r="D89" s="148" t="n">
        <v>37165</v>
      </c>
      <c r="E89" s="148" t="n">
        <v>37195</v>
      </c>
      <c r="F89" s="146" t="n">
        <v>0</v>
      </c>
      <c r="G89" s="146" t="n">
        <v>3</v>
      </c>
      <c r="H89" s="147" t="s">
        <v>296</v>
      </c>
      <c r="I89" s="149" t="n">
        <f aca="false">1.8/30</f>
        <v>0.06</v>
      </c>
      <c r="J89" s="150"/>
      <c r="K89" s="150"/>
      <c r="L89" s="150"/>
      <c r="M89" s="150"/>
      <c r="N89" s="151"/>
      <c r="O89" s="150"/>
      <c r="P89" s="152" t="n">
        <v>2001002317</v>
      </c>
      <c r="Q89" s="153" t="n">
        <v>13273</v>
      </c>
      <c r="R89" s="154"/>
      <c r="S89" s="155" t="n">
        <f aca="false">+Q89*I89*I$1</f>
        <v>24687.78</v>
      </c>
      <c r="T89" s="156" t="n">
        <v>1075321</v>
      </c>
      <c r="U89" s="157"/>
      <c r="V89" s="156"/>
      <c r="W89" s="156" t="s">
        <v>259</v>
      </c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/>
      <c r="EB89" s="158"/>
      <c r="EC89" s="158"/>
      <c r="ED89" s="158"/>
      <c r="EE89" s="158"/>
      <c r="EF89" s="158"/>
      <c r="EG89" s="158"/>
      <c r="EH89" s="158"/>
      <c r="EI89" s="158"/>
      <c r="EJ89" s="158"/>
      <c r="EK89" s="158"/>
      <c r="EL89" s="158"/>
      <c r="EM89" s="158"/>
      <c r="EN89" s="158"/>
      <c r="EO89" s="158"/>
      <c r="EP89" s="158"/>
      <c r="EQ89" s="158"/>
      <c r="ER89" s="158"/>
      <c r="ES89" s="158"/>
      <c r="ET89" s="158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F89" s="158"/>
      <c r="FG89" s="158"/>
      <c r="FH89" s="158"/>
      <c r="FI89" s="158"/>
      <c r="FJ89" s="158"/>
      <c r="FK89" s="158"/>
      <c r="FL89" s="158"/>
      <c r="FM89" s="158"/>
      <c r="FN89" s="158"/>
      <c r="FO89" s="158"/>
      <c r="FP89" s="158"/>
      <c r="FQ89" s="158"/>
      <c r="FR89" s="158"/>
      <c r="FS89" s="158"/>
      <c r="FT89" s="158"/>
      <c r="FU89" s="158"/>
      <c r="FV89" s="158"/>
      <c r="FW89" s="158"/>
      <c r="FX89" s="158"/>
      <c r="FY89" s="158"/>
      <c r="FZ89" s="158"/>
      <c r="GA89" s="158"/>
      <c r="GB89" s="158"/>
      <c r="GC89" s="158"/>
      <c r="GD89" s="158"/>
      <c r="GE89" s="158"/>
      <c r="GF89" s="158"/>
      <c r="GG89" s="158"/>
      <c r="GH89" s="158"/>
      <c r="GI89" s="158"/>
      <c r="GJ89" s="158"/>
      <c r="GK89" s="158"/>
      <c r="GL89" s="158"/>
      <c r="GM89" s="158"/>
      <c r="GN89" s="158"/>
      <c r="GO89" s="158"/>
      <c r="GP89" s="158"/>
      <c r="GQ89" s="158"/>
      <c r="GR89" s="158"/>
      <c r="GS89" s="158"/>
      <c r="GT89" s="158"/>
      <c r="GU89" s="158"/>
      <c r="GV89" s="158"/>
      <c r="GW89" s="158"/>
      <c r="GX89" s="158"/>
      <c r="GY89" s="158"/>
      <c r="GZ89" s="158"/>
      <c r="HA89" s="158"/>
      <c r="HB89" s="158"/>
      <c r="HC89" s="158"/>
      <c r="HD89" s="158"/>
      <c r="HE89" s="158"/>
      <c r="HF89" s="158"/>
      <c r="HG89" s="158"/>
      <c r="HH89" s="158"/>
      <c r="HI89" s="158"/>
      <c r="HJ89" s="158"/>
      <c r="HK89" s="158"/>
      <c r="HL89" s="158"/>
      <c r="HM89" s="158"/>
      <c r="HN89" s="158"/>
      <c r="HO89" s="158"/>
      <c r="HP89" s="158"/>
      <c r="HQ89" s="158"/>
      <c r="HR89" s="158"/>
      <c r="HS89" s="158"/>
      <c r="HT89" s="158"/>
      <c r="HU89" s="158"/>
      <c r="HV89" s="158"/>
      <c r="HW89" s="158"/>
      <c r="HX89" s="158"/>
      <c r="HY89" s="158"/>
      <c r="HZ89" s="158"/>
      <c r="IA89" s="158"/>
      <c r="IB89" s="158"/>
      <c r="IC89" s="158"/>
      <c r="ID89" s="158"/>
      <c r="IE89" s="158"/>
      <c r="IF89" s="158"/>
      <c r="IG89" s="158"/>
      <c r="IH89" s="158"/>
      <c r="II89" s="158"/>
      <c r="IJ89" s="158"/>
      <c r="IK89" s="158"/>
      <c r="IL89" s="158"/>
      <c r="IM89" s="158"/>
      <c r="IN89" s="158"/>
      <c r="IO89" s="158"/>
      <c r="IP89" s="158"/>
      <c r="IQ89" s="158"/>
      <c r="IR89" s="158"/>
      <c r="IS89" s="158"/>
      <c r="IT89" s="158"/>
      <c r="IU89" s="158"/>
      <c r="IV89" s="158"/>
      <c r="IW89" s="158"/>
    </row>
    <row r="90" customFormat="false" ht="12.75" hidden="false" customHeight="false" outlineLevel="0" collapsed="false">
      <c r="A90" s="146" t="s">
        <v>274</v>
      </c>
      <c r="B90" s="147" t="s">
        <v>294</v>
      </c>
      <c r="C90" s="147" t="s">
        <v>295</v>
      </c>
      <c r="D90" s="148" t="n">
        <v>37165</v>
      </c>
      <c r="E90" s="148" t="n">
        <v>37195</v>
      </c>
      <c r="F90" s="146" t="n">
        <v>0</v>
      </c>
      <c r="G90" s="146" t="n">
        <v>3</v>
      </c>
      <c r="H90" s="147" t="s">
        <v>296</v>
      </c>
      <c r="I90" s="149" t="n">
        <f aca="false">1.8/30</f>
        <v>0.06</v>
      </c>
      <c r="J90" s="150"/>
      <c r="K90" s="150"/>
      <c r="L90" s="150"/>
      <c r="M90" s="150"/>
      <c r="N90" s="151"/>
      <c r="O90" s="150"/>
      <c r="P90" s="152" t="n">
        <v>2001002354</v>
      </c>
      <c r="Q90" s="153" t="n">
        <v>2500</v>
      </c>
      <c r="R90" s="154"/>
      <c r="S90" s="155" t="n">
        <f aca="false">+Q90*I90*I$1</f>
        <v>4650</v>
      </c>
      <c r="T90" s="156" t="n">
        <v>1075328</v>
      </c>
      <c r="U90" s="157"/>
      <c r="V90" s="156"/>
      <c r="W90" s="156" t="s">
        <v>259</v>
      </c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T90" s="158"/>
      <c r="CU90" s="158"/>
      <c r="CV90" s="158"/>
      <c r="CW90" s="158"/>
      <c r="CX90" s="158"/>
      <c r="CY90" s="158"/>
      <c r="CZ90" s="158"/>
      <c r="DA90" s="158"/>
      <c r="DB90" s="158"/>
      <c r="DC90" s="158"/>
      <c r="DD90" s="158"/>
      <c r="DE90" s="158"/>
      <c r="DF90" s="158"/>
      <c r="DG90" s="158"/>
      <c r="DH90" s="158"/>
      <c r="DI90" s="158"/>
      <c r="DJ90" s="158"/>
      <c r="DK90" s="158"/>
      <c r="DL90" s="158"/>
      <c r="DM90" s="158"/>
      <c r="DN90" s="158"/>
      <c r="DO90" s="158"/>
      <c r="DP90" s="158"/>
      <c r="DQ90" s="158"/>
      <c r="DR90" s="158"/>
      <c r="DS90" s="158"/>
      <c r="DT90" s="158"/>
      <c r="DU90" s="158"/>
      <c r="DV90" s="158"/>
      <c r="DW90" s="158"/>
      <c r="DX90" s="158"/>
      <c r="DY90" s="158"/>
      <c r="DZ90" s="158"/>
      <c r="EA90" s="158"/>
      <c r="EB90" s="158"/>
      <c r="EC90" s="158"/>
      <c r="ED90" s="158"/>
      <c r="EE90" s="158"/>
      <c r="EF90" s="158"/>
      <c r="EG90" s="158"/>
      <c r="EH90" s="158"/>
      <c r="EI90" s="158"/>
      <c r="EJ90" s="158"/>
      <c r="EK90" s="158"/>
      <c r="EL90" s="158"/>
      <c r="EM90" s="158"/>
      <c r="EN90" s="158"/>
      <c r="EO90" s="158"/>
      <c r="EP90" s="158"/>
      <c r="EQ90" s="158"/>
      <c r="ER90" s="158"/>
      <c r="ES90" s="158"/>
      <c r="ET90" s="158"/>
      <c r="EU90" s="158"/>
      <c r="EV90" s="158"/>
      <c r="EW90" s="158"/>
      <c r="EX90" s="158"/>
      <c r="EY90" s="158"/>
      <c r="EZ90" s="158"/>
      <c r="FA90" s="158"/>
      <c r="FB90" s="158"/>
      <c r="FC90" s="158"/>
      <c r="FD90" s="158"/>
      <c r="FE90" s="158"/>
      <c r="FF90" s="158"/>
      <c r="FG90" s="158"/>
      <c r="FH90" s="158"/>
      <c r="FI90" s="158"/>
      <c r="FJ90" s="158"/>
      <c r="FK90" s="158"/>
      <c r="FL90" s="158"/>
      <c r="FM90" s="158"/>
      <c r="FN90" s="158"/>
      <c r="FO90" s="158"/>
      <c r="FP90" s="158"/>
      <c r="FQ90" s="158"/>
      <c r="FR90" s="158"/>
      <c r="FS90" s="158"/>
      <c r="FT90" s="158"/>
      <c r="FU90" s="158"/>
      <c r="FV90" s="158"/>
      <c r="FW90" s="158"/>
      <c r="FX90" s="158"/>
      <c r="FY90" s="158"/>
      <c r="FZ90" s="158"/>
      <c r="GA90" s="158"/>
      <c r="GB90" s="158"/>
      <c r="GC90" s="158"/>
      <c r="GD90" s="158"/>
      <c r="GE90" s="158"/>
      <c r="GF90" s="158"/>
      <c r="GG90" s="158"/>
      <c r="GH90" s="158"/>
      <c r="GI90" s="158"/>
      <c r="GJ90" s="158"/>
      <c r="GK90" s="158"/>
      <c r="GL90" s="158"/>
      <c r="GM90" s="158"/>
      <c r="GN90" s="158"/>
      <c r="GO90" s="158"/>
      <c r="GP90" s="158"/>
      <c r="GQ90" s="158"/>
      <c r="GR90" s="158"/>
      <c r="GS90" s="158"/>
      <c r="GT90" s="158"/>
      <c r="GU90" s="158"/>
      <c r="GV90" s="158"/>
      <c r="GW90" s="158"/>
      <c r="GX90" s="158"/>
      <c r="GY90" s="158"/>
      <c r="GZ90" s="158"/>
      <c r="HA90" s="158"/>
      <c r="HB90" s="158"/>
      <c r="HC90" s="158"/>
      <c r="HD90" s="158"/>
      <c r="HE90" s="158"/>
      <c r="HF90" s="158"/>
      <c r="HG90" s="158"/>
      <c r="HH90" s="158"/>
      <c r="HI90" s="158"/>
      <c r="HJ90" s="158"/>
      <c r="HK90" s="158"/>
      <c r="HL90" s="158"/>
      <c r="HM90" s="158"/>
      <c r="HN90" s="158"/>
      <c r="HO90" s="158"/>
      <c r="HP90" s="158"/>
      <c r="HQ90" s="158"/>
      <c r="HR90" s="158"/>
      <c r="HS90" s="158"/>
      <c r="HT90" s="158"/>
      <c r="HU90" s="158"/>
      <c r="HV90" s="158"/>
      <c r="HW90" s="158"/>
      <c r="HX90" s="158"/>
      <c r="HY90" s="158"/>
      <c r="HZ90" s="158"/>
      <c r="IA90" s="158"/>
      <c r="IB90" s="158"/>
      <c r="IC90" s="158"/>
      <c r="ID90" s="158"/>
      <c r="IE90" s="158"/>
      <c r="IF90" s="158"/>
      <c r="IG90" s="158"/>
      <c r="IH90" s="158"/>
      <c r="II90" s="158"/>
      <c r="IJ90" s="158"/>
      <c r="IK90" s="158"/>
      <c r="IL90" s="158"/>
      <c r="IM90" s="158"/>
      <c r="IN90" s="158"/>
      <c r="IO90" s="158"/>
      <c r="IP90" s="158"/>
      <c r="IQ90" s="158"/>
      <c r="IR90" s="158"/>
      <c r="IS90" s="158"/>
      <c r="IT90" s="158"/>
      <c r="IU90" s="158"/>
      <c r="IV90" s="158"/>
      <c r="IW90" s="158"/>
    </row>
    <row r="91" customFormat="false" ht="12.75" hidden="false" customHeight="false" outlineLevel="0" collapsed="false">
      <c r="A91" s="146" t="s">
        <v>274</v>
      </c>
      <c r="B91" s="147" t="s">
        <v>294</v>
      </c>
      <c r="C91" s="147" t="s">
        <v>295</v>
      </c>
      <c r="D91" s="148" t="n">
        <v>37165</v>
      </c>
      <c r="E91" s="148" t="n">
        <v>37195</v>
      </c>
      <c r="F91" s="146" t="n">
        <v>0</v>
      </c>
      <c r="G91" s="146" t="n">
        <v>3</v>
      </c>
      <c r="H91" s="147" t="s">
        <v>296</v>
      </c>
      <c r="I91" s="149" t="n">
        <f aca="false">1.8/30</f>
        <v>0.06</v>
      </c>
      <c r="J91" s="150"/>
      <c r="K91" s="150"/>
      <c r="L91" s="150"/>
      <c r="M91" s="150"/>
      <c r="N91" s="151"/>
      <c r="O91" s="150"/>
      <c r="P91" s="152" t="n">
        <v>2001002357</v>
      </c>
      <c r="Q91" s="153" t="n">
        <v>2042</v>
      </c>
      <c r="R91" s="154"/>
      <c r="S91" s="155" t="n">
        <f aca="false">+Q91*I91*I$1</f>
        <v>3798.12</v>
      </c>
      <c r="T91" s="156" t="n">
        <v>1075332</v>
      </c>
      <c r="U91" s="157"/>
      <c r="V91" s="156"/>
      <c r="W91" s="156" t="s">
        <v>259</v>
      </c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8"/>
      <c r="BZ91" s="158"/>
      <c r="CA91" s="158"/>
      <c r="CB91" s="158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T91" s="158"/>
      <c r="CU91" s="158"/>
      <c r="CV91" s="158"/>
      <c r="CW91" s="158"/>
      <c r="CX91" s="158"/>
      <c r="CY91" s="158"/>
      <c r="CZ91" s="158"/>
      <c r="DA91" s="158"/>
      <c r="DB91" s="158"/>
      <c r="DC91" s="158"/>
      <c r="DD91" s="158"/>
      <c r="DE91" s="158"/>
      <c r="DF91" s="158"/>
      <c r="DG91" s="158"/>
      <c r="DH91" s="158"/>
      <c r="DI91" s="158"/>
      <c r="DJ91" s="158"/>
      <c r="DK91" s="158"/>
      <c r="DL91" s="158"/>
      <c r="DM91" s="158"/>
      <c r="DN91" s="158"/>
      <c r="DO91" s="158"/>
      <c r="DP91" s="158"/>
      <c r="DQ91" s="158"/>
      <c r="DR91" s="158"/>
      <c r="DS91" s="158"/>
      <c r="DT91" s="158"/>
      <c r="DU91" s="158"/>
      <c r="DV91" s="158"/>
      <c r="DW91" s="158"/>
      <c r="DX91" s="158"/>
      <c r="DY91" s="158"/>
      <c r="DZ91" s="158"/>
      <c r="EA91" s="158"/>
      <c r="EB91" s="158"/>
      <c r="EC91" s="158"/>
      <c r="ED91" s="158"/>
      <c r="EE91" s="158"/>
      <c r="EF91" s="158"/>
      <c r="EG91" s="158"/>
      <c r="EH91" s="158"/>
      <c r="EI91" s="158"/>
      <c r="EJ91" s="158"/>
      <c r="EK91" s="158"/>
      <c r="EL91" s="158"/>
      <c r="EM91" s="158"/>
      <c r="EN91" s="158"/>
      <c r="EO91" s="158"/>
      <c r="EP91" s="158"/>
      <c r="EQ91" s="158"/>
      <c r="ER91" s="158"/>
      <c r="ES91" s="158"/>
      <c r="ET91" s="158"/>
      <c r="EU91" s="158"/>
      <c r="EV91" s="158"/>
      <c r="EW91" s="158"/>
      <c r="EX91" s="158"/>
      <c r="EY91" s="158"/>
      <c r="EZ91" s="158"/>
      <c r="FA91" s="158"/>
      <c r="FB91" s="158"/>
      <c r="FC91" s="158"/>
      <c r="FD91" s="158"/>
      <c r="FE91" s="158"/>
      <c r="FF91" s="158"/>
      <c r="FG91" s="158"/>
      <c r="FH91" s="158"/>
      <c r="FI91" s="158"/>
      <c r="FJ91" s="158"/>
      <c r="FK91" s="158"/>
      <c r="FL91" s="158"/>
      <c r="FM91" s="158"/>
      <c r="FN91" s="158"/>
      <c r="FO91" s="158"/>
      <c r="FP91" s="158"/>
      <c r="FQ91" s="158"/>
      <c r="FR91" s="158"/>
      <c r="FS91" s="158"/>
      <c r="FT91" s="158"/>
      <c r="FU91" s="158"/>
      <c r="FV91" s="158"/>
      <c r="FW91" s="158"/>
      <c r="FX91" s="158"/>
      <c r="FY91" s="158"/>
      <c r="FZ91" s="158"/>
      <c r="GA91" s="158"/>
      <c r="GB91" s="158"/>
      <c r="GC91" s="158"/>
      <c r="GD91" s="158"/>
      <c r="GE91" s="158"/>
      <c r="GF91" s="158"/>
      <c r="GG91" s="158"/>
      <c r="GH91" s="158"/>
      <c r="GI91" s="158"/>
      <c r="GJ91" s="158"/>
      <c r="GK91" s="158"/>
      <c r="GL91" s="158"/>
      <c r="GM91" s="158"/>
      <c r="GN91" s="158"/>
      <c r="GO91" s="158"/>
      <c r="GP91" s="158"/>
      <c r="GQ91" s="158"/>
      <c r="GR91" s="158"/>
      <c r="GS91" s="158"/>
      <c r="GT91" s="158"/>
      <c r="GU91" s="158"/>
      <c r="GV91" s="158"/>
      <c r="GW91" s="158"/>
      <c r="GX91" s="158"/>
      <c r="GY91" s="158"/>
      <c r="GZ91" s="158"/>
      <c r="HA91" s="158"/>
      <c r="HB91" s="158"/>
      <c r="HC91" s="158"/>
      <c r="HD91" s="158"/>
      <c r="HE91" s="158"/>
      <c r="HF91" s="158"/>
      <c r="HG91" s="158"/>
      <c r="HH91" s="158"/>
      <c r="HI91" s="158"/>
      <c r="HJ91" s="158"/>
      <c r="HK91" s="158"/>
      <c r="HL91" s="158"/>
      <c r="HM91" s="158"/>
      <c r="HN91" s="158"/>
      <c r="HO91" s="158"/>
      <c r="HP91" s="158"/>
      <c r="HQ91" s="158"/>
      <c r="HR91" s="158"/>
      <c r="HS91" s="158"/>
      <c r="HT91" s="158"/>
      <c r="HU91" s="158"/>
      <c r="HV91" s="158"/>
      <c r="HW91" s="158"/>
      <c r="HX91" s="158"/>
      <c r="HY91" s="158"/>
      <c r="HZ91" s="158"/>
      <c r="IA91" s="158"/>
      <c r="IB91" s="158"/>
      <c r="IC91" s="158"/>
      <c r="ID91" s="158"/>
      <c r="IE91" s="158"/>
      <c r="IF91" s="158"/>
      <c r="IG91" s="158"/>
      <c r="IH91" s="158"/>
      <c r="II91" s="158"/>
      <c r="IJ91" s="158"/>
      <c r="IK91" s="158"/>
      <c r="IL91" s="158"/>
      <c r="IM91" s="158"/>
      <c r="IN91" s="158"/>
      <c r="IO91" s="158"/>
      <c r="IP91" s="158"/>
      <c r="IQ91" s="158"/>
      <c r="IR91" s="158"/>
      <c r="IS91" s="158"/>
      <c r="IT91" s="158"/>
      <c r="IU91" s="158"/>
      <c r="IV91" s="158"/>
      <c r="IW91" s="158"/>
    </row>
    <row r="92" customFormat="false" ht="12.75" hidden="false" customHeight="false" outlineLevel="0" collapsed="false">
      <c r="A92" s="33"/>
      <c r="B92" s="34"/>
      <c r="C92" s="34"/>
      <c r="D92" s="35"/>
      <c r="E92" s="35"/>
      <c r="F92" s="33"/>
      <c r="G92" s="33"/>
      <c r="H92" s="34"/>
      <c r="I92" s="36"/>
      <c r="J92" s="37"/>
      <c r="K92" s="37"/>
      <c r="L92" s="37"/>
      <c r="M92" s="37"/>
      <c r="N92" s="38"/>
      <c r="O92" s="37"/>
      <c r="P92" s="39"/>
      <c r="Q92" s="87"/>
      <c r="R92" s="89"/>
      <c r="S92" s="51"/>
      <c r="T92" s="40"/>
      <c r="U92" s="41"/>
      <c r="V92" s="42"/>
      <c r="W92" s="42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33"/>
      <c r="B93" s="34"/>
      <c r="C93" s="34"/>
      <c r="D93" s="35"/>
      <c r="E93" s="35"/>
      <c r="F93" s="33"/>
      <c r="G93" s="33"/>
      <c r="H93" s="34"/>
      <c r="I93" s="36"/>
      <c r="J93" s="37"/>
      <c r="K93" s="37"/>
      <c r="L93" s="37"/>
      <c r="M93" s="37"/>
      <c r="N93" s="38"/>
      <c r="O93" s="37"/>
      <c r="P93" s="39"/>
      <c r="Q93" s="87"/>
      <c r="R93" s="89"/>
      <c r="S93" s="51"/>
      <c r="T93" s="40"/>
      <c r="U93" s="41"/>
      <c r="V93" s="42"/>
      <c r="W93" s="42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33"/>
      <c r="B94" s="34"/>
      <c r="C94" s="34"/>
      <c r="D94" s="35"/>
      <c r="E94" s="35"/>
      <c r="F94" s="33"/>
      <c r="G94" s="33"/>
      <c r="H94" s="34"/>
      <c r="I94" s="36"/>
      <c r="J94" s="37"/>
      <c r="K94" s="37"/>
      <c r="L94" s="37"/>
      <c r="M94" s="37"/>
      <c r="N94" s="38"/>
      <c r="O94" s="37"/>
      <c r="P94" s="39"/>
      <c r="Q94" s="87"/>
      <c r="R94" s="89"/>
      <c r="S94" s="51"/>
      <c r="T94" s="40"/>
      <c r="U94" s="41"/>
      <c r="V94" s="42"/>
      <c r="W94" s="42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33"/>
      <c r="B95" s="34"/>
      <c r="C95" s="34"/>
      <c r="D95" s="35"/>
      <c r="E95" s="35"/>
      <c r="F95" s="33"/>
      <c r="G95" s="33"/>
      <c r="H95" s="34"/>
      <c r="I95" s="36"/>
      <c r="J95" s="37"/>
      <c r="K95" s="37"/>
      <c r="L95" s="37"/>
      <c r="M95" s="37"/>
      <c r="N95" s="38"/>
      <c r="O95" s="37"/>
      <c r="P95" s="39"/>
      <c r="Q95" s="87"/>
      <c r="R95" s="89"/>
      <c r="S95" s="51"/>
      <c r="T95" s="40"/>
      <c r="U95" s="41"/>
      <c r="V95" s="42"/>
      <c r="W95" s="42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33"/>
      <c r="B96" s="34"/>
      <c r="C96" s="34"/>
      <c r="D96" s="35"/>
      <c r="E96" s="35"/>
      <c r="F96" s="33"/>
      <c r="G96" s="33"/>
      <c r="H96" s="34"/>
      <c r="I96" s="36"/>
      <c r="J96" s="37"/>
      <c r="K96" s="37"/>
      <c r="L96" s="37"/>
      <c r="M96" s="37"/>
      <c r="N96" s="38"/>
      <c r="O96" s="37"/>
      <c r="P96" s="39"/>
      <c r="Q96" s="34"/>
      <c r="R96" s="33"/>
      <c r="S96" s="40"/>
      <c r="T96" s="40"/>
      <c r="U96" s="41"/>
      <c r="V96" s="42"/>
      <c r="W96" s="42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false" customHeight="false" outlineLevel="0" collapsed="false">
      <c r="A97" s="125" t="s">
        <v>172</v>
      </c>
      <c r="B97" s="126" t="s">
        <v>173</v>
      </c>
      <c r="C97" s="126" t="s">
        <v>174</v>
      </c>
      <c r="D97" s="127" t="s">
        <v>175</v>
      </c>
      <c r="E97" s="127"/>
      <c r="F97" s="125" t="s">
        <v>176</v>
      </c>
      <c r="G97" s="125" t="s">
        <v>177</v>
      </c>
      <c r="H97" s="126" t="s">
        <v>178</v>
      </c>
      <c r="I97" s="128" t="s">
        <v>179</v>
      </c>
      <c r="J97" s="126" t="s">
        <v>180</v>
      </c>
      <c r="K97" s="126" t="s">
        <v>181</v>
      </c>
      <c r="L97" s="126" t="s">
        <v>182</v>
      </c>
      <c r="M97" s="126" t="s">
        <v>183</v>
      </c>
      <c r="N97" s="129" t="s">
        <v>184</v>
      </c>
      <c r="O97" s="126" t="s">
        <v>185</v>
      </c>
      <c r="P97" s="130" t="s">
        <v>186</v>
      </c>
      <c r="Q97" s="126" t="s">
        <v>187</v>
      </c>
      <c r="R97" s="125" t="s">
        <v>188</v>
      </c>
      <c r="S97" s="101" t="s">
        <v>263</v>
      </c>
      <c r="T97" s="103"/>
      <c r="U97" s="103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  <c r="CV97" s="131"/>
      <c r="CW97" s="131"/>
      <c r="CX97" s="131"/>
      <c r="CY97" s="131"/>
      <c r="CZ97" s="131"/>
      <c r="DA97" s="131"/>
      <c r="DB97" s="131"/>
      <c r="DC97" s="131"/>
      <c r="DD97" s="131"/>
      <c r="DE97" s="131"/>
      <c r="DF97" s="131"/>
      <c r="DG97" s="131"/>
      <c r="DH97" s="131"/>
      <c r="DI97" s="131"/>
      <c r="DJ97" s="131"/>
      <c r="DK97" s="131"/>
      <c r="DL97" s="131"/>
      <c r="DM97" s="131"/>
      <c r="DN97" s="131"/>
      <c r="DO97" s="131"/>
      <c r="DP97" s="131"/>
      <c r="DQ97" s="131"/>
      <c r="DR97" s="131"/>
      <c r="DS97" s="131"/>
      <c r="DT97" s="131"/>
      <c r="DU97" s="131"/>
      <c r="DV97" s="131"/>
      <c r="DW97" s="131"/>
      <c r="DX97" s="131"/>
      <c r="DY97" s="131"/>
      <c r="DZ97" s="131"/>
      <c r="EA97" s="131"/>
      <c r="EB97" s="131"/>
      <c r="EC97" s="131"/>
      <c r="ED97" s="131"/>
      <c r="EE97" s="131"/>
      <c r="EF97" s="131"/>
      <c r="EG97" s="131"/>
      <c r="EH97" s="131"/>
      <c r="EI97" s="131"/>
      <c r="EJ97" s="131"/>
      <c r="EK97" s="131"/>
      <c r="EL97" s="131"/>
      <c r="EM97" s="131"/>
      <c r="EN97" s="131"/>
      <c r="EO97" s="131"/>
      <c r="EP97" s="131"/>
      <c r="EQ97" s="131"/>
      <c r="ER97" s="131"/>
      <c r="ES97" s="131"/>
      <c r="ET97" s="131"/>
      <c r="EU97" s="131"/>
      <c r="EV97" s="131"/>
      <c r="EW97" s="131"/>
      <c r="EX97" s="131"/>
      <c r="EY97" s="131"/>
      <c r="EZ97" s="131"/>
      <c r="FA97" s="131"/>
      <c r="FB97" s="131"/>
      <c r="FC97" s="131"/>
      <c r="FD97" s="131"/>
      <c r="FE97" s="131"/>
      <c r="FF97" s="131"/>
      <c r="FG97" s="131"/>
      <c r="FH97" s="131"/>
      <c r="FI97" s="131"/>
      <c r="FJ97" s="131"/>
      <c r="FK97" s="131"/>
      <c r="FL97" s="131"/>
      <c r="FM97" s="131"/>
      <c r="FN97" s="131"/>
      <c r="FO97" s="131"/>
      <c r="FP97" s="131"/>
      <c r="FQ97" s="131"/>
      <c r="FR97" s="131"/>
      <c r="FS97" s="131"/>
      <c r="FT97" s="131"/>
      <c r="FU97" s="131"/>
      <c r="FV97" s="131"/>
      <c r="FW97" s="131"/>
      <c r="FX97" s="131"/>
      <c r="FY97" s="131"/>
      <c r="FZ97" s="131"/>
      <c r="GA97" s="131"/>
      <c r="GB97" s="131"/>
      <c r="GC97" s="131"/>
      <c r="GD97" s="131"/>
      <c r="GE97" s="131"/>
      <c r="GF97" s="131"/>
      <c r="GG97" s="131"/>
      <c r="GH97" s="131"/>
      <c r="GI97" s="131"/>
      <c r="GJ97" s="131"/>
      <c r="GK97" s="131"/>
      <c r="GL97" s="131"/>
      <c r="GM97" s="131"/>
      <c r="GN97" s="131"/>
      <c r="GO97" s="131"/>
      <c r="GP97" s="131"/>
      <c r="GQ97" s="131"/>
      <c r="GR97" s="131"/>
      <c r="GS97" s="131"/>
      <c r="GT97" s="131"/>
      <c r="GU97" s="131"/>
      <c r="GV97" s="131"/>
      <c r="GW97" s="131"/>
      <c r="GX97" s="131"/>
      <c r="GY97" s="131"/>
      <c r="GZ97" s="131"/>
      <c r="HA97" s="131"/>
      <c r="HB97" s="131"/>
      <c r="HC97" s="131"/>
      <c r="HD97" s="131"/>
      <c r="HE97" s="131"/>
      <c r="HF97" s="131"/>
      <c r="HG97" s="131"/>
      <c r="HH97" s="131"/>
      <c r="HI97" s="131"/>
      <c r="HJ97" s="131"/>
      <c r="HK97" s="131"/>
      <c r="HL97" s="131"/>
      <c r="HM97" s="131"/>
      <c r="HN97" s="131"/>
      <c r="HO97" s="131"/>
      <c r="HP97" s="131"/>
      <c r="HQ97" s="131"/>
      <c r="HR97" s="131"/>
      <c r="HS97" s="131"/>
      <c r="HT97" s="131"/>
      <c r="HU97" s="131"/>
      <c r="HV97" s="131"/>
      <c r="HW97" s="131"/>
      <c r="HX97" s="131"/>
      <c r="HY97" s="131"/>
      <c r="HZ97" s="131"/>
      <c r="IA97" s="131"/>
      <c r="IB97" s="131"/>
      <c r="IC97" s="131"/>
      <c r="ID97" s="131"/>
      <c r="IE97" s="131"/>
      <c r="IF97" s="131"/>
      <c r="IG97" s="131"/>
      <c r="IH97" s="131"/>
      <c r="II97" s="131"/>
      <c r="IJ97" s="131"/>
      <c r="IK97" s="131"/>
      <c r="IL97" s="131"/>
      <c r="IM97" s="131"/>
      <c r="IN97" s="131"/>
      <c r="IO97" s="131"/>
      <c r="IP97" s="131"/>
      <c r="IQ97" s="131"/>
      <c r="IR97" s="131"/>
      <c r="IS97" s="131"/>
      <c r="IT97" s="131"/>
      <c r="IU97" s="131"/>
      <c r="IV97" s="131"/>
      <c r="IW97" s="131"/>
    </row>
    <row r="98" customFormat="false" ht="12.75" hidden="false" customHeight="false" outlineLevel="0" collapsed="false">
      <c r="A98" s="33" t="s">
        <v>250</v>
      </c>
      <c r="B98" s="34" t="s">
        <v>297</v>
      </c>
      <c r="C98" s="34" t="s">
        <v>298</v>
      </c>
      <c r="D98" s="35" t="n">
        <v>36526</v>
      </c>
      <c r="E98" s="35" t="n">
        <v>37560</v>
      </c>
      <c r="F98" s="33" t="s">
        <v>299</v>
      </c>
      <c r="G98" s="33" t="s">
        <v>299</v>
      </c>
      <c r="H98" s="34" t="s">
        <v>226</v>
      </c>
      <c r="I98" s="36" t="n">
        <f aca="false">5.2701/I$1</f>
        <v>0.170003225806452</v>
      </c>
      <c r="J98" s="37" t="n">
        <v>0</v>
      </c>
      <c r="K98" s="37" t="n">
        <v>0</v>
      </c>
      <c r="L98" s="37" t="n">
        <v>0</v>
      </c>
      <c r="M98" s="37" t="n">
        <v>0</v>
      </c>
      <c r="N98" s="132" t="n">
        <v>0.0369</v>
      </c>
      <c r="O98" s="37" t="n">
        <v>0</v>
      </c>
      <c r="P98" s="39" t="n">
        <v>1440</v>
      </c>
      <c r="Q98" s="34" t="n">
        <v>4803</v>
      </c>
      <c r="R98" s="40" t="s">
        <v>73</v>
      </c>
      <c r="S98" s="40" t="n">
        <f aca="false">+I98*Q98*I1</f>
        <v>25312.2903</v>
      </c>
      <c r="T98" s="42" t="n">
        <v>251724</v>
      </c>
      <c r="U98" s="42"/>
      <c r="V98" s="19" t="s">
        <v>300</v>
      </c>
      <c r="W98" s="19" t="s">
        <v>301</v>
      </c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33" t="s">
        <v>250</v>
      </c>
      <c r="B99" s="34" t="s">
        <v>297</v>
      </c>
      <c r="C99" s="34" t="s">
        <v>298</v>
      </c>
      <c r="D99" s="35" t="n">
        <v>36526</v>
      </c>
      <c r="E99" s="35" t="n">
        <v>37560</v>
      </c>
      <c r="F99" s="33" t="s">
        <v>299</v>
      </c>
      <c r="G99" s="33" t="s">
        <v>299</v>
      </c>
      <c r="H99" s="34" t="s">
        <v>226</v>
      </c>
      <c r="I99" s="36" t="n">
        <f aca="false">5.45/I$1</f>
        <v>0.175806451612903</v>
      </c>
      <c r="J99" s="37" t="n">
        <v>0</v>
      </c>
      <c r="K99" s="37" t="n">
        <v>0</v>
      </c>
      <c r="L99" s="37" t="n">
        <v>0</v>
      </c>
      <c r="M99" s="37" t="n">
        <v>0</v>
      </c>
      <c r="N99" s="132" t="n">
        <v>0.0369</v>
      </c>
      <c r="O99" s="37" t="n">
        <v>0</v>
      </c>
      <c r="P99" s="39" t="n">
        <v>1548</v>
      </c>
      <c r="Q99" s="34" t="n">
        <v>3841</v>
      </c>
      <c r="R99" s="40" t="s">
        <v>73</v>
      </c>
      <c r="S99" s="40" t="n">
        <f aca="false">+I99*Q99*I1</f>
        <v>20933.45</v>
      </c>
      <c r="T99" s="42" t="n">
        <v>251745</v>
      </c>
      <c r="U99" s="42"/>
      <c r="V99" s="19" t="s">
        <v>300</v>
      </c>
      <c r="W99" s="19" t="s">
        <v>301</v>
      </c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33" t="s">
        <v>250</v>
      </c>
      <c r="B100" s="34" t="s">
        <v>297</v>
      </c>
      <c r="C100" s="34" t="s">
        <v>298</v>
      </c>
      <c r="D100" s="35" t="n">
        <v>36039</v>
      </c>
      <c r="E100" s="35" t="n">
        <v>37560</v>
      </c>
      <c r="F100" s="33" t="s">
        <v>302</v>
      </c>
      <c r="G100" s="33"/>
      <c r="H100" s="34" t="s">
        <v>226</v>
      </c>
      <c r="I100" s="36" t="n">
        <v>0.0185</v>
      </c>
      <c r="J100" s="37" t="n">
        <v>0</v>
      </c>
      <c r="K100" s="37" t="n">
        <v>0</v>
      </c>
      <c r="L100" s="37" t="n">
        <v>0</v>
      </c>
      <c r="M100" s="37" t="n">
        <v>0</v>
      </c>
      <c r="N100" s="132" t="n">
        <v>0.0369</v>
      </c>
      <c r="O100" s="37" t="n">
        <v>0</v>
      </c>
      <c r="P100" s="39" t="n">
        <v>2210</v>
      </c>
      <c r="Q100" s="34" t="n">
        <v>709765</v>
      </c>
      <c r="R100" s="40" t="s">
        <v>303</v>
      </c>
      <c r="S100" s="40" t="n">
        <f aca="false">+Q100*I100</f>
        <v>13130.6525</v>
      </c>
      <c r="T100" s="42" t="n">
        <v>251751</v>
      </c>
      <c r="U100" s="42" t="n">
        <v>96005270</v>
      </c>
      <c r="V100" s="19" t="s">
        <v>300</v>
      </c>
      <c r="W100" s="19" t="s">
        <v>301</v>
      </c>
      <c r="X100" s="15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33" t="s">
        <v>250</v>
      </c>
      <c r="B101" s="34" t="s">
        <v>297</v>
      </c>
      <c r="C101" s="34" t="s">
        <v>298</v>
      </c>
      <c r="D101" s="35" t="n">
        <v>36039</v>
      </c>
      <c r="E101" s="35" t="n">
        <v>37560</v>
      </c>
      <c r="F101" s="33" t="s">
        <v>302</v>
      </c>
      <c r="G101" s="33"/>
      <c r="H101" s="34" t="s">
        <v>226</v>
      </c>
      <c r="I101" s="36" t="n">
        <f aca="false">1.15/I$1</f>
        <v>0.0370967741935484</v>
      </c>
      <c r="J101" s="37" t="n">
        <v>0</v>
      </c>
      <c r="K101" s="37" t="n">
        <v>0</v>
      </c>
      <c r="L101" s="37" t="n">
        <v>0</v>
      </c>
      <c r="M101" s="37" t="n">
        <v>0</v>
      </c>
      <c r="N101" s="132" t="n">
        <v>0.0369</v>
      </c>
      <c r="O101" s="37" t="n">
        <v>0</v>
      </c>
      <c r="P101" s="39" t="n">
        <v>2210</v>
      </c>
      <c r="Q101" s="34" t="n">
        <v>14388</v>
      </c>
      <c r="R101" s="40" t="s">
        <v>303</v>
      </c>
      <c r="S101" s="40" t="n">
        <f aca="false">+I101*Q101*I1</f>
        <v>16546.2</v>
      </c>
      <c r="T101" s="42" t="n">
        <v>251751</v>
      </c>
      <c r="U101" s="42" t="n">
        <v>96005270</v>
      </c>
      <c r="V101" s="19" t="s">
        <v>300</v>
      </c>
      <c r="W101" s="19" t="s">
        <v>301</v>
      </c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33" t="s">
        <v>250</v>
      </c>
      <c r="B102" s="34" t="s">
        <v>297</v>
      </c>
      <c r="C102" s="34" t="s">
        <v>304</v>
      </c>
      <c r="D102" s="35" t="n">
        <v>36039</v>
      </c>
      <c r="E102" s="35" t="n">
        <v>37560</v>
      </c>
      <c r="F102" s="33" t="s">
        <v>302</v>
      </c>
      <c r="G102" s="33"/>
      <c r="H102" s="34" t="s">
        <v>226</v>
      </c>
      <c r="I102" s="36" t="n">
        <v>0.0185</v>
      </c>
      <c r="J102" s="37" t="n">
        <v>0</v>
      </c>
      <c r="K102" s="37" t="n">
        <v>0</v>
      </c>
      <c r="L102" s="37" t="n">
        <v>0</v>
      </c>
      <c r="M102" s="37" t="n">
        <v>0</v>
      </c>
      <c r="N102" s="132" t="n">
        <v>0.0369</v>
      </c>
      <c r="O102" s="37" t="n">
        <v>0</v>
      </c>
      <c r="P102" s="39" t="n">
        <v>2076</v>
      </c>
      <c r="Q102" s="34" t="n">
        <v>11827</v>
      </c>
      <c r="R102" s="40" t="s">
        <v>305</v>
      </c>
      <c r="S102" s="40" t="n">
        <f aca="false">+I102*Q102</f>
        <v>218.7995</v>
      </c>
      <c r="T102" s="42" t="n">
        <v>251691</v>
      </c>
      <c r="U102" s="42" t="n">
        <v>96006727</v>
      </c>
      <c r="V102" s="19" t="s">
        <v>300</v>
      </c>
      <c r="W102" s="19" t="s">
        <v>301</v>
      </c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33" t="s">
        <v>250</v>
      </c>
      <c r="B103" s="34" t="s">
        <v>297</v>
      </c>
      <c r="C103" s="34" t="s">
        <v>304</v>
      </c>
      <c r="D103" s="35" t="n">
        <v>36039</v>
      </c>
      <c r="E103" s="35" t="n">
        <v>37560</v>
      </c>
      <c r="F103" s="33" t="s">
        <v>302</v>
      </c>
      <c r="G103" s="33"/>
      <c r="H103" s="34"/>
      <c r="I103" s="36" t="n">
        <f aca="false">1.15/I$1</f>
        <v>0.0370967741935484</v>
      </c>
      <c r="J103" s="37"/>
      <c r="K103" s="37"/>
      <c r="L103" s="37"/>
      <c r="M103" s="37"/>
      <c r="N103" s="132"/>
      <c r="O103" s="37"/>
      <c r="P103" s="39" t="n">
        <v>2076</v>
      </c>
      <c r="Q103" s="34" t="n">
        <v>209</v>
      </c>
      <c r="R103" s="40" t="s">
        <v>305</v>
      </c>
      <c r="S103" s="40" t="n">
        <f aca="false">+I103*Q103</f>
        <v>7.75322580645161</v>
      </c>
      <c r="T103" s="42" t="n">
        <v>251691</v>
      </c>
      <c r="U103" s="42"/>
      <c r="V103" s="19" t="s">
        <v>300</v>
      </c>
      <c r="W103" s="19" t="s">
        <v>301</v>
      </c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2.75" hidden="false" customHeight="false" outlineLevel="0" collapsed="false">
      <c r="A104" s="33" t="s">
        <v>250</v>
      </c>
      <c r="B104" s="34" t="s">
        <v>297</v>
      </c>
      <c r="C104" s="34" t="s">
        <v>304</v>
      </c>
      <c r="D104" s="35" t="n">
        <v>36039</v>
      </c>
      <c r="E104" s="35" t="n">
        <v>37560</v>
      </c>
      <c r="F104" s="33" t="s">
        <v>299</v>
      </c>
      <c r="G104" s="33" t="s">
        <v>299</v>
      </c>
      <c r="H104" s="34" t="s">
        <v>226</v>
      </c>
      <c r="I104" s="36" t="n">
        <f aca="false">5.61/I$1</f>
        <v>0.180967741935484</v>
      </c>
      <c r="J104" s="37" t="n">
        <v>0</v>
      </c>
      <c r="K104" s="37" t="n">
        <v>0</v>
      </c>
      <c r="L104" s="37" t="n">
        <v>0</v>
      </c>
      <c r="M104" s="37" t="n">
        <v>0</v>
      </c>
      <c r="N104" s="132" t="n">
        <v>0.0369</v>
      </c>
      <c r="O104" s="37" t="n">
        <v>0</v>
      </c>
      <c r="P104" s="39" t="n">
        <v>1339</v>
      </c>
      <c r="Q104" s="34" t="n">
        <v>90</v>
      </c>
      <c r="R104" s="40" t="s">
        <v>306</v>
      </c>
      <c r="S104" s="40" t="n">
        <f aca="false">+I104*Q104</f>
        <v>16.2870967741936</v>
      </c>
      <c r="T104" s="42" t="n">
        <v>251714</v>
      </c>
      <c r="U104" s="42"/>
      <c r="V104" s="19" t="s">
        <v>300</v>
      </c>
      <c r="W104" s="19" t="s">
        <v>301</v>
      </c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3.5" hidden="false" customHeight="true" outlineLevel="0" collapsed="false">
      <c r="A105" s="33"/>
      <c r="B105" s="34"/>
      <c r="C105" s="34"/>
      <c r="D105" s="35"/>
      <c r="E105" s="35"/>
      <c r="F105" s="33"/>
      <c r="G105" s="33"/>
      <c r="H105" s="34"/>
      <c r="I105" s="36"/>
      <c r="J105" s="37"/>
      <c r="K105" s="37"/>
      <c r="L105" s="37"/>
      <c r="M105" s="37"/>
      <c r="N105" s="132"/>
      <c r="O105" s="37"/>
      <c r="P105" s="39"/>
      <c r="Q105" s="34"/>
      <c r="R105" s="40"/>
      <c r="S105" s="40"/>
      <c r="T105" s="42"/>
      <c r="U105" s="42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2.75" hidden="false" customHeight="false" outlineLevel="0" collapsed="false">
      <c r="A106" s="54" t="s">
        <v>307</v>
      </c>
      <c r="B106" s="114" t="s">
        <v>297</v>
      </c>
      <c r="C106" s="114" t="s">
        <v>97</v>
      </c>
      <c r="D106" s="106" t="n">
        <v>37196</v>
      </c>
      <c r="E106" s="106" t="n">
        <v>37287</v>
      </c>
      <c r="F106" s="54" t="s">
        <v>308</v>
      </c>
      <c r="G106" s="54" t="s">
        <v>309</v>
      </c>
      <c r="H106" s="114" t="s">
        <v>226</v>
      </c>
      <c r="I106" s="115" t="n">
        <f aca="false">6.08/I$1</f>
        <v>0.196129032258065</v>
      </c>
      <c r="J106" s="116" t="n">
        <v>0</v>
      </c>
      <c r="K106" s="116" t="n">
        <v>0</v>
      </c>
      <c r="L106" s="116" t="n">
        <v>0</v>
      </c>
      <c r="M106" s="116" t="n">
        <v>0</v>
      </c>
      <c r="N106" s="144" t="n">
        <v>0.0369</v>
      </c>
      <c r="O106" s="116" t="n">
        <v>0</v>
      </c>
      <c r="P106" s="111" t="n">
        <v>38499</v>
      </c>
      <c r="Q106" s="114" t="n">
        <v>2500</v>
      </c>
      <c r="R106" s="122" t="s">
        <v>310</v>
      </c>
      <c r="S106" s="40" t="n">
        <f aca="false">I106*I$1*Q106</f>
        <v>15200</v>
      </c>
      <c r="T106" s="120" t="n">
        <v>1150076</v>
      </c>
      <c r="U106" s="120"/>
      <c r="V106" s="121" t="s">
        <v>220</v>
      </c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</row>
    <row r="107" customFormat="false" ht="12.75" hidden="false" customHeight="false" outlineLevel="0" collapsed="false">
      <c r="A107" s="33"/>
      <c r="B107" s="34"/>
      <c r="C107" s="34"/>
      <c r="D107" s="35"/>
      <c r="E107" s="35"/>
      <c r="F107" s="33"/>
      <c r="G107" s="33"/>
      <c r="H107" s="34"/>
      <c r="I107" s="36"/>
      <c r="J107" s="37"/>
      <c r="K107" s="37"/>
      <c r="L107" s="37"/>
      <c r="M107" s="37"/>
      <c r="N107" s="132"/>
      <c r="O107" s="37"/>
      <c r="P107" s="39"/>
      <c r="Q107" s="34"/>
      <c r="R107" s="33"/>
      <c r="S107" s="160"/>
      <c r="T107" s="161"/>
      <c r="U107" s="42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2.75" hidden="false" customHeight="false" outlineLevel="0" collapsed="false">
      <c r="A108" s="33"/>
      <c r="B108" s="34"/>
      <c r="C108" s="34"/>
      <c r="D108" s="35"/>
      <c r="E108" s="35"/>
      <c r="F108" s="33"/>
      <c r="G108" s="33"/>
      <c r="H108" s="34"/>
      <c r="I108" s="36"/>
      <c r="J108" s="37"/>
      <c r="K108" s="37"/>
      <c r="L108" s="37"/>
      <c r="M108" s="37"/>
      <c r="N108" s="132"/>
      <c r="O108" s="37"/>
      <c r="P108" s="39"/>
      <c r="Q108" s="34"/>
      <c r="R108" s="33"/>
      <c r="S108" s="40"/>
      <c r="T108" s="42"/>
      <c r="U108" s="42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2.75" hidden="false" customHeight="false" outlineLevel="0" collapsed="false">
      <c r="A109" s="33"/>
      <c r="B109" s="34"/>
      <c r="C109" s="34"/>
      <c r="D109" s="35"/>
      <c r="E109" s="35"/>
      <c r="F109" s="33"/>
      <c r="G109" s="33"/>
      <c r="H109" s="34"/>
      <c r="I109" s="36"/>
      <c r="J109" s="37"/>
      <c r="K109" s="37"/>
      <c r="L109" s="37"/>
      <c r="M109" s="37"/>
      <c r="N109" s="132"/>
      <c r="O109" s="37"/>
      <c r="P109" s="39"/>
      <c r="Q109" s="34"/>
      <c r="R109" s="33"/>
      <c r="S109" s="40"/>
      <c r="T109" s="42"/>
      <c r="U109" s="42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2.75" hidden="false" customHeight="false" outlineLevel="0" collapsed="false">
      <c r="A110" s="33"/>
      <c r="B110" s="34"/>
      <c r="C110" s="34"/>
      <c r="D110" s="35"/>
      <c r="E110" s="35"/>
      <c r="F110" s="33"/>
      <c r="G110" s="33"/>
      <c r="H110" s="34"/>
      <c r="I110" s="36"/>
      <c r="J110" s="37"/>
      <c r="K110" s="37"/>
      <c r="L110" s="37"/>
      <c r="M110" s="37"/>
      <c r="N110" s="132"/>
      <c r="O110" s="37"/>
      <c r="P110" s="39"/>
      <c r="Q110" s="34"/>
      <c r="R110" s="33"/>
      <c r="S110" s="40"/>
      <c r="T110" s="42"/>
      <c r="U110" s="42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2.75" hidden="false" customHeight="false" outlineLevel="0" collapsed="false">
      <c r="A111" s="33"/>
      <c r="B111" s="34"/>
      <c r="C111" s="34"/>
      <c r="D111" s="35"/>
      <c r="E111" s="35"/>
      <c r="F111" s="33"/>
      <c r="G111" s="33"/>
      <c r="H111" s="34"/>
      <c r="I111" s="36"/>
      <c r="J111" s="37"/>
      <c r="K111" s="37"/>
      <c r="L111" s="37"/>
      <c r="M111" s="37"/>
      <c r="N111" s="132"/>
      <c r="O111" s="37"/>
      <c r="P111" s="39"/>
      <c r="Q111" s="34"/>
      <c r="R111" s="33"/>
      <c r="S111" s="40"/>
      <c r="T111" s="42"/>
      <c r="U111" s="42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2.75" hidden="false" customHeight="false" outlineLevel="0" collapsed="false">
      <c r="A112" s="47"/>
      <c r="B112" s="162"/>
      <c r="C112" s="34"/>
      <c r="D112" s="35"/>
      <c r="E112" s="35"/>
      <c r="F112" s="47"/>
      <c r="G112" s="47"/>
      <c r="H112" s="162"/>
      <c r="I112" s="163"/>
      <c r="J112" s="164"/>
      <c r="K112" s="164"/>
      <c r="L112" s="164"/>
      <c r="M112" s="164"/>
      <c r="N112" s="165"/>
      <c r="O112" s="164"/>
      <c r="P112" s="166"/>
      <c r="Q112" s="162"/>
      <c r="R112" s="160"/>
      <c r="S112" s="160"/>
      <c r="T112" s="161"/>
      <c r="U112" s="42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2" hidden="false" customHeight="true" outlineLevel="0" collapsed="false">
      <c r="A113" s="33"/>
      <c r="B113" s="34"/>
      <c r="C113" s="34"/>
      <c r="D113" s="35"/>
      <c r="E113" s="35"/>
      <c r="F113" s="33"/>
      <c r="G113" s="33"/>
      <c r="H113" s="34"/>
      <c r="I113" s="36"/>
      <c r="J113" s="37"/>
      <c r="K113" s="37"/>
      <c r="L113" s="37"/>
      <c r="M113" s="37"/>
      <c r="N113" s="132"/>
      <c r="O113" s="37"/>
      <c r="P113" s="39"/>
      <c r="Q113" s="34"/>
      <c r="R113" s="167"/>
      <c r="S113" s="40"/>
      <c r="T113" s="42"/>
      <c r="U113" s="42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2.75" hidden="false" customHeight="false" outlineLevel="0" collapsed="false">
      <c r="A114" s="47" t="s">
        <v>311</v>
      </c>
      <c r="B114" s="162" t="s">
        <v>297</v>
      </c>
      <c r="C114" s="162" t="s">
        <v>312</v>
      </c>
      <c r="D114" s="168" t="n">
        <v>37226</v>
      </c>
      <c r="E114" s="168" t="n">
        <v>37256</v>
      </c>
      <c r="F114" s="47" t="s">
        <v>311</v>
      </c>
      <c r="G114" s="47" t="s">
        <v>311</v>
      </c>
      <c r="H114" s="162"/>
      <c r="I114" s="163" t="n">
        <v>0.015</v>
      </c>
      <c r="J114" s="164"/>
      <c r="K114" s="164"/>
      <c r="L114" s="164"/>
      <c r="M114" s="164"/>
      <c r="N114" s="165"/>
      <c r="O114" s="164"/>
      <c r="P114" s="166" t="n">
        <v>15692</v>
      </c>
      <c r="Q114" s="162" t="n">
        <v>250000</v>
      </c>
      <c r="R114" s="160"/>
      <c r="S114" s="169" t="n">
        <f aca="false">+Q114*I114</f>
        <v>3750</v>
      </c>
      <c r="T114" s="161"/>
      <c r="U114" s="42"/>
      <c r="V114" s="19"/>
      <c r="W114" s="19" t="s">
        <v>220</v>
      </c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2.75" hidden="false" customHeight="false" outlineLevel="0" collapsed="false">
      <c r="A115" s="47" t="s">
        <v>311</v>
      </c>
      <c r="B115" s="162" t="s">
        <v>297</v>
      </c>
      <c r="C115" s="162" t="s">
        <v>312</v>
      </c>
      <c r="D115" s="168" t="n">
        <v>37043</v>
      </c>
      <c r="E115" s="168" t="n">
        <v>37225</v>
      </c>
      <c r="F115" s="47" t="s">
        <v>311</v>
      </c>
      <c r="G115" s="47" t="s">
        <v>311</v>
      </c>
      <c r="H115" s="162"/>
      <c r="I115" s="163" t="n">
        <v>0.015</v>
      </c>
      <c r="J115" s="164"/>
      <c r="K115" s="164"/>
      <c r="L115" s="164"/>
      <c r="M115" s="164"/>
      <c r="N115" s="165"/>
      <c r="O115" s="164"/>
      <c r="P115" s="166" t="n">
        <v>15692</v>
      </c>
      <c r="Q115" s="162" t="n">
        <v>500000</v>
      </c>
      <c r="R115" s="160"/>
      <c r="S115" s="169" t="n">
        <f aca="false">+Q115*I115</f>
        <v>7500</v>
      </c>
      <c r="T115" s="161"/>
      <c r="U115" s="42"/>
      <c r="V115" s="19"/>
      <c r="W115" s="19" t="s">
        <v>220</v>
      </c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2.75" hidden="false" customHeight="false" outlineLevel="0" collapsed="false">
      <c r="A116" s="89" t="s">
        <v>73</v>
      </c>
      <c r="B116" s="85" t="s">
        <v>73</v>
      </c>
      <c r="C116" s="85" t="s">
        <v>73</v>
      </c>
      <c r="D116" s="90" t="s">
        <v>73</v>
      </c>
      <c r="E116" s="90" t="s">
        <v>73</v>
      </c>
      <c r="F116" s="89" t="s">
        <v>73</v>
      </c>
      <c r="G116" s="89" t="s">
        <v>73</v>
      </c>
      <c r="H116" s="85" t="s">
        <v>73</v>
      </c>
      <c r="I116" s="92" t="s">
        <v>73</v>
      </c>
      <c r="J116" s="84" t="s">
        <v>73</v>
      </c>
      <c r="K116" s="84" t="s">
        <v>73</v>
      </c>
      <c r="L116" s="84" t="s">
        <v>73</v>
      </c>
      <c r="M116" s="84" t="s">
        <v>313</v>
      </c>
      <c r="N116" s="170" t="s">
        <v>73</v>
      </c>
      <c r="O116" s="84" t="s">
        <v>73</v>
      </c>
      <c r="P116" s="171" t="s">
        <v>73</v>
      </c>
      <c r="Q116" s="85" t="s">
        <v>73</v>
      </c>
      <c r="R116" s="89" t="s">
        <v>73</v>
      </c>
      <c r="S116" s="51"/>
      <c r="T116" s="53"/>
      <c r="U116" s="53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2"/>
      <c r="FH116" s="172"/>
      <c r="FI116" s="172"/>
      <c r="FJ116" s="172"/>
      <c r="FK116" s="172"/>
      <c r="FL116" s="172"/>
      <c r="FM116" s="172"/>
      <c r="FN116" s="172"/>
      <c r="FO116" s="172"/>
      <c r="FP116" s="172"/>
      <c r="FQ116" s="172"/>
      <c r="FR116" s="172"/>
      <c r="FS116" s="172"/>
      <c r="FT116" s="172"/>
      <c r="FU116" s="172"/>
      <c r="FV116" s="172"/>
      <c r="FW116" s="172"/>
      <c r="FX116" s="172"/>
      <c r="FY116" s="172"/>
      <c r="FZ116" s="172"/>
      <c r="GA116" s="172"/>
      <c r="GB116" s="172"/>
      <c r="GC116" s="172"/>
      <c r="GD116" s="172"/>
      <c r="GE116" s="172"/>
      <c r="GF116" s="172"/>
      <c r="GG116" s="172"/>
      <c r="GH116" s="172"/>
      <c r="GI116" s="172"/>
      <c r="GJ116" s="172"/>
      <c r="GK116" s="172"/>
      <c r="GL116" s="172"/>
      <c r="GM116" s="172"/>
      <c r="GN116" s="172"/>
      <c r="GO116" s="172"/>
      <c r="GP116" s="172"/>
      <c r="GQ116" s="172"/>
      <c r="GR116" s="172"/>
      <c r="GS116" s="172"/>
      <c r="GT116" s="172"/>
      <c r="GU116" s="172"/>
      <c r="GV116" s="172"/>
      <c r="GW116" s="172"/>
      <c r="GX116" s="172"/>
      <c r="GY116" s="172"/>
      <c r="GZ116" s="172"/>
      <c r="HA116" s="172"/>
      <c r="HB116" s="172"/>
      <c r="HC116" s="172"/>
      <c r="HD116" s="172"/>
      <c r="HE116" s="172"/>
      <c r="HF116" s="172"/>
      <c r="HG116" s="172"/>
      <c r="HH116" s="172"/>
      <c r="HI116" s="172"/>
      <c r="HJ116" s="172"/>
      <c r="HK116" s="172"/>
      <c r="HL116" s="172"/>
      <c r="HM116" s="172"/>
      <c r="HN116" s="172"/>
      <c r="HO116" s="172"/>
      <c r="HP116" s="172"/>
      <c r="HQ116" s="172"/>
      <c r="HR116" s="172"/>
      <c r="HS116" s="172"/>
      <c r="HT116" s="172"/>
      <c r="HU116" s="172"/>
      <c r="HV116" s="172"/>
      <c r="HW116" s="172"/>
      <c r="HX116" s="172"/>
      <c r="HY116" s="172"/>
      <c r="HZ116" s="172"/>
      <c r="IA116" s="172"/>
      <c r="IB116" s="172"/>
      <c r="IC116" s="172"/>
      <c r="ID116" s="172"/>
      <c r="IE116" s="172"/>
      <c r="IF116" s="172"/>
      <c r="IG116" s="172"/>
      <c r="IH116" s="172"/>
      <c r="II116" s="172"/>
      <c r="IJ116" s="172"/>
      <c r="IK116" s="172"/>
      <c r="IL116" s="172"/>
      <c r="IM116" s="172"/>
      <c r="IN116" s="172"/>
      <c r="IO116" s="172"/>
      <c r="IP116" s="172"/>
      <c r="IQ116" s="172"/>
      <c r="IR116" s="172"/>
      <c r="IS116" s="172"/>
      <c r="IT116" s="172"/>
      <c r="IU116" s="172"/>
      <c r="IV116" s="172"/>
      <c r="IW116" s="172"/>
    </row>
    <row r="117" customFormat="false" ht="12.75" hidden="false" customHeight="false" outlineLevel="0" collapsed="false">
      <c r="A117" s="89"/>
      <c r="B117" s="85"/>
      <c r="C117" s="85"/>
      <c r="D117" s="90"/>
      <c r="E117" s="90"/>
      <c r="F117" s="89"/>
      <c r="G117" s="89"/>
      <c r="H117" s="85"/>
      <c r="I117" s="92"/>
      <c r="J117" s="84"/>
      <c r="K117" s="84"/>
      <c r="L117" s="84"/>
      <c r="M117" s="84"/>
      <c r="N117" s="93"/>
      <c r="O117" s="84"/>
      <c r="P117" s="171"/>
      <c r="Q117" s="85" t="n">
        <f aca="false">SUM(Q98:Q116)</f>
        <v>1497423</v>
      </c>
      <c r="R117" s="89" t="s">
        <v>221</v>
      </c>
      <c r="S117" s="51" t="n">
        <f aca="false">SUM(S98:S116)</f>
        <v>102615.432622581</v>
      </c>
      <c r="T117" s="52"/>
      <c r="U117" s="53"/>
      <c r="V117" s="53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ET117" s="172"/>
      <c r="EU117" s="172"/>
      <c r="EV117" s="172"/>
      <c r="EW117" s="172"/>
      <c r="EX117" s="172"/>
      <c r="EY117" s="172"/>
      <c r="EZ117" s="172"/>
      <c r="FA117" s="172"/>
      <c r="FB117" s="172"/>
      <c r="FC117" s="172"/>
      <c r="FD117" s="172"/>
      <c r="FE117" s="172"/>
      <c r="FF117" s="172"/>
      <c r="FG117" s="172"/>
      <c r="FH117" s="172"/>
      <c r="FI117" s="172"/>
      <c r="FJ117" s="172"/>
      <c r="FK117" s="172"/>
      <c r="FL117" s="172"/>
      <c r="FM117" s="172"/>
      <c r="FN117" s="172"/>
      <c r="FO117" s="172"/>
      <c r="FP117" s="172"/>
      <c r="FQ117" s="172"/>
      <c r="FR117" s="172"/>
      <c r="FS117" s="172"/>
      <c r="FT117" s="172"/>
      <c r="FU117" s="172"/>
      <c r="FV117" s="172"/>
      <c r="FW117" s="172"/>
      <c r="FX117" s="172"/>
      <c r="FY117" s="172"/>
      <c r="FZ117" s="172"/>
      <c r="GA117" s="172"/>
      <c r="GB117" s="172"/>
      <c r="GC117" s="172"/>
      <c r="GD117" s="172"/>
      <c r="GE117" s="172"/>
      <c r="GF117" s="172"/>
      <c r="GG117" s="172"/>
      <c r="GH117" s="172"/>
      <c r="GI117" s="172"/>
      <c r="GJ117" s="172"/>
      <c r="GK117" s="172"/>
      <c r="GL117" s="172"/>
      <c r="GM117" s="172"/>
      <c r="GN117" s="172"/>
      <c r="GO117" s="172"/>
      <c r="GP117" s="172"/>
      <c r="GQ117" s="172"/>
      <c r="GR117" s="172"/>
      <c r="GS117" s="172"/>
      <c r="GT117" s="172"/>
      <c r="GU117" s="172"/>
      <c r="GV117" s="172"/>
      <c r="GW117" s="172"/>
      <c r="GX117" s="172"/>
      <c r="GY117" s="172"/>
      <c r="GZ117" s="172"/>
      <c r="HA117" s="172"/>
      <c r="HB117" s="172"/>
      <c r="HC117" s="172"/>
      <c r="HD117" s="172"/>
      <c r="HE117" s="172"/>
      <c r="HF117" s="172"/>
      <c r="HG117" s="172"/>
      <c r="HH117" s="172"/>
      <c r="HI117" s="172"/>
      <c r="HJ117" s="172"/>
      <c r="HK117" s="172"/>
      <c r="HL117" s="172"/>
      <c r="HM117" s="172"/>
      <c r="HN117" s="172"/>
      <c r="HO117" s="172"/>
      <c r="HP117" s="172"/>
      <c r="HQ117" s="172"/>
      <c r="HR117" s="172"/>
      <c r="HS117" s="172"/>
      <c r="HT117" s="172"/>
      <c r="HU117" s="172"/>
      <c r="HV117" s="172"/>
      <c r="HW117" s="172"/>
      <c r="HX117" s="172"/>
      <c r="HY117" s="172"/>
      <c r="HZ117" s="172"/>
      <c r="IA117" s="172"/>
      <c r="IB117" s="172"/>
      <c r="IC117" s="172"/>
      <c r="ID117" s="172"/>
      <c r="IE117" s="172"/>
      <c r="IF117" s="172"/>
      <c r="IG117" s="172"/>
      <c r="IH117" s="172"/>
      <c r="II117" s="172"/>
      <c r="IJ117" s="172"/>
      <c r="IK117" s="172"/>
      <c r="IL117" s="172"/>
      <c r="IM117" s="172"/>
      <c r="IN117" s="172"/>
      <c r="IO117" s="172"/>
      <c r="IP117" s="172"/>
      <c r="IQ117" s="172"/>
      <c r="IR117" s="172"/>
      <c r="IS117" s="172"/>
      <c r="IT117" s="172"/>
      <c r="IU117" s="172"/>
      <c r="IV117" s="172"/>
      <c r="IW117" s="172"/>
    </row>
    <row r="118" customFormat="false" ht="12.75" hidden="false" customHeight="false" outlineLevel="0" collapsed="false">
      <c r="A118" s="33"/>
      <c r="B118" s="34"/>
      <c r="C118" s="34"/>
      <c r="D118" s="35"/>
      <c r="E118" s="35"/>
      <c r="F118" s="33"/>
      <c r="G118" s="33"/>
      <c r="H118" s="34"/>
      <c r="I118" s="36"/>
      <c r="J118" s="37"/>
      <c r="K118" s="37"/>
      <c r="L118" s="37"/>
      <c r="M118" s="37"/>
      <c r="N118" s="38"/>
      <c r="O118" s="37"/>
      <c r="P118" s="39"/>
      <c r="Q118" s="87"/>
      <c r="R118" s="89" t="s">
        <v>222</v>
      </c>
      <c r="S118" s="51" t="n">
        <f aca="false">SUM(S98:S104)</f>
        <v>76165.4326225806</v>
      </c>
      <c r="T118" s="41"/>
      <c r="U118" s="42"/>
      <c r="V118" s="42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3.5" hidden="false" customHeight="false" outlineLevel="0" collapsed="false">
      <c r="A119" s="33"/>
      <c r="B119" s="34"/>
      <c r="C119" s="34"/>
      <c r="D119" s="35"/>
      <c r="E119" s="35"/>
      <c r="F119" s="33"/>
      <c r="G119" s="33"/>
      <c r="H119" s="34"/>
      <c r="I119" s="36"/>
      <c r="J119" s="37"/>
      <c r="K119" s="37"/>
      <c r="L119" s="37"/>
      <c r="M119" s="37"/>
      <c r="N119" s="38"/>
      <c r="O119" s="37"/>
      <c r="P119" s="39"/>
      <c r="Q119" s="87"/>
      <c r="R119" s="89" t="s">
        <v>223</v>
      </c>
      <c r="S119" s="109" t="n">
        <f aca="false">+S117-S118</f>
        <v>26450</v>
      </c>
      <c r="T119" s="41"/>
      <c r="U119" s="42"/>
      <c r="V119" s="42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3.5" hidden="false" customHeight="false" outlineLevel="0" collapsed="false">
      <c r="A120" s="33"/>
      <c r="B120" s="34"/>
      <c r="C120" s="34"/>
      <c r="D120" s="35"/>
      <c r="E120" s="35"/>
      <c r="F120" s="33"/>
      <c r="G120" s="33"/>
      <c r="H120" s="34"/>
      <c r="I120" s="36"/>
      <c r="J120" s="37"/>
      <c r="K120" s="37"/>
      <c r="L120" s="37"/>
      <c r="M120" s="37"/>
      <c r="N120" s="38"/>
      <c r="O120" s="37"/>
      <c r="P120" s="39"/>
      <c r="Q120" s="34"/>
      <c r="R120" s="33"/>
      <c r="S120" s="40"/>
      <c r="T120" s="41"/>
      <c r="U120" s="42"/>
      <c r="V120" s="42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</row>
    <row r="121" customFormat="false" ht="12.75" hidden="false" customHeight="false" outlineLevel="0" collapsed="false">
      <c r="A121" s="125" t="s">
        <v>172</v>
      </c>
      <c r="B121" s="126" t="s">
        <v>173</v>
      </c>
      <c r="C121" s="126" t="s">
        <v>174</v>
      </c>
      <c r="D121" s="127" t="s">
        <v>175</v>
      </c>
      <c r="E121" s="127"/>
      <c r="F121" s="125" t="s">
        <v>176</v>
      </c>
      <c r="G121" s="125" t="s">
        <v>177</v>
      </c>
      <c r="H121" s="126" t="s">
        <v>178</v>
      </c>
      <c r="I121" s="128" t="s">
        <v>179</v>
      </c>
      <c r="J121" s="126" t="s">
        <v>180</v>
      </c>
      <c r="K121" s="126" t="s">
        <v>181</v>
      </c>
      <c r="L121" s="126" t="s">
        <v>182</v>
      </c>
      <c r="M121" s="126" t="s">
        <v>183</v>
      </c>
      <c r="N121" s="129" t="s">
        <v>184</v>
      </c>
      <c r="O121" s="126" t="s">
        <v>185</v>
      </c>
      <c r="P121" s="130" t="s">
        <v>186</v>
      </c>
      <c r="Q121" s="126" t="s">
        <v>187</v>
      </c>
      <c r="R121" s="125" t="s">
        <v>188</v>
      </c>
      <c r="S121" s="101" t="s">
        <v>263</v>
      </c>
      <c r="T121" s="101" t="s">
        <v>284</v>
      </c>
      <c r="U121" s="103"/>
      <c r="V121" s="103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31"/>
      <c r="BL121" s="131"/>
      <c r="BM121" s="131"/>
      <c r="BN121" s="131"/>
      <c r="BO121" s="131"/>
      <c r="BP121" s="131"/>
      <c r="BQ121" s="131"/>
      <c r="BR121" s="131"/>
      <c r="BS121" s="131"/>
      <c r="BT121" s="131"/>
      <c r="BU121" s="131"/>
      <c r="BV121" s="131"/>
      <c r="BW121" s="131"/>
      <c r="BX121" s="131"/>
      <c r="BY121" s="131"/>
      <c r="BZ121" s="131"/>
      <c r="CA121" s="131"/>
      <c r="CB121" s="131"/>
      <c r="CC121" s="131"/>
      <c r="CD121" s="131"/>
      <c r="CE121" s="131"/>
      <c r="CF121" s="131"/>
      <c r="CG121" s="131"/>
      <c r="CH121" s="131"/>
      <c r="CI121" s="131"/>
      <c r="CJ121" s="131"/>
      <c r="CK121" s="131"/>
      <c r="CL121" s="131"/>
      <c r="CM121" s="131"/>
      <c r="CN121" s="131"/>
      <c r="CO121" s="131"/>
      <c r="CP121" s="131"/>
      <c r="CQ121" s="131"/>
      <c r="CR121" s="131"/>
      <c r="CS121" s="131"/>
      <c r="CT121" s="131"/>
      <c r="CU121" s="131"/>
      <c r="CV121" s="131"/>
      <c r="CW121" s="131"/>
      <c r="CX121" s="131"/>
      <c r="CY121" s="131"/>
      <c r="CZ121" s="131"/>
      <c r="DA121" s="131"/>
      <c r="DB121" s="131"/>
      <c r="DC121" s="131"/>
      <c r="DD121" s="131"/>
      <c r="DE121" s="131"/>
      <c r="DF121" s="131"/>
      <c r="DG121" s="131"/>
      <c r="DH121" s="131"/>
      <c r="DI121" s="131"/>
      <c r="DJ121" s="131"/>
      <c r="DK121" s="131"/>
      <c r="DL121" s="131"/>
      <c r="DM121" s="131"/>
      <c r="DN121" s="131"/>
      <c r="DO121" s="131"/>
      <c r="DP121" s="131"/>
      <c r="DQ121" s="131"/>
      <c r="DR121" s="131"/>
      <c r="DS121" s="131"/>
      <c r="DT121" s="131"/>
      <c r="DU121" s="131"/>
      <c r="DV121" s="131"/>
      <c r="DW121" s="131"/>
      <c r="DX121" s="131"/>
      <c r="DY121" s="131"/>
      <c r="DZ121" s="131"/>
      <c r="EA121" s="131"/>
      <c r="EB121" s="131"/>
      <c r="EC121" s="131"/>
      <c r="ED121" s="131"/>
      <c r="EE121" s="131"/>
      <c r="EF121" s="131"/>
      <c r="EG121" s="131"/>
      <c r="EH121" s="131"/>
      <c r="EI121" s="131"/>
      <c r="EJ121" s="131"/>
      <c r="EK121" s="131"/>
      <c r="EL121" s="131"/>
      <c r="EM121" s="131"/>
      <c r="EN121" s="131"/>
      <c r="EO121" s="131"/>
      <c r="EP121" s="131"/>
      <c r="EQ121" s="131"/>
      <c r="ER121" s="131"/>
      <c r="ES121" s="131"/>
      <c r="ET121" s="131"/>
      <c r="EU121" s="131"/>
      <c r="EV121" s="131"/>
      <c r="EW121" s="131"/>
      <c r="EX121" s="131"/>
      <c r="EY121" s="131"/>
      <c r="EZ121" s="131"/>
      <c r="FA121" s="131"/>
      <c r="FB121" s="131"/>
      <c r="FC121" s="131"/>
      <c r="FD121" s="131"/>
      <c r="FE121" s="131"/>
      <c r="FF121" s="131"/>
      <c r="FG121" s="131"/>
      <c r="FH121" s="131"/>
      <c r="FI121" s="131"/>
      <c r="FJ121" s="131"/>
      <c r="FK121" s="131"/>
      <c r="FL121" s="131"/>
      <c r="FM121" s="131"/>
      <c r="FN121" s="131"/>
      <c r="FO121" s="131"/>
      <c r="FP121" s="131"/>
      <c r="FQ121" s="131"/>
      <c r="FR121" s="131"/>
      <c r="FS121" s="131"/>
      <c r="FT121" s="131"/>
      <c r="FU121" s="131"/>
      <c r="FV121" s="131"/>
      <c r="FW121" s="131"/>
      <c r="FX121" s="131"/>
      <c r="FY121" s="131"/>
      <c r="FZ121" s="131"/>
      <c r="GA121" s="131"/>
      <c r="GB121" s="131"/>
      <c r="GC121" s="131"/>
      <c r="GD121" s="131"/>
      <c r="GE121" s="131"/>
      <c r="GF121" s="131"/>
      <c r="GG121" s="131"/>
      <c r="GH121" s="131"/>
      <c r="GI121" s="131"/>
      <c r="GJ121" s="131"/>
      <c r="GK121" s="131"/>
      <c r="GL121" s="131"/>
      <c r="GM121" s="131"/>
      <c r="GN121" s="131"/>
      <c r="GO121" s="131"/>
      <c r="GP121" s="131"/>
      <c r="GQ121" s="131"/>
      <c r="GR121" s="131"/>
      <c r="GS121" s="131"/>
      <c r="GT121" s="131"/>
      <c r="GU121" s="131"/>
      <c r="GV121" s="131"/>
      <c r="GW121" s="131"/>
      <c r="GX121" s="131"/>
      <c r="GY121" s="131"/>
      <c r="GZ121" s="131"/>
      <c r="HA121" s="131"/>
      <c r="HB121" s="131"/>
      <c r="HC121" s="131"/>
      <c r="HD121" s="131"/>
      <c r="HE121" s="131"/>
      <c r="HF121" s="131"/>
      <c r="HG121" s="131"/>
      <c r="HH121" s="131"/>
      <c r="HI121" s="131"/>
      <c r="HJ121" s="131"/>
      <c r="HK121" s="131"/>
      <c r="HL121" s="131"/>
      <c r="HM121" s="131"/>
      <c r="HN121" s="131"/>
      <c r="HO121" s="131"/>
      <c r="HP121" s="131"/>
      <c r="HQ121" s="131"/>
      <c r="HR121" s="131"/>
      <c r="HS121" s="131"/>
      <c r="HT121" s="131"/>
      <c r="HU121" s="131"/>
      <c r="HV121" s="131"/>
      <c r="HW121" s="131"/>
      <c r="HX121" s="131"/>
      <c r="HY121" s="131"/>
      <c r="HZ121" s="131"/>
      <c r="IA121" s="131"/>
      <c r="IB121" s="131"/>
      <c r="IC121" s="131"/>
      <c r="ID121" s="131"/>
      <c r="IE121" s="131"/>
      <c r="IF121" s="131"/>
      <c r="IG121" s="131"/>
      <c r="IH121" s="131"/>
      <c r="II121" s="131"/>
      <c r="IJ121" s="131"/>
      <c r="IK121" s="131"/>
      <c r="IL121" s="131"/>
      <c r="IM121" s="131"/>
      <c r="IN121" s="131"/>
      <c r="IO121" s="131"/>
      <c r="IP121" s="131"/>
      <c r="IQ121" s="131"/>
      <c r="IR121" s="131"/>
      <c r="IS121" s="131"/>
      <c r="IT121" s="131"/>
      <c r="IU121" s="131"/>
      <c r="IV121" s="131"/>
      <c r="IW121" s="131"/>
    </row>
    <row r="122" customFormat="false" ht="12.75" hidden="false" customHeight="false" outlineLevel="0" collapsed="false">
      <c r="A122" s="33" t="s">
        <v>274</v>
      </c>
      <c r="B122" s="34" t="s">
        <v>297</v>
      </c>
      <c r="C122" s="34" t="s">
        <v>278</v>
      </c>
      <c r="D122" s="35" t="n">
        <v>36342</v>
      </c>
      <c r="E122" s="35" t="n">
        <v>39172</v>
      </c>
      <c r="F122" s="33" t="s">
        <v>314</v>
      </c>
      <c r="G122" s="33" t="s">
        <v>315</v>
      </c>
      <c r="H122" s="34" t="s">
        <v>296</v>
      </c>
      <c r="I122" s="36" t="n">
        <f aca="false">10.7/I$1</f>
        <v>0.345161290322581</v>
      </c>
      <c r="J122" s="37" t="n">
        <v>0</v>
      </c>
      <c r="K122" s="37" t="n">
        <v>0.0022</v>
      </c>
      <c r="L122" s="37" t="n">
        <v>0.0075</v>
      </c>
      <c r="M122" s="37" t="n">
        <v>0</v>
      </c>
      <c r="N122" s="170" t="n">
        <v>0.0131</v>
      </c>
      <c r="O122" s="37" t="n">
        <f aca="false">SUM(I122:M122)</f>
        <v>0.354861290322581</v>
      </c>
      <c r="P122" s="39" t="n">
        <v>29667</v>
      </c>
      <c r="Q122" s="34" t="n">
        <v>35000</v>
      </c>
      <c r="R122" s="173" t="s">
        <v>316</v>
      </c>
      <c r="S122" s="141" t="n">
        <f aca="false">I122*I$1*Q122</f>
        <v>374500</v>
      </c>
      <c r="T122" s="40"/>
      <c r="U122" s="42" t="s">
        <v>317</v>
      </c>
      <c r="V122" s="42"/>
      <c r="W122" s="19" t="s">
        <v>220</v>
      </c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89" t="s">
        <v>73</v>
      </c>
      <c r="B123" s="85" t="s">
        <v>73</v>
      </c>
      <c r="C123" s="85" t="s">
        <v>73</v>
      </c>
      <c r="D123" s="90" t="s">
        <v>73</v>
      </c>
      <c r="E123" s="90" t="s">
        <v>73</v>
      </c>
      <c r="F123" s="89" t="s">
        <v>73</v>
      </c>
      <c r="G123" s="89" t="s">
        <v>73</v>
      </c>
      <c r="H123" s="85" t="s">
        <v>73</v>
      </c>
      <c r="I123" s="92" t="s">
        <v>73</v>
      </c>
      <c r="J123" s="84" t="s">
        <v>73</v>
      </c>
      <c r="K123" s="84" t="s">
        <v>73</v>
      </c>
      <c r="L123" s="84" t="s">
        <v>73</v>
      </c>
      <c r="M123" s="84" t="s">
        <v>313</v>
      </c>
      <c r="N123" s="170" t="s">
        <v>73</v>
      </c>
      <c r="O123" s="84" t="s">
        <v>73</v>
      </c>
      <c r="P123" s="171" t="s">
        <v>73</v>
      </c>
      <c r="Q123" s="85" t="s">
        <v>73</v>
      </c>
      <c r="R123" s="89" t="s">
        <v>73</v>
      </c>
      <c r="S123" s="142"/>
      <c r="T123" s="51" t="n">
        <f aca="false">SUM(T121:T122)</f>
        <v>0</v>
      </c>
      <c r="U123" s="53"/>
      <c r="V123" s="53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  <c r="CH123" s="172"/>
      <c r="CI123" s="172"/>
      <c r="CJ123" s="172"/>
      <c r="CK123" s="172"/>
      <c r="CL123" s="172"/>
      <c r="CM123" s="172"/>
      <c r="CN123" s="172"/>
      <c r="CO123" s="172"/>
      <c r="CP123" s="172"/>
      <c r="CQ123" s="172"/>
      <c r="CR123" s="172"/>
      <c r="CS123" s="172"/>
      <c r="CT123" s="172"/>
      <c r="CU123" s="172"/>
      <c r="CV123" s="172"/>
      <c r="CW123" s="172"/>
      <c r="CX123" s="172"/>
      <c r="CY123" s="172"/>
      <c r="CZ123" s="172"/>
      <c r="DA123" s="172"/>
      <c r="DB123" s="172"/>
      <c r="DC123" s="172"/>
      <c r="DD123" s="172"/>
      <c r="DE123" s="172"/>
      <c r="DF123" s="172"/>
      <c r="DG123" s="172"/>
      <c r="DH123" s="172"/>
      <c r="DI123" s="172"/>
      <c r="DJ123" s="172"/>
      <c r="DK123" s="172"/>
      <c r="DL123" s="172"/>
      <c r="DM123" s="172"/>
      <c r="DN123" s="172"/>
      <c r="DO123" s="172"/>
      <c r="DP123" s="172"/>
      <c r="DQ123" s="172"/>
      <c r="DR123" s="172"/>
      <c r="DS123" s="172"/>
      <c r="DT123" s="172"/>
      <c r="DU123" s="172"/>
      <c r="DV123" s="172"/>
      <c r="DW123" s="172"/>
      <c r="DX123" s="172"/>
      <c r="DY123" s="172"/>
      <c r="DZ123" s="172"/>
      <c r="EA123" s="172"/>
      <c r="EB123" s="172"/>
      <c r="EC123" s="172"/>
      <c r="ED123" s="172"/>
      <c r="EE123" s="172"/>
      <c r="EF123" s="172"/>
      <c r="EG123" s="172"/>
      <c r="EH123" s="172"/>
      <c r="EI123" s="172"/>
      <c r="EJ123" s="172"/>
      <c r="EK123" s="172"/>
      <c r="EL123" s="172"/>
      <c r="EM123" s="172"/>
      <c r="EN123" s="172"/>
      <c r="EO123" s="172"/>
      <c r="EP123" s="172"/>
      <c r="EQ123" s="172"/>
      <c r="ER123" s="172"/>
      <c r="ES123" s="172"/>
      <c r="ET123" s="172"/>
      <c r="EU123" s="172"/>
      <c r="EV123" s="172"/>
      <c r="EW123" s="172"/>
      <c r="EX123" s="172"/>
      <c r="EY123" s="172"/>
      <c r="EZ123" s="172"/>
      <c r="FA123" s="172"/>
      <c r="FB123" s="172"/>
      <c r="FC123" s="172"/>
      <c r="FD123" s="172"/>
      <c r="FE123" s="172"/>
      <c r="FF123" s="172"/>
      <c r="FG123" s="172"/>
      <c r="FH123" s="172"/>
      <c r="FI123" s="172"/>
      <c r="FJ123" s="172"/>
      <c r="FK123" s="172"/>
      <c r="FL123" s="172"/>
      <c r="FM123" s="172"/>
      <c r="FN123" s="172"/>
      <c r="FO123" s="172"/>
      <c r="FP123" s="172"/>
      <c r="FQ123" s="172"/>
      <c r="FR123" s="172"/>
      <c r="FS123" s="172"/>
      <c r="FT123" s="172"/>
      <c r="FU123" s="172"/>
      <c r="FV123" s="172"/>
      <c r="FW123" s="172"/>
      <c r="FX123" s="172"/>
      <c r="FY123" s="172"/>
      <c r="FZ123" s="172"/>
      <c r="GA123" s="172"/>
      <c r="GB123" s="172"/>
      <c r="GC123" s="172"/>
      <c r="GD123" s="172"/>
      <c r="GE123" s="172"/>
      <c r="GF123" s="172"/>
      <c r="GG123" s="172"/>
      <c r="GH123" s="172"/>
      <c r="GI123" s="172"/>
      <c r="GJ123" s="172"/>
      <c r="GK123" s="172"/>
      <c r="GL123" s="172"/>
      <c r="GM123" s="172"/>
      <c r="GN123" s="172"/>
      <c r="GO123" s="172"/>
      <c r="GP123" s="172"/>
      <c r="GQ123" s="172"/>
      <c r="GR123" s="172"/>
      <c r="GS123" s="172"/>
      <c r="GT123" s="172"/>
      <c r="GU123" s="172"/>
      <c r="GV123" s="172"/>
      <c r="GW123" s="172"/>
      <c r="GX123" s="172"/>
      <c r="GY123" s="172"/>
      <c r="GZ123" s="172"/>
      <c r="HA123" s="172"/>
      <c r="HB123" s="172"/>
      <c r="HC123" s="172"/>
      <c r="HD123" s="172"/>
      <c r="HE123" s="172"/>
      <c r="HF123" s="172"/>
      <c r="HG123" s="172"/>
      <c r="HH123" s="172"/>
      <c r="HI123" s="172"/>
      <c r="HJ123" s="172"/>
      <c r="HK123" s="172"/>
      <c r="HL123" s="172"/>
      <c r="HM123" s="172"/>
      <c r="HN123" s="172"/>
      <c r="HO123" s="172"/>
      <c r="HP123" s="172"/>
      <c r="HQ123" s="172"/>
      <c r="HR123" s="172"/>
      <c r="HS123" s="172"/>
      <c r="HT123" s="172"/>
      <c r="HU123" s="172"/>
      <c r="HV123" s="172"/>
      <c r="HW123" s="172"/>
      <c r="HX123" s="172"/>
      <c r="HY123" s="172"/>
      <c r="HZ123" s="172"/>
      <c r="IA123" s="172"/>
      <c r="IB123" s="172"/>
      <c r="IC123" s="172"/>
      <c r="ID123" s="172"/>
      <c r="IE123" s="172"/>
      <c r="IF123" s="172"/>
      <c r="IG123" s="172"/>
      <c r="IH123" s="172"/>
      <c r="II123" s="172"/>
      <c r="IJ123" s="172"/>
      <c r="IK123" s="172"/>
      <c r="IL123" s="172"/>
      <c r="IM123" s="172"/>
      <c r="IN123" s="172"/>
      <c r="IO123" s="172"/>
      <c r="IP123" s="172"/>
      <c r="IQ123" s="172"/>
      <c r="IR123" s="172"/>
      <c r="IS123" s="172"/>
      <c r="IT123" s="172"/>
      <c r="IU123" s="172"/>
      <c r="IV123" s="172"/>
      <c r="IW123" s="172"/>
    </row>
    <row r="124" customFormat="false" ht="12.75" hidden="false" customHeight="false" outlineLevel="0" collapsed="false">
      <c r="A124" s="89"/>
      <c r="B124" s="85"/>
      <c r="C124" s="85" t="n">
        <f aca="false">65000/12</f>
        <v>5416.66666666667</v>
      </c>
      <c r="D124" s="90"/>
      <c r="E124" s="90"/>
      <c r="F124" s="89"/>
      <c r="G124" s="89"/>
      <c r="H124" s="85"/>
      <c r="I124" s="92"/>
      <c r="J124" s="84"/>
      <c r="K124" s="84"/>
      <c r="L124" s="84"/>
      <c r="M124" s="84"/>
      <c r="N124" s="93"/>
      <c r="O124" s="84"/>
      <c r="P124" s="171"/>
      <c r="Q124" s="85" t="n">
        <f aca="false">SUM(Q122:Q123)</f>
        <v>35000</v>
      </c>
      <c r="R124" s="89" t="s">
        <v>221</v>
      </c>
      <c r="S124" s="142" t="n">
        <f aca="false">SUM(S122:S123)</f>
        <v>374500</v>
      </c>
      <c r="T124" s="51"/>
      <c r="U124" s="52"/>
      <c r="V124" s="53"/>
      <c r="W124" s="53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172"/>
      <c r="CJ124" s="172"/>
      <c r="CK124" s="172"/>
      <c r="CL124" s="172"/>
      <c r="CM124" s="172"/>
      <c r="CN124" s="172"/>
      <c r="CO124" s="172"/>
      <c r="CP124" s="172"/>
      <c r="CQ124" s="172"/>
      <c r="CR124" s="172"/>
      <c r="CS124" s="172"/>
      <c r="CT124" s="172"/>
      <c r="CU124" s="172"/>
      <c r="CV124" s="172"/>
      <c r="CW124" s="172"/>
      <c r="CX124" s="172"/>
      <c r="CY124" s="172"/>
      <c r="CZ124" s="172"/>
      <c r="DA124" s="172"/>
      <c r="DB124" s="172"/>
      <c r="DC124" s="172"/>
      <c r="DD124" s="172"/>
      <c r="DE124" s="172"/>
      <c r="DF124" s="172"/>
      <c r="DG124" s="172"/>
      <c r="DH124" s="172"/>
      <c r="DI124" s="172"/>
      <c r="DJ124" s="172"/>
      <c r="DK124" s="172"/>
      <c r="DL124" s="172"/>
      <c r="DM124" s="172"/>
      <c r="DN124" s="172"/>
      <c r="DO124" s="172"/>
      <c r="DP124" s="172"/>
      <c r="DQ124" s="172"/>
      <c r="DR124" s="172"/>
      <c r="DS124" s="172"/>
      <c r="DT124" s="172"/>
      <c r="DU124" s="172"/>
      <c r="DV124" s="172"/>
      <c r="DW124" s="172"/>
      <c r="DX124" s="172"/>
      <c r="DY124" s="172"/>
      <c r="DZ124" s="172"/>
      <c r="EA124" s="172"/>
      <c r="EB124" s="172"/>
      <c r="EC124" s="172"/>
      <c r="ED124" s="172"/>
      <c r="EE124" s="172"/>
      <c r="EF124" s="172"/>
      <c r="EG124" s="172"/>
      <c r="EH124" s="172"/>
      <c r="EI124" s="172"/>
      <c r="EJ124" s="172"/>
      <c r="EK124" s="172"/>
      <c r="EL124" s="172"/>
      <c r="EM124" s="172"/>
      <c r="EN124" s="172"/>
      <c r="EO124" s="172"/>
      <c r="EP124" s="172"/>
      <c r="EQ124" s="172"/>
      <c r="ER124" s="172"/>
      <c r="ES124" s="172"/>
      <c r="ET124" s="172"/>
      <c r="EU124" s="172"/>
      <c r="EV124" s="172"/>
      <c r="EW124" s="172"/>
      <c r="EX124" s="172"/>
      <c r="EY124" s="172"/>
      <c r="EZ124" s="172"/>
      <c r="FA124" s="172"/>
      <c r="FB124" s="172"/>
      <c r="FC124" s="172"/>
      <c r="FD124" s="172"/>
      <c r="FE124" s="172"/>
      <c r="FF124" s="172"/>
      <c r="FG124" s="172"/>
      <c r="FH124" s="172"/>
      <c r="FI124" s="172"/>
      <c r="FJ124" s="172"/>
      <c r="FK124" s="172"/>
      <c r="FL124" s="172"/>
      <c r="FM124" s="172"/>
      <c r="FN124" s="172"/>
      <c r="FO124" s="172"/>
      <c r="FP124" s="172"/>
      <c r="FQ124" s="172"/>
      <c r="FR124" s="172"/>
      <c r="FS124" s="172"/>
      <c r="FT124" s="172"/>
      <c r="FU124" s="172"/>
      <c r="FV124" s="172"/>
      <c r="FW124" s="172"/>
      <c r="FX124" s="172"/>
      <c r="FY124" s="172"/>
      <c r="FZ124" s="172"/>
      <c r="GA124" s="172"/>
      <c r="GB124" s="172"/>
      <c r="GC124" s="172"/>
      <c r="GD124" s="172"/>
      <c r="GE124" s="172"/>
      <c r="GF124" s="172"/>
      <c r="GG124" s="172"/>
      <c r="GH124" s="172"/>
      <c r="GI124" s="172"/>
      <c r="GJ124" s="172"/>
      <c r="GK124" s="172"/>
      <c r="GL124" s="172"/>
      <c r="GM124" s="172"/>
      <c r="GN124" s="172"/>
      <c r="GO124" s="172"/>
      <c r="GP124" s="172"/>
      <c r="GQ124" s="172"/>
      <c r="GR124" s="172"/>
      <c r="GS124" s="172"/>
      <c r="GT124" s="172"/>
      <c r="GU124" s="172"/>
      <c r="GV124" s="172"/>
      <c r="GW124" s="172"/>
      <c r="GX124" s="172"/>
      <c r="GY124" s="172"/>
      <c r="GZ124" s="172"/>
      <c r="HA124" s="172"/>
      <c r="HB124" s="172"/>
      <c r="HC124" s="172"/>
      <c r="HD124" s="172"/>
      <c r="HE124" s="172"/>
      <c r="HF124" s="172"/>
      <c r="HG124" s="172"/>
      <c r="HH124" s="172"/>
      <c r="HI124" s="172"/>
      <c r="HJ124" s="172"/>
      <c r="HK124" s="172"/>
      <c r="HL124" s="172"/>
      <c r="HM124" s="172"/>
      <c r="HN124" s="172"/>
      <c r="HO124" s="172"/>
      <c r="HP124" s="172"/>
      <c r="HQ124" s="172"/>
      <c r="HR124" s="172"/>
      <c r="HS124" s="172"/>
      <c r="HT124" s="172"/>
      <c r="HU124" s="172"/>
      <c r="HV124" s="172"/>
      <c r="HW124" s="172"/>
      <c r="HX124" s="172"/>
      <c r="HY124" s="172"/>
      <c r="HZ124" s="172"/>
      <c r="IA124" s="172"/>
      <c r="IB124" s="172"/>
      <c r="IC124" s="172"/>
      <c r="ID124" s="172"/>
      <c r="IE124" s="172"/>
      <c r="IF124" s="172"/>
      <c r="IG124" s="172"/>
      <c r="IH124" s="172"/>
      <c r="II124" s="172"/>
      <c r="IJ124" s="172"/>
      <c r="IK124" s="172"/>
      <c r="IL124" s="172"/>
      <c r="IM124" s="172"/>
      <c r="IN124" s="172"/>
      <c r="IO124" s="172"/>
      <c r="IP124" s="172"/>
      <c r="IQ124" s="172"/>
      <c r="IR124" s="172"/>
      <c r="IS124" s="172"/>
      <c r="IT124" s="172"/>
      <c r="IU124" s="172"/>
      <c r="IV124" s="172"/>
      <c r="IW124" s="172"/>
    </row>
    <row r="125" customFormat="false" ht="12.75" hidden="false" customHeight="false" outlineLevel="0" collapsed="false">
      <c r="A125" s="33"/>
      <c r="B125" s="34"/>
      <c r="C125" s="34"/>
      <c r="D125" s="35"/>
      <c r="E125" s="35"/>
      <c r="F125" s="33"/>
      <c r="G125" s="33"/>
      <c r="H125" s="34"/>
      <c r="I125" s="36"/>
      <c r="J125" s="37"/>
      <c r="K125" s="37"/>
      <c r="L125" s="37"/>
      <c r="M125" s="37"/>
      <c r="N125" s="38"/>
      <c r="O125" s="37"/>
      <c r="P125" s="39"/>
      <c r="Q125" s="87"/>
      <c r="R125" s="89" t="s">
        <v>222</v>
      </c>
      <c r="S125" s="142" t="n">
        <f aca="false">SUM(S122)</f>
        <v>374500</v>
      </c>
      <c r="T125" s="40"/>
      <c r="U125" s="41"/>
      <c r="V125" s="42"/>
      <c r="W125" s="42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3.5" hidden="false" customHeight="false" outlineLevel="0" collapsed="false">
      <c r="A126" s="33"/>
      <c r="B126" s="34"/>
      <c r="C126" s="34"/>
      <c r="D126" s="35"/>
      <c r="E126" s="35"/>
      <c r="F126" s="33"/>
      <c r="G126" s="33"/>
      <c r="H126" s="34"/>
      <c r="I126" s="36"/>
      <c r="J126" s="37"/>
      <c r="K126" s="37"/>
      <c r="L126" s="37"/>
      <c r="M126" s="37"/>
      <c r="N126" s="38"/>
      <c r="O126" s="37"/>
      <c r="P126" s="39"/>
      <c r="Q126" s="87"/>
      <c r="R126" s="89" t="s">
        <v>223</v>
      </c>
      <c r="S126" s="109" t="n">
        <f aca="false">+S124-S125</f>
        <v>0</v>
      </c>
      <c r="T126" s="40"/>
      <c r="U126" s="41"/>
      <c r="V126" s="42"/>
      <c r="W126" s="42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3.5" hidden="false" customHeight="false" outlineLevel="0" collapsed="false">
      <c r="A127" s="33"/>
      <c r="B127" s="34"/>
      <c r="C127" s="34"/>
      <c r="D127" s="35"/>
      <c r="E127" s="35"/>
      <c r="F127" s="33"/>
      <c r="G127" s="33"/>
      <c r="H127" s="34"/>
      <c r="I127" s="36"/>
      <c r="J127" s="37"/>
      <c r="K127" s="37"/>
      <c r="L127" s="37"/>
      <c r="M127" s="37"/>
      <c r="N127" s="38"/>
      <c r="O127" s="37"/>
      <c r="P127" s="39"/>
      <c r="Q127" s="34"/>
      <c r="R127" s="33"/>
      <c r="S127" s="40"/>
      <c r="T127" s="40"/>
      <c r="U127" s="41"/>
      <c r="V127" s="42"/>
      <c r="W127" s="42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25" t="s">
        <v>172</v>
      </c>
      <c r="B128" s="126" t="s">
        <v>173</v>
      </c>
      <c r="C128" s="126" t="s">
        <v>174</v>
      </c>
      <c r="D128" s="127" t="s">
        <v>175</v>
      </c>
      <c r="E128" s="127"/>
      <c r="F128" s="125" t="s">
        <v>176</v>
      </c>
      <c r="G128" s="125" t="s">
        <v>177</v>
      </c>
      <c r="H128" s="126" t="s">
        <v>178</v>
      </c>
      <c r="I128" s="128" t="s">
        <v>179</v>
      </c>
      <c r="J128" s="126" t="s">
        <v>180</v>
      </c>
      <c r="K128" s="126" t="s">
        <v>181</v>
      </c>
      <c r="L128" s="126" t="s">
        <v>182</v>
      </c>
      <c r="M128" s="126" t="s">
        <v>183</v>
      </c>
      <c r="N128" s="129" t="s">
        <v>184</v>
      </c>
      <c r="O128" s="126" t="s">
        <v>185</v>
      </c>
      <c r="P128" s="130" t="s">
        <v>186</v>
      </c>
      <c r="Q128" s="126" t="s">
        <v>187</v>
      </c>
      <c r="R128" s="125" t="s">
        <v>188</v>
      </c>
      <c r="S128" s="101" t="s">
        <v>263</v>
      </c>
      <c r="T128" s="103"/>
      <c r="U128" s="103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131"/>
      <c r="BU128" s="131"/>
      <c r="BV128" s="131"/>
      <c r="BW128" s="131"/>
      <c r="BX128" s="131"/>
      <c r="BY128" s="131"/>
      <c r="BZ128" s="131"/>
      <c r="CA128" s="131"/>
      <c r="CB128" s="131"/>
      <c r="CC128" s="131"/>
      <c r="CD128" s="131"/>
      <c r="CE128" s="131"/>
      <c r="CF128" s="131"/>
      <c r="CG128" s="131"/>
      <c r="CH128" s="131"/>
      <c r="CI128" s="131"/>
      <c r="CJ128" s="131"/>
      <c r="CK128" s="131"/>
      <c r="CL128" s="131"/>
      <c r="CM128" s="131"/>
      <c r="CN128" s="131"/>
      <c r="CO128" s="131"/>
      <c r="CP128" s="131"/>
      <c r="CQ128" s="131"/>
      <c r="CR128" s="131"/>
      <c r="CS128" s="131"/>
      <c r="CT128" s="131"/>
      <c r="CU128" s="131"/>
      <c r="CV128" s="131"/>
      <c r="CW128" s="131"/>
      <c r="CX128" s="131"/>
      <c r="CY128" s="131"/>
      <c r="CZ128" s="131"/>
      <c r="DA128" s="131"/>
      <c r="DB128" s="131"/>
      <c r="DC128" s="131"/>
      <c r="DD128" s="131"/>
      <c r="DE128" s="131"/>
      <c r="DF128" s="131"/>
      <c r="DG128" s="131"/>
      <c r="DH128" s="131"/>
      <c r="DI128" s="131"/>
      <c r="DJ128" s="131"/>
      <c r="DK128" s="131"/>
      <c r="DL128" s="131"/>
      <c r="DM128" s="131"/>
      <c r="DN128" s="131"/>
      <c r="DO128" s="131"/>
      <c r="DP128" s="131"/>
      <c r="DQ128" s="131"/>
      <c r="DR128" s="131"/>
      <c r="DS128" s="131"/>
      <c r="DT128" s="131"/>
      <c r="DU128" s="131"/>
      <c r="DV128" s="131"/>
      <c r="DW128" s="131"/>
      <c r="DX128" s="131"/>
      <c r="DY128" s="131"/>
      <c r="DZ128" s="131"/>
      <c r="EA128" s="131"/>
      <c r="EB128" s="131"/>
      <c r="EC128" s="131"/>
      <c r="ED128" s="131"/>
      <c r="EE128" s="131"/>
      <c r="EF128" s="131"/>
      <c r="EG128" s="131"/>
      <c r="EH128" s="131"/>
      <c r="EI128" s="131"/>
      <c r="EJ128" s="131"/>
      <c r="EK128" s="131"/>
      <c r="EL128" s="131"/>
      <c r="EM128" s="131"/>
      <c r="EN128" s="131"/>
      <c r="EO128" s="131"/>
      <c r="EP128" s="131"/>
      <c r="EQ128" s="131"/>
      <c r="ER128" s="131"/>
      <c r="ES128" s="131"/>
      <c r="ET128" s="131"/>
      <c r="EU128" s="131"/>
      <c r="EV128" s="131"/>
      <c r="EW128" s="131"/>
      <c r="EX128" s="131"/>
      <c r="EY128" s="131"/>
      <c r="EZ128" s="131"/>
      <c r="FA128" s="131"/>
      <c r="FB128" s="131"/>
      <c r="FC128" s="131"/>
      <c r="FD128" s="131"/>
      <c r="FE128" s="131"/>
      <c r="FF128" s="131"/>
      <c r="FG128" s="131"/>
      <c r="FH128" s="131"/>
      <c r="FI128" s="131"/>
      <c r="FJ128" s="131"/>
      <c r="FK128" s="131"/>
      <c r="FL128" s="131"/>
      <c r="FM128" s="131"/>
      <c r="FN128" s="131"/>
      <c r="FO128" s="131"/>
      <c r="FP128" s="131"/>
      <c r="FQ128" s="131"/>
      <c r="FR128" s="131"/>
      <c r="FS128" s="131"/>
      <c r="FT128" s="131"/>
      <c r="FU128" s="131"/>
      <c r="FV128" s="131"/>
      <c r="FW128" s="131"/>
      <c r="FX128" s="131"/>
      <c r="FY128" s="131"/>
      <c r="FZ128" s="131"/>
      <c r="GA128" s="131"/>
      <c r="GB128" s="131"/>
      <c r="GC128" s="131"/>
      <c r="GD128" s="131"/>
      <c r="GE128" s="131"/>
      <c r="GF128" s="131"/>
      <c r="GG128" s="131"/>
      <c r="GH128" s="131"/>
      <c r="GI128" s="131"/>
      <c r="GJ128" s="131"/>
      <c r="GK128" s="131"/>
      <c r="GL128" s="131"/>
      <c r="GM128" s="131"/>
      <c r="GN128" s="131"/>
      <c r="GO128" s="131"/>
      <c r="GP128" s="131"/>
      <c r="GQ128" s="131"/>
      <c r="GR128" s="131"/>
      <c r="GS128" s="131"/>
      <c r="GT128" s="131"/>
      <c r="GU128" s="131"/>
      <c r="GV128" s="131"/>
      <c r="GW128" s="131"/>
      <c r="GX128" s="131"/>
      <c r="GY128" s="131"/>
      <c r="GZ128" s="131"/>
      <c r="HA128" s="131"/>
      <c r="HB128" s="131"/>
      <c r="HC128" s="131"/>
      <c r="HD128" s="131"/>
      <c r="HE128" s="131"/>
      <c r="HF128" s="131"/>
      <c r="HG128" s="131"/>
      <c r="HH128" s="131"/>
      <c r="HI128" s="131"/>
      <c r="HJ128" s="131"/>
      <c r="HK128" s="131"/>
      <c r="HL128" s="131"/>
      <c r="HM128" s="131"/>
      <c r="HN128" s="131"/>
      <c r="HO128" s="131"/>
      <c r="HP128" s="131"/>
      <c r="HQ128" s="131"/>
      <c r="HR128" s="131"/>
      <c r="HS128" s="131"/>
      <c r="HT128" s="131"/>
      <c r="HU128" s="131"/>
      <c r="HV128" s="131"/>
      <c r="HW128" s="131"/>
      <c r="HX128" s="131"/>
      <c r="HY128" s="131"/>
      <c r="HZ128" s="131"/>
      <c r="IA128" s="131"/>
      <c r="IB128" s="131"/>
      <c r="IC128" s="131"/>
      <c r="ID128" s="131"/>
      <c r="IE128" s="131"/>
      <c r="IF128" s="131"/>
      <c r="IG128" s="131"/>
      <c r="IH128" s="131"/>
      <c r="II128" s="131"/>
      <c r="IJ128" s="131"/>
      <c r="IK128" s="131"/>
      <c r="IL128" s="131"/>
      <c r="IM128" s="131"/>
      <c r="IN128" s="131"/>
      <c r="IO128" s="131"/>
      <c r="IP128" s="131"/>
      <c r="IQ128" s="131"/>
      <c r="IR128" s="131"/>
      <c r="IS128" s="131"/>
      <c r="IT128" s="131"/>
      <c r="IU128" s="131"/>
      <c r="IV128" s="131"/>
      <c r="IW128" s="131"/>
    </row>
    <row r="129" customFormat="false" ht="12.75" hidden="false" customHeight="false" outlineLevel="0" collapsed="false">
      <c r="A129" s="174" t="s">
        <v>208</v>
      </c>
      <c r="B129" s="175" t="s">
        <v>318</v>
      </c>
      <c r="C129" s="175" t="s">
        <v>19</v>
      </c>
      <c r="D129" s="176" t="n">
        <v>37196</v>
      </c>
      <c r="E129" s="176" t="n">
        <v>37346</v>
      </c>
      <c r="F129" s="174" t="s">
        <v>319</v>
      </c>
      <c r="G129" s="174" t="s">
        <v>320</v>
      </c>
      <c r="H129" s="175" t="s">
        <v>321</v>
      </c>
      <c r="I129" s="177" t="n">
        <v>0.01</v>
      </c>
      <c r="J129" s="178"/>
      <c r="K129" s="178"/>
      <c r="L129" s="178"/>
      <c r="M129" s="178"/>
      <c r="N129" s="179"/>
      <c r="O129" s="178"/>
      <c r="P129" s="180" t="s">
        <v>322</v>
      </c>
      <c r="Q129" s="175" t="n">
        <v>18000</v>
      </c>
      <c r="R129" s="174" t="s">
        <v>323</v>
      </c>
      <c r="S129" s="51" t="n">
        <f aca="false">+I129*Q129*I$1</f>
        <v>5580</v>
      </c>
      <c r="T129" s="181" t="n">
        <v>1143435</v>
      </c>
      <c r="U129" s="182"/>
      <c r="V129" s="183" t="s">
        <v>220</v>
      </c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  <c r="HD129" s="183"/>
      <c r="HE129" s="183"/>
      <c r="HF129" s="183"/>
      <c r="HG129" s="183"/>
      <c r="HH129" s="183"/>
      <c r="HI129" s="183"/>
      <c r="HJ129" s="183"/>
      <c r="HK129" s="183"/>
      <c r="HL129" s="183"/>
      <c r="HM129" s="183"/>
      <c r="HN129" s="183"/>
      <c r="HO129" s="183"/>
      <c r="HP129" s="183"/>
      <c r="HQ129" s="183"/>
      <c r="HR129" s="183"/>
      <c r="HS129" s="183"/>
      <c r="HT129" s="183"/>
      <c r="HU129" s="183"/>
      <c r="HV129" s="183"/>
      <c r="HW129" s="183"/>
      <c r="HX129" s="183"/>
      <c r="HY129" s="183"/>
      <c r="HZ129" s="183"/>
      <c r="IA129" s="183"/>
      <c r="IB129" s="183"/>
      <c r="IC129" s="183"/>
      <c r="ID129" s="183"/>
      <c r="IE129" s="183"/>
      <c r="IF129" s="183"/>
      <c r="IG129" s="183"/>
      <c r="IH129" s="183"/>
      <c r="II129" s="183"/>
      <c r="IJ129" s="183"/>
      <c r="IK129" s="183"/>
      <c r="IL129" s="183"/>
      <c r="IM129" s="183"/>
      <c r="IN129" s="183"/>
      <c r="IO129" s="183"/>
      <c r="IP129" s="183"/>
      <c r="IQ129" s="183"/>
      <c r="IR129" s="183"/>
      <c r="IS129" s="183"/>
      <c r="IT129" s="183"/>
      <c r="IU129" s="183"/>
      <c r="IV129" s="183"/>
      <c r="IW129" s="183"/>
    </row>
    <row r="130" customFormat="false" ht="12.75" hidden="false" customHeight="false" outlineLevel="0" collapsed="false">
      <c r="A130" s="89"/>
      <c r="B130" s="85"/>
      <c r="C130" s="85"/>
      <c r="D130" s="90"/>
      <c r="E130" s="90"/>
      <c r="F130" s="89"/>
      <c r="G130" s="89"/>
      <c r="H130" s="85"/>
      <c r="I130" s="92"/>
      <c r="J130" s="84"/>
      <c r="K130" s="84"/>
      <c r="L130" s="84"/>
      <c r="M130" s="84"/>
      <c r="N130" s="170" t="s">
        <v>73</v>
      </c>
      <c r="O130" s="84"/>
      <c r="P130" s="171"/>
      <c r="Q130" s="85"/>
      <c r="R130" s="89" t="s">
        <v>73</v>
      </c>
      <c r="S130" s="51"/>
      <c r="T130" s="53"/>
      <c r="U130" s="53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  <c r="CH130" s="172"/>
      <c r="CI130" s="172"/>
      <c r="CJ130" s="172"/>
      <c r="CK130" s="172"/>
      <c r="CL130" s="172"/>
      <c r="CM130" s="172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2"/>
      <c r="DG130" s="172"/>
      <c r="DH130" s="172"/>
      <c r="DI130" s="172"/>
      <c r="DJ130" s="172"/>
      <c r="DK130" s="172"/>
      <c r="DL130" s="172"/>
      <c r="DM130" s="172"/>
      <c r="DN130" s="172"/>
      <c r="DO130" s="172"/>
      <c r="DP130" s="172"/>
      <c r="DQ130" s="172"/>
      <c r="DR130" s="172"/>
      <c r="DS130" s="172"/>
      <c r="DT130" s="172"/>
      <c r="DU130" s="172"/>
      <c r="DV130" s="172"/>
      <c r="DW130" s="172"/>
      <c r="DX130" s="172"/>
      <c r="DY130" s="172"/>
      <c r="DZ130" s="172"/>
      <c r="EA130" s="172"/>
      <c r="EB130" s="172"/>
      <c r="EC130" s="172"/>
      <c r="ED130" s="172"/>
      <c r="EE130" s="172"/>
      <c r="EF130" s="172"/>
      <c r="EG130" s="172"/>
      <c r="EH130" s="172"/>
      <c r="EI130" s="172"/>
      <c r="EJ130" s="172"/>
      <c r="EK130" s="172"/>
      <c r="EL130" s="172"/>
      <c r="EM130" s="172"/>
      <c r="EN130" s="172"/>
      <c r="EO130" s="172"/>
      <c r="EP130" s="172"/>
      <c r="EQ130" s="172"/>
      <c r="ER130" s="172"/>
      <c r="ES130" s="172"/>
      <c r="ET130" s="172"/>
      <c r="EU130" s="172"/>
      <c r="EV130" s="172"/>
      <c r="EW130" s="172"/>
      <c r="EX130" s="172"/>
      <c r="EY130" s="172"/>
      <c r="EZ130" s="172"/>
      <c r="FA130" s="172"/>
      <c r="FB130" s="172"/>
      <c r="FC130" s="172"/>
      <c r="FD130" s="172"/>
      <c r="FE130" s="172"/>
      <c r="FF130" s="172"/>
      <c r="FG130" s="172"/>
      <c r="FH130" s="172"/>
      <c r="FI130" s="172"/>
      <c r="FJ130" s="172"/>
      <c r="FK130" s="172"/>
      <c r="FL130" s="172"/>
      <c r="FM130" s="172"/>
      <c r="FN130" s="172"/>
      <c r="FO130" s="172"/>
      <c r="FP130" s="172"/>
      <c r="FQ130" s="172"/>
      <c r="FR130" s="172"/>
      <c r="FS130" s="172"/>
      <c r="FT130" s="172"/>
      <c r="FU130" s="172"/>
      <c r="FV130" s="172"/>
      <c r="FW130" s="172"/>
      <c r="FX130" s="172"/>
      <c r="FY130" s="172"/>
      <c r="FZ130" s="172"/>
      <c r="GA130" s="172"/>
      <c r="GB130" s="172"/>
      <c r="GC130" s="172"/>
      <c r="GD130" s="172"/>
      <c r="GE130" s="172"/>
      <c r="GF130" s="172"/>
      <c r="GG130" s="172"/>
      <c r="GH130" s="172"/>
      <c r="GI130" s="172"/>
      <c r="GJ130" s="172"/>
      <c r="GK130" s="172"/>
      <c r="GL130" s="172"/>
      <c r="GM130" s="172"/>
      <c r="GN130" s="172"/>
      <c r="GO130" s="172"/>
      <c r="GP130" s="172"/>
      <c r="GQ130" s="172"/>
      <c r="GR130" s="172"/>
      <c r="GS130" s="172"/>
      <c r="GT130" s="172"/>
      <c r="GU130" s="172"/>
      <c r="GV130" s="172"/>
      <c r="GW130" s="172"/>
      <c r="GX130" s="172"/>
      <c r="GY130" s="172"/>
      <c r="GZ130" s="172"/>
      <c r="HA130" s="172"/>
      <c r="HB130" s="172"/>
      <c r="HC130" s="172"/>
      <c r="HD130" s="172"/>
      <c r="HE130" s="172"/>
      <c r="HF130" s="172"/>
      <c r="HG130" s="172"/>
      <c r="HH130" s="172"/>
      <c r="HI130" s="172"/>
      <c r="HJ130" s="172"/>
      <c r="HK130" s="172"/>
      <c r="HL130" s="172"/>
      <c r="HM130" s="172"/>
      <c r="HN130" s="172"/>
      <c r="HO130" s="172"/>
      <c r="HP130" s="172"/>
      <c r="HQ130" s="172"/>
      <c r="HR130" s="172"/>
      <c r="HS130" s="172"/>
      <c r="HT130" s="172"/>
      <c r="HU130" s="172"/>
      <c r="HV130" s="172"/>
      <c r="HW130" s="172"/>
      <c r="HX130" s="172"/>
      <c r="HY130" s="172"/>
      <c r="HZ130" s="172"/>
      <c r="IA130" s="172"/>
      <c r="IB130" s="172"/>
      <c r="IC130" s="172"/>
      <c r="ID130" s="172"/>
      <c r="IE130" s="172"/>
      <c r="IF130" s="172"/>
      <c r="IG130" s="172"/>
      <c r="IH130" s="172"/>
      <c r="II130" s="172"/>
      <c r="IJ130" s="172"/>
      <c r="IK130" s="172"/>
      <c r="IL130" s="172"/>
      <c r="IM130" s="172"/>
      <c r="IN130" s="172"/>
      <c r="IO130" s="172"/>
      <c r="IP130" s="172"/>
      <c r="IQ130" s="172"/>
      <c r="IR130" s="172"/>
      <c r="IS130" s="172"/>
      <c r="IT130" s="172"/>
      <c r="IU130" s="172"/>
      <c r="IV130" s="172"/>
      <c r="IW130" s="172"/>
    </row>
    <row r="131" customFormat="false" ht="12.75" hidden="false" customHeight="false" outlineLevel="0" collapsed="false">
      <c r="A131" s="89"/>
      <c r="B131" s="85"/>
      <c r="C131" s="85"/>
      <c r="D131" s="90"/>
      <c r="E131" s="90"/>
      <c r="F131" s="89"/>
      <c r="G131" s="89"/>
      <c r="H131" s="85"/>
      <c r="I131" s="92"/>
      <c r="J131" s="84"/>
      <c r="K131" s="84"/>
      <c r="L131" s="84"/>
      <c r="M131" s="84"/>
      <c r="N131" s="93"/>
      <c r="O131" s="84"/>
      <c r="P131" s="171"/>
      <c r="Q131" s="85" t="n">
        <f aca="false">SUM(Q129:Q130)</f>
        <v>18000</v>
      </c>
      <c r="R131" s="89" t="s">
        <v>221</v>
      </c>
      <c r="S131" s="51" t="n">
        <f aca="false">SUM(S129:S130)</f>
        <v>5580</v>
      </c>
      <c r="T131" s="52"/>
      <c r="U131" s="53"/>
      <c r="V131" s="53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  <c r="CH131" s="172"/>
      <c r="CI131" s="172"/>
      <c r="CJ131" s="172"/>
      <c r="CK131" s="172"/>
      <c r="CL131" s="172"/>
      <c r="CM131" s="172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2"/>
      <c r="DG131" s="172"/>
      <c r="DH131" s="172"/>
      <c r="DI131" s="172"/>
      <c r="DJ131" s="172"/>
      <c r="DK131" s="172"/>
      <c r="DL131" s="172"/>
      <c r="DM131" s="172"/>
      <c r="DN131" s="172"/>
      <c r="DO131" s="172"/>
      <c r="DP131" s="172"/>
      <c r="DQ131" s="172"/>
      <c r="DR131" s="172"/>
      <c r="DS131" s="172"/>
      <c r="DT131" s="172"/>
      <c r="DU131" s="172"/>
      <c r="DV131" s="172"/>
      <c r="DW131" s="172"/>
      <c r="DX131" s="172"/>
      <c r="DY131" s="172"/>
      <c r="DZ131" s="172"/>
      <c r="EA131" s="172"/>
      <c r="EB131" s="172"/>
      <c r="EC131" s="172"/>
      <c r="ED131" s="172"/>
      <c r="EE131" s="172"/>
      <c r="EF131" s="172"/>
      <c r="EG131" s="172"/>
      <c r="EH131" s="172"/>
      <c r="EI131" s="172"/>
      <c r="EJ131" s="172"/>
      <c r="EK131" s="172"/>
      <c r="EL131" s="172"/>
      <c r="EM131" s="172"/>
      <c r="EN131" s="172"/>
      <c r="EO131" s="172"/>
      <c r="EP131" s="172"/>
      <c r="EQ131" s="172"/>
      <c r="ER131" s="172"/>
      <c r="ES131" s="172"/>
      <c r="ET131" s="172"/>
      <c r="EU131" s="172"/>
      <c r="EV131" s="172"/>
      <c r="EW131" s="172"/>
      <c r="EX131" s="172"/>
      <c r="EY131" s="172"/>
      <c r="EZ131" s="172"/>
      <c r="FA131" s="172"/>
      <c r="FB131" s="172"/>
      <c r="FC131" s="172"/>
      <c r="FD131" s="172"/>
      <c r="FE131" s="172"/>
      <c r="FF131" s="172"/>
      <c r="FG131" s="172"/>
      <c r="FH131" s="172"/>
      <c r="FI131" s="172"/>
      <c r="FJ131" s="172"/>
      <c r="FK131" s="172"/>
      <c r="FL131" s="172"/>
      <c r="FM131" s="172"/>
      <c r="FN131" s="172"/>
      <c r="FO131" s="172"/>
      <c r="FP131" s="172"/>
      <c r="FQ131" s="172"/>
      <c r="FR131" s="172"/>
      <c r="FS131" s="172"/>
      <c r="FT131" s="172"/>
      <c r="FU131" s="172"/>
      <c r="FV131" s="172"/>
      <c r="FW131" s="172"/>
      <c r="FX131" s="172"/>
      <c r="FY131" s="172"/>
      <c r="FZ131" s="172"/>
      <c r="GA131" s="172"/>
      <c r="GB131" s="172"/>
      <c r="GC131" s="172"/>
      <c r="GD131" s="172"/>
      <c r="GE131" s="172"/>
      <c r="GF131" s="172"/>
      <c r="GG131" s="172"/>
      <c r="GH131" s="172"/>
      <c r="GI131" s="172"/>
      <c r="GJ131" s="172"/>
      <c r="GK131" s="172"/>
      <c r="GL131" s="172"/>
      <c r="GM131" s="172"/>
      <c r="GN131" s="172"/>
      <c r="GO131" s="172"/>
      <c r="GP131" s="172"/>
      <c r="GQ131" s="172"/>
      <c r="GR131" s="172"/>
      <c r="GS131" s="172"/>
      <c r="GT131" s="172"/>
      <c r="GU131" s="172"/>
      <c r="GV131" s="172"/>
      <c r="GW131" s="172"/>
      <c r="GX131" s="172"/>
      <c r="GY131" s="172"/>
      <c r="GZ131" s="172"/>
      <c r="HA131" s="172"/>
      <c r="HB131" s="172"/>
      <c r="HC131" s="172"/>
      <c r="HD131" s="172"/>
      <c r="HE131" s="172"/>
      <c r="HF131" s="172"/>
      <c r="HG131" s="172"/>
      <c r="HH131" s="172"/>
      <c r="HI131" s="172"/>
      <c r="HJ131" s="172"/>
      <c r="HK131" s="172"/>
      <c r="HL131" s="172"/>
      <c r="HM131" s="172"/>
      <c r="HN131" s="172"/>
      <c r="HO131" s="172"/>
      <c r="HP131" s="172"/>
      <c r="HQ131" s="172"/>
      <c r="HR131" s="172"/>
      <c r="HS131" s="172"/>
      <c r="HT131" s="172"/>
      <c r="HU131" s="172"/>
      <c r="HV131" s="172"/>
      <c r="HW131" s="172"/>
      <c r="HX131" s="172"/>
      <c r="HY131" s="172"/>
      <c r="HZ131" s="172"/>
      <c r="IA131" s="172"/>
      <c r="IB131" s="172"/>
      <c r="IC131" s="172"/>
      <c r="ID131" s="172"/>
      <c r="IE131" s="172"/>
      <c r="IF131" s="172"/>
      <c r="IG131" s="172"/>
      <c r="IH131" s="172"/>
      <c r="II131" s="172"/>
      <c r="IJ131" s="172"/>
      <c r="IK131" s="172"/>
      <c r="IL131" s="172"/>
      <c r="IM131" s="172"/>
      <c r="IN131" s="172"/>
      <c r="IO131" s="172"/>
      <c r="IP131" s="172"/>
      <c r="IQ131" s="172"/>
      <c r="IR131" s="172"/>
      <c r="IS131" s="172"/>
      <c r="IT131" s="172"/>
      <c r="IU131" s="172"/>
      <c r="IV131" s="172"/>
      <c r="IW131" s="172"/>
    </row>
    <row r="132" customFormat="false" ht="12.75" hidden="false" customHeight="false" outlineLevel="0" collapsed="false">
      <c r="A132" s="33"/>
      <c r="B132" s="34"/>
      <c r="C132" s="34"/>
      <c r="D132" s="35"/>
      <c r="E132" s="35"/>
      <c r="F132" s="33"/>
      <c r="G132" s="33"/>
      <c r="H132" s="34"/>
      <c r="I132" s="36"/>
      <c r="J132" s="37"/>
      <c r="K132" s="37"/>
      <c r="L132" s="37"/>
      <c r="M132" s="37"/>
      <c r="N132" s="38"/>
      <c r="O132" s="37"/>
      <c r="P132" s="39"/>
      <c r="Q132" s="87"/>
      <c r="R132" s="89" t="s">
        <v>222</v>
      </c>
      <c r="S132" s="51" t="n">
        <v>0</v>
      </c>
      <c r="T132" s="41"/>
      <c r="U132" s="42"/>
      <c r="V132" s="42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3.5" hidden="false" customHeight="false" outlineLevel="0" collapsed="false">
      <c r="A133" s="33"/>
      <c r="B133" s="34"/>
      <c r="C133" s="34"/>
      <c r="D133" s="35"/>
      <c r="E133" s="35"/>
      <c r="F133" s="33"/>
      <c r="G133" s="33"/>
      <c r="H133" s="34"/>
      <c r="I133" s="36"/>
      <c r="J133" s="37"/>
      <c r="K133" s="37"/>
      <c r="L133" s="37"/>
      <c r="M133" s="37"/>
      <c r="N133" s="38"/>
      <c r="O133" s="37"/>
      <c r="P133" s="39"/>
      <c r="Q133" s="87"/>
      <c r="R133" s="89" t="s">
        <v>223</v>
      </c>
      <c r="S133" s="124" t="n">
        <f aca="false">+S131-S132</f>
        <v>5580</v>
      </c>
      <c r="T133" s="41"/>
      <c r="U133" s="42"/>
      <c r="V133" s="42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3.5" hidden="false" customHeight="false" outlineLevel="0" collapsed="false">
      <c r="A134" s="33"/>
      <c r="B134" s="34"/>
      <c r="C134" s="34"/>
      <c r="D134" s="35"/>
      <c r="E134" s="35"/>
      <c r="F134" s="33"/>
      <c r="G134" s="33"/>
      <c r="H134" s="34"/>
      <c r="I134" s="36"/>
      <c r="J134" s="37"/>
      <c r="K134" s="37"/>
      <c r="L134" s="37"/>
      <c r="M134" s="37"/>
      <c r="N134" s="38"/>
      <c r="O134" s="37"/>
      <c r="P134" s="39"/>
      <c r="Q134" s="34"/>
      <c r="R134" s="33"/>
      <c r="S134" s="40"/>
      <c r="T134" s="41"/>
      <c r="U134" s="42"/>
      <c r="V134" s="42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false" customHeight="false" outlineLevel="0" collapsed="false">
      <c r="A135" s="184" t="s">
        <v>172</v>
      </c>
      <c r="B135" s="185" t="s">
        <v>324</v>
      </c>
      <c r="C135" s="185" t="s">
        <v>174</v>
      </c>
      <c r="D135" s="186" t="s">
        <v>175</v>
      </c>
      <c r="E135" s="186"/>
      <c r="F135" s="184"/>
      <c r="G135" s="184"/>
      <c r="H135" s="185"/>
      <c r="I135" s="187" t="s">
        <v>179</v>
      </c>
      <c r="J135" s="185" t="s">
        <v>180</v>
      </c>
      <c r="K135" s="185" t="s">
        <v>181</v>
      </c>
      <c r="L135" s="185" t="s">
        <v>182</v>
      </c>
      <c r="M135" s="185" t="s">
        <v>183</v>
      </c>
      <c r="N135" s="185" t="s">
        <v>325</v>
      </c>
      <c r="O135" s="185" t="s">
        <v>185</v>
      </c>
      <c r="P135" s="188" t="s">
        <v>186</v>
      </c>
      <c r="Q135" s="185" t="s">
        <v>187</v>
      </c>
      <c r="R135" s="184" t="s">
        <v>188</v>
      </c>
      <c r="S135" s="189" t="s">
        <v>263</v>
      </c>
      <c r="T135" s="190"/>
      <c r="U135" s="190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1"/>
      <c r="AT135" s="191"/>
      <c r="AU135" s="191"/>
      <c r="AV135" s="191"/>
      <c r="AW135" s="191"/>
      <c r="AX135" s="191"/>
      <c r="AY135" s="191"/>
      <c r="AZ135" s="191"/>
      <c r="BA135" s="191"/>
      <c r="BB135" s="191"/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  <c r="BS135" s="191"/>
      <c r="BT135" s="191"/>
      <c r="BU135" s="191"/>
      <c r="BV135" s="191"/>
      <c r="BW135" s="191"/>
      <c r="BX135" s="191"/>
      <c r="BY135" s="191"/>
      <c r="BZ135" s="191"/>
      <c r="CA135" s="191"/>
      <c r="CB135" s="191"/>
      <c r="CC135" s="191"/>
      <c r="CD135" s="191"/>
      <c r="CE135" s="191"/>
      <c r="CF135" s="191"/>
      <c r="CG135" s="191"/>
      <c r="CH135" s="191"/>
      <c r="CI135" s="191"/>
      <c r="CJ135" s="191"/>
      <c r="CK135" s="191"/>
      <c r="CL135" s="191"/>
      <c r="CM135" s="191"/>
      <c r="CN135" s="191"/>
      <c r="CO135" s="191"/>
      <c r="CP135" s="191"/>
      <c r="CQ135" s="191"/>
      <c r="CR135" s="191"/>
      <c r="CS135" s="191"/>
      <c r="CT135" s="191"/>
      <c r="CU135" s="191"/>
      <c r="CV135" s="191"/>
      <c r="CW135" s="191"/>
      <c r="CX135" s="191"/>
      <c r="CY135" s="191"/>
      <c r="CZ135" s="191"/>
      <c r="DA135" s="191"/>
      <c r="DB135" s="191"/>
      <c r="DC135" s="191"/>
      <c r="DD135" s="191"/>
      <c r="DE135" s="191"/>
      <c r="DF135" s="191"/>
      <c r="DG135" s="191"/>
      <c r="DH135" s="191"/>
      <c r="DI135" s="191"/>
      <c r="DJ135" s="191"/>
      <c r="DK135" s="191"/>
      <c r="DL135" s="191"/>
      <c r="DM135" s="191"/>
      <c r="DN135" s="191"/>
      <c r="DO135" s="191"/>
      <c r="DP135" s="191"/>
      <c r="DQ135" s="191"/>
      <c r="DR135" s="191"/>
      <c r="DS135" s="191"/>
      <c r="DT135" s="191"/>
      <c r="DU135" s="191"/>
      <c r="DV135" s="191"/>
      <c r="DW135" s="191"/>
      <c r="DX135" s="191"/>
      <c r="DY135" s="191"/>
      <c r="DZ135" s="191"/>
      <c r="EA135" s="191"/>
      <c r="EB135" s="191"/>
      <c r="EC135" s="191"/>
      <c r="ED135" s="191"/>
      <c r="EE135" s="191"/>
      <c r="EF135" s="191"/>
      <c r="EG135" s="191"/>
      <c r="EH135" s="191"/>
      <c r="EI135" s="191"/>
      <c r="EJ135" s="191"/>
      <c r="EK135" s="191"/>
      <c r="EL135" s="191"/>
      <c r="EM135" s="191"/>
      <c r="EN135" s="191"/>
      <c r="EO135" s="191"/>
      <c r="EP135" s="191"/>
      <c r="EQ135" s="191"/>
      <c r="ER135" s="191"/>
      <c r="ES135" s="191"/>
      <c r="ET135" s="191"/>
      <c r="EU135" s="191"/>
      <c r="EV135" s="191"/>
      <c r="EW135" s="191"/>
      <c r="EX135" s="191"/>
      <c r="EY135" s="191"/>
      <c r="EZ135" s="191"/>
      <c r="FA135" s="191"/>
      <c r="FB135" s="191"/>
      <c r="FC135" s="191"/>
      <c r="FD135" s="191"/>
      <c r="FE135" s="191"/>
      <c r="FF135" s="191"/>
      <c r="FG135" s="191"/>
      <c r="FH135" s="191"/>
      <c r="FI135" s="191"/>
      <c r="FJ135" s="191"/>
      <c r="FK135" s="191"/>
      <c r="FL135" s="191"/>
      <c r="FM135" s="191"/>
      <c r="FN135" s="191"/>
      <c r="FO135" s="191"/>
      <c r="FP135" s="191"/>
      <c r="FQ135" s="191"/>
      <c r="FR135" s="191"/>
      <c r="FS135" s="191"/>
      <c r="FT135" s="191"/>
      <c r="FU135" s="191"/>
      <c r="FV135" s="191"/>
      <c r="FW135" s="191"/>
      <c r="FX135" s="191"/>
      <c r="FY135" s="191"/>
      <c r="FZ135" s="191"/>
      <c r="GA135" s="191"/>
      <c r="GB135" s="191"/>
      <c r="GC135" s="191"/>
      <c r="GD135" s="191"/>
      <c r="GE135" s="191"/>
      <c r="GF135" s="191"/>
      <c r="GG135" s="191"/>
      <c r="GH135" s="191"/>
      <c r="GI135" s="191"/>
      <c r="GJ135" s="191"/>
      <c r="GK135" s="191"/>
      <c r="GL135" s="191"/>
      <c r="GM135" s="191"/>
      <c r="GN135" s="191"/>
      <c r="GO135" s="191"/>
      <c r="GP135" s="191"/>
      <c r="GQ135" s="191"/>
      <c r="GR135" s="191"/>
      <c r="GS135" s="191"/>
      <c r="GT135" s="191"/>
      <c r="GU135" s="191"/>
      <c r="GV135" s="191"/>
      <c r="GW135" s="191"/>
      <c r="GX135" s="191"/>
      <c r="GY135" s="191"/>
      <c r="GZ135" s="191"/>
      <c r="HA135" s="191"/>
      <c r="HB135" s="191"/>
      <c r="HC135" s="191"/>
      <c r="HD135" s="191"/>
      <c r="HE135" s="191"/>
      <c r="HF135" s="191"/>
      <c r="HG135" s="191"/>
      <c r="HH135" s="191"/>
      <c r="HI135" s="191"/>
      <c r="HJ135" s="191"/>
      <c r="HK135" s="191"/>
      <c r="HL135" s="191"/>
      <c r="HM135" s="191"/>
      <c r="HN135" s="191"/>
      <c r="HO135" s="191"/>
      <c r="HP135" s="191"/>
      <c r="HQ135" s="191"/>
      <c r="HR135" s="191"/>
      <c r="HS135" s="191"/>
      <c r="HT135" s="191"/>
      <c r="HU135" s="191"/>
      <c r="HV135" s="191"/>
      <c r="HW135" s="191"/>
      <c r="HX135" s="191"/>
      <c r="HY135" s="191"/>
      <c r="HZ135" s="191"/>
      <c r="IA135" s="191"/>
      <c r="IB135" s="191"/>
      <c r="IC135" s="191"/>
      <c r="ID135" s="191"/>
      <c r="IE135" s="191"/>
      <c r="IF135" s="191"/>
      <c r="IG135" s="191"/>
      <c r="IH135" s="191"/>
      <c r="II135" s="191"/>
      <c r="IJ135" s="191"/>
      <c r="IK135" s="191"/>
      <c r="IL135" s="191"/>
      <c r="IM135" s="191"/>
      <c r="IN135" s="191"/>
      <c r="IO135" s="191"/>
      <c r="IP135" s="191"/>
      <c r="IQ135" s="191"/>
      <c r="IR135" s="191"/>
      <c r="IS135" s="191"/>
      <c r="IT135" s="191"/>
      <c r="IU135" s="191"/>
      <c r="IV135" s="191"/>
      <c r="IW135" s="191"/>
    </row>
    <row r="136" customFormat="false" ht="12.75" hidden="false" customHeight="false" outlineLevel="0" collapsed="false">
      <c r="A136" s="55" t="s">
        <v>326</v>
      </c>
      <c r="B136" s="192" t="s">
        <v>327</v>
      </c>
      <c r="C136" s="193" t="s">
        <v>251</v>
      </c>
      <c r="D136" s="194" t="n">
        <v>37043</v>
      </c>
      <c r="E136" s="194" t="n">
        <v>37346</v>
      </c>
      <c r="F136" s="55"/>
      <c r="G136" s="55"/>
      <c r="H136" s="192"/>
      <c r="I136" s="195"/>
      <c r="J136" s="196"/>
      <c r="K136" s="196"/>
      <c r="L136" s="196"/>
      <c r="M136" s="196"/>
      <c r="N136" s="196"/>
      <c r="O136" s="196"/>
      <c r="P136" s="197"/>
      <c r="Q136" s="193"/>
      <c r="R136" s="55"/>
      <c r="S136" s="198" t="n">
        <v>6162.8</v>
      </c>
      <c r="T136" s="199" t="n">
        <v>599646</v>
      </c>
      <c r="U136" s="199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  <c r="BI136" s="200"/>
      <c r="BJ136" s="200"/>
      <c r="BK136" s="200"/>
      <c r="BL136" s="200"/>
      <c r="BM136" s="200"/>
      <c r="BN136" s="200"/>
      <c r="BO136" s="200"/>
      <c r="BP136" s="200"/>
      <c r="BQ136" s="200"/>
      <c r="BR136" s="200"/>
      <c r="BS136" s="200"/>
      <c r="BT136" s="200"/>
      <c r="BU136" s="200"/>
      <c r="BV136" s="200"/>
      <c r="BW136" s="200"/>
      <c r="BX136" s="200"/>
      <c r="BY136" s="200"/>
      <c r="BZ136" s="200"/>
      <c r="CA136" s="200"/>
      <c r="CB136" s="200"/>
      <c r="CC136" s="200"/>
      <c r="CD136" s="200"/>
      <c r="CE136" s="200"/>
      <c r="CF136" s="200"/>
      <c r="CG136" s="200"/>
      <c r="CH136" s="200"/>
      <c r="CI136" s="200"/>
      <c r="CJ136" s="200"/>
      <c r="CK136" s="200"/>
      <c r="CL136" s="200"/>
      <c r="CM136" s="200"/>
      <c r="CN136" s="200"/>
      <c r="CO136" s="200"/>
      <c r="CP136" s="200"/>
      <c r="CQ136" s="200"/>
      <c r="CR136" s="200"/>
      <c r="CS136" s="200"/>
      <c r="CT136" s="200"/>
      <c r="CU136" s="200"/>
      <c r="CV136" s="200"/>
      <c r="CW136" s="200"/>
      <c r="CX136" s="200"/>
      <c r="CY136" s="200"/>
      <c r="CZ136" s="200"/>
      <c r="DA136" s="200"/>
      <c r="DB136" s="200"/>
      <c r="DC136" s="200"/>
      <c r="DD136" s="200"/>
      <c r="DE136" s="200"/>
      <c r="DF136" s="200"/>
      <c r="DG136" s="200"/>
      <c r="DH136" s="200"/>
      <c r="DI136" s="200"/>
      <c r="DJ136" s="200"/>
      <c r="DK136" s="200"/>
      <c r="DL136" s="200"/>
      <c r="DM136" s="200"/>
      <c r="DN136" s="200"/>
      <c r="DO136" s="200"/>
      <c r="DP136" s="200"/>
      <c r="DQ136" s="200"/>
      <c r="DR136" s="200"/>
      <c r="DS136" s="200"/>
      <c r="DT136" s="200"/>
      <c r="DU136" s="200"/>
      <c r="DV136" s="200"/>
      <c r="DW136" s="200"/>
      <c r="DX136" s="200"/>
      <c r="DY136" s="200"/>
      <c r="DZ136" s="200"/>
      <c r="EA136" s="200"/>
      <c r="EB136" s="200"/>
      <c r="EC136" s="200"/>
      <c r="ED136" s="200"/>
      <c r="EE136" s="200"/>
      <c r="EF136" s="200"/>
      <c r="EG136" s="200"/>
      <c r="EH136" s="200"/>
      <c r="EI136" s="200"/>
      <c r="EJ136" s="200"/>
      <c r="EK136" s="200"/>
      <c r="EL136" s="200"/>
      <c r="EM136" s="200"/>
      <c r="EN136" s="200"/>
      <c r="EO136" s="200"/>
      <c r="EP136" s="200"/>
      <c r="EQ136" s="200"/>
      <c r="ER136" s="200"/>
      <c r="ES136" s="200"/>
      <c r="ET136" s="200"/>
      <c r="EU136" s="200"/>
      <c r="EV136" s="200"/>
      <c r="EW136" s="200"/>
      <c r="EX136" s="200"/>
      <c r="EY136" s="200"/>
      <c r="EZ136" s="200"/>
      <c r="FA136" s="200"/>
      <c r="FB136" s="200"/>
      <c r="FC136" s="200"/>
      <c r="FD136" s="200"/>
      <c r="FE136" s="200"/>
      <c r="FF136" s="200"/>
      <c r="FG136" s="200"/>
      <c r="FH136" s="200"/>
      <c r="FI136" s="200"/>
      <c r="FJ136" s="200"/>
      <c r="FK136" s="200"/>
      <c r="FL136" s="200"/>
      <c r="FM136" s="200"/>
      <c r="FN136" s="200"/>
      <c r="FO136" s="200"/>
      <c r="FP136" s="200"/>
      <c r="FQ136" s="200"/>
      <c r="FR136" s="200"/>
      <c r="FS136" s="200"/>
      <c r="FT136" s="200"/>
      <c r="FU136" s="200"/>
      <c r="FV136" s="200"/>
      <c r="FW136" s="200"/>
      <c r="FX136" s="200"/>
      <c r="FY136" s="200"/>
      <c r="FZ136" s="200"/>
      <c r="GA136" s="200"/>
      <c r="GB136" s="200"/>
      <c r="GC136" s="200"/>
      <c r="GD136" s="200"/>
      <c r="GE136" s="200"/>
      <c r="GF136" s="200"/>
      <c r="GG136" s="200"/>
      <c r="GH136" s="200"/>
      <c r="GI136" s="200"/>
      <c r="GJ136" s="200"/>
      <c r="GK136" s="200"/>
      <c r="GL136" s="200"/>
      <c r="GM136" s="200"/>
      <c r="GN136" s="200"/>
      <c r="GO136" s="200"/>
      <c r="GP136" s="200"/>
      <c r="GQ136" s="200"/>
      <c r="GR136" s="200"/>
      <c r="GS136" s="200"/>
      <c r="GT136" s="200"/>
      <c r="GU136" s="200"/>
      <c r="GV136" s="200"/>
      <c r="GW136" s="200"/>
      <c r="GX136" s="200"/>
      <c r="GY136" s="200"/>
      <c r="GZ136" s="200"/>
      <c r="HA136" s="200"/>
      <c r="HB136" s="200"/>
      <c r="HC136" s="200"/>
      <c r="HD136" s="200"/>
      <c r="HE136" s="200"/>
      <c r="HF136" s="200"/>
      <c r="HG136" s="200"/>
      <c r="HH136" s="200"/>
      <c r="HI136" s="200"/>
      <c r="HJ136" s="200"/>
      <c r="HK136" s="200"/>
      <c r="HL136" s="200"/>
      <c r="HM136" s="200"/>
      <c r="HN136" s="200"/>
      <c r="HO136" s="200"/>
      <c r="HP136" s="200"/>
      <c r="HQ136" s="200"/>
      <c r="HR136" s="200"/>
      <c r="HS136" s="200"/>
      <c r="HT136" s="200"/>
      <c r="HU136" s="200"/>
      <c r="HV136" s="200"/>
      <c r="HW136" s="200"/>
      <c r="HX136" s="200"/>
      <c r="HY136" s="200"/>
      <c r="HZ136" s="200"/>
      <c r="IA136" s="200"/>
      <c r="IB136" s="200"/>
      <c r="IC136" s="200"/>
      <c r="ID136" s="200"/>
      <c r="IE136" s="200"/>
      <c r="IF136" s="200"/>
      <c r="IG136" s="200"/>
      <c r="IH136" s="200"/>
      <c r="II136" s="200"/>
      <c r="IJ136" s="200"/>
      <c r="IK136" s="200"/>
      <c r="IL136" s="200"/>
      <c r="IM136" s="200"/>
      <c r="IN136" s="200"/>
      <c r="IO136" s="200"/>
      <c r="IP136" s="200"/>
      <c r="IQ136" s="200"/>
      <c r="IR136" s="200"/>
      <c r="IS136" s="200"/>
      <c r="IT136" s="200"/>
      <c r="IU136" s="200"/>
      <c r="IV136" s="200"/>
      <c r="IW136" s="200"/>
    </row>
    <row r="137" customFormat="false" ht="12.75" hidden="false" customHeight="false" outlineLevel="0" collapsed="false">
      <c r="A137" s="55" t="s">
        <v>326</v>
      </c>
      <c r="B137" s="192" t="s">
        <v>327</v>
      </c>
      <c r="C137" s="193" t="s">
        <v>328</v>
      </c>
      <c r="D137" s="194" t="n">
        <v>37043</v>
      </c>
      <c r="E137" s="194" t="n">
        <v>37164</v>
      </c>
      <c r="F137" s="55"/>
      <c r="G137" s="55"/>
      <c r="H137" s="192"/>
      <c r="I137" s="195"/>
      <c r="J137" s="196"/>
      <c r="K137" s="196"/>
      <c r="L137" s="196"/>
      <c r="M137" s="196"/>
      <c r="N137" s="196"/>
      <c r="O137" s="196"/>
      <c r="P137" s="197"/>
      <c r="Q137" s="193"/>
      <c r="R137" s="55"/>
      <c r="S137" s="198" t="n">
        <v>7085</v>
      </c>
      <c r="T137" s="199" t="n">
        <v>599653</v>
      </c>
      <c r="U137" s="199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200"/>
      <c r="BU137" s="200"/>
      <c r="BV137" s="200"/>
      <c r="BW137" s="200"/>
      <c r="BX137" s="200"/>
      <c r="BY137" s="200"/>
      <c r="BZ137" s="200"/>
      <c r="CA137" s="200"/>
      <c r="CB137" s="200"/>
      <c r="CC137" s="200"/>
      <c r="CD137" s="200"/>
      <c r="CE137" s="200"/>
      <c r="CF137" s="200"/>
      <c r="CG137" s="200"/>
      <c r="CH137" s="200"/>
      <c r="CI137" s="200"/>
      <c r="CJ137" s="200"/>
      <c r="CK137" s="200"/>
      <c r="CL137" s="200"/>
      <c r="CM137" s="200"/>
      <c r="CN137" s="200"/>
      <c r="CO137" s="200"/>
      <c r="CP137" s="200"/>
      <c r="CQ137" s="200"/>
      <c r="CR137" s="200"/>
      <c r="CS137" s="200"/>
      <c r="CT137" s="200"/>
      <c r="CU137" s="200"/>
      <c r="CV137" s="200"/>
      <c r="CW137" s="200"/>
      <c r="CX137" s="200"/>
      <c r="CY137" s="200"/>
      <c r="CZ137" s="200"/>
      <c r="DA137" s="200"/>
      <c r="DB137" s="200"/>
      <c r="DC137" s="200"/>
      <c r="DD137" s="200"/>
      <c r="DE137" s="200"/>
      <c r="DF137" s="200"/>
      <c r="DG137" s="200"/>
      <c r="DH137" s="200"/>
      <c r="DI137" s="200"/>
      <c r="DJ137" s="200"/>
      <c r="DK137" s="200"/>
      <c r="DL137" s="200"/>
      <c r="DM137" s="200"/>
      <c r="DN137" s="200"/>
      <c r="DO137" s="200"/>
      <c r="DP137" s="200"/>
      <c r="DQ137" s="200"/>
      <c r="DR137" s="200"/>
      <c r="DS137" s="200"/>
      <c r="DT137" s="200"/>
      <c r="DU137" s="200"/>
      <c r="DV137" s="200"/>
      <c r="DW137" s="200"/>
      <c r="DX137" s="200"/>
      <c r="DY137" s="200"/>
      <c r="DZ137" s="200"/>
      <c r="EA137" s="200"/>
      <c r="EB137" s="200"/>
      <c r="EC137" s="200"/>
      <c r="ED137" s="200"/>
      <c r="EE137" s="200"/>
      <c r="EF137" s="200"/>
      <c r="EG137" s="200"/>
      <c r="EH137" s="200"/>
      <c r="EI137" s="200"/>
      <c r="EJ137" s="200"/>
      <c r="EK137" s="200"/>
      <c r="EL137" s="200"/>
      <c r="EM137" s="200"/>
      <c r="EN137" s="200"/>
      <c r="EO137" s="200"/>
      <c r="EP137" s="200"/>
      <c r="EQ137" s="200"/>
      <c r="ER137" s="200"/>
      <c r="ES137" s="200"/>
      <c r="ET137" s="200"/>
      <c r="EU137" s="200"/>
      <c r="EV137" s="200"/>
      <c r="EW137" s="200"/>
      <c r="EX137" s="200"/>
      <c r="EY137" s="200"/>
      <c r="EZ137" s="200"/>
      <c r="FA137" s="200"/>
      <c r="FB137" s="200"/>
      <c r="FC137" s="200"/>
      <c r="FD137" s="200"/>
      <c r="FE137" s="200"/>
      <c r="FF137" s="200"/>
      <c r="FG137" s="200"/>
      <c r="FH137" s="200"/>
      <c r="FI137" s="200"/>
      <c r="FJ137" s="200"/>
      <c r="FK137" s="200"/>
      <c r="FL137" s="200"/>
      <c r="FM137" s="200"/>
      <c r="FN137" s="200"/>
      <c r="FO137" s="200"/>
      <c r="FP137" s="200"/>
      <c r="FQ137" s="200"/>
      <c r="FR137" s="200"/>
      <c r="FS137" s="200"/>
      <c r="FT137" s="200"/>
      <c r="FU137" s="200"/>
      <c r="FV137" s="200"/>
      <c r="FW137" s="200"/>
      <c r="FX137" s="200"/>
      <c r="FY137" s="200"/>
      <c r="FZ137" s="200"/>
      <c r="GA137" s="200"/>
      <c r="GB137" s="200"/>
      <c r="GC137" s="200"/>
      <c r="GD137" s="200"/>
      <c r="GE137" s="200"/>
      <c r="GF137" s="200"/>
      <c r="GG137" s="200"/>
      <c r="GH137" s="200"/>
      <c r="GI137" s="200"/>
      <c r="GJ137" s="200"/>
      <c r="GK137" s="200"/>
      <c r="GL137" s="200"/>
      <c r="GM137" s="200"/>
      <c r="GN137" s="200"/>
      <c r="GO137" s="200"/>
      <c r="GP137" s="200"/>
      <c r="GQ137" s="200"/>
      <c r="GR137" s="200"/>
      <c r="GS137" s="200"/>
      <c r="GT137" s="200"/>
      <c r="GU137" s="200"/>
      <c r="GV137" s="200"/>
      <c r="GW137" s="200"/>
      <c r="GX137" s="200"/>
      <c r="GY137" s="200"/>
      <c r="GZ137" s="200"/>
      <c r="HA137" s="200"/>
      <c r="HB137" s="200"/>
      <c r="HC137" s="200"/>
      <c r="HD137" s="200"/>
      <c r="HE137" s="200"/>
      <c r="HF137" s="200"/>
      <c r="HG137" s="200"/>
      <c r="HH137" s="200"/>
      <c r="HI137" s="200"/>
      <c r="HJ137" s="200"/>
      <c r="HK137" s="200"/>
      <c r="HL137" s="200"/>
      <c r="HM137" s="200"/>
      <c r="HN137" s="200"/>
      <c r="HO137" s="200"/>
      <c r="HP137" s="200"/>
      <c r="HQ137" s="200"/>
      <c r="HR137" s="200"/>
      <c r="HS137" s="200"/>
      <c r="HT137" s="200"/>
      <c r="HU137" s="200"/>
      <c r="HV137" s="200"/>
      <c r="HW137" s="200"/>
      <c r="HX137" s="200"/>
      <c r="HY137" s="200"/>
      <c r="HZ137" s="200"/>
      <c r="IA137" s="200"/>
      <c r="IB137" s="200"/>
      <c r="IC137" s="200"/>
      <c r="ID137" s="200"/>
      <c r="IE137" s="200"/>
      <c r="IF137" s="200"/>
      <c r="IG137" s="200"/>
      <c r="IH137" s="200"/>
      <c r="II137" s="200"/>
      <c r="IJ137" s="200"/>
      <c r="IK137" s="200"/>
      <c r="IL137" s="200"/>
      <c r="IM137" s="200"/>
      <c r="IN137" s="200"/>
      <c r="IO137" s="200"/>
      <c r="IP137" s="200"/>
      <c r="IQ137" s="200"/>
      <c r="IR137" s="200"/>
      <c r="IS137" s="200"/>
      <c r="IT137" s="200"/>
      <c r="IU137" s="200"/>
      <c r="IV137" s="200"/>
      <c r="IW137" s="200"/>
    </row>
    <row r="138" customFormat="false" ht="12.75" hidden="false" customHeight="false" outlineLevel="0" collapsed="false">
      <c r="A138" s="200"/>
      <c r="B138" s="200"/>
      <c r="C138" s="200"/>
      <c r="D138" s="200"/>
      <c r="E138" s="200"/>
      <c r="F138" s="201"/>
      <c r="G138" s="201"/>
      <c r="H138" s="200"/>
      <c r="I138" s="200"/>
      <c r="J138" s="200"/>
      <c r="K138" s="200"/>
      <c r="L138" s="200"/>
      <c r="M138" s="200"/>
      <c r="N138" s="200"/>
      <c r="O138" s="200"/>
      <c r="P138" s="202"/>
      <c r="Q138" s="202"/>
      <c r="R138" s="200"/>
      <c r="S138" s="203"/>
      <c r="T138" s="204"/>
      <c r="U138" s="204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  <c r="DY138" s="200"/>
      <c r="DZ138" s="200"/>
      <c r="EA138" s="200"/>
      <c r="EB138" s="200"/>
      <c r="EC138" s="200"/>
      <c r="ED138" s="200"/>
      <c r="EE138" s="200"/>
      <c r="EF138" s="200"/>
      <c r="EG138" s="200"/>
      <c r="EH138" s="200"/>
      <c r="EI138" s="200"/>
      <c r="EJ138" s="200"/>
      <c r="EK138" s="200"/>
      <c r="EL138" s="200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200"/>
      <c r="EZ138" s="200"/>
      <c r="FA138" s="200"/>
      <c r="FB138" s="200"/>
      <c r="FC138" s="200"/>
      <c r="FD138" s="200"/>
      <c r="FE138" s="200"/>
      <c r="FF138" s="200"/>
      <c r="FG138" s="200"/>
      <c r="FH138" s="200"/>
      <c r="FI138" s="200"/>
      <c r="FJ138" s="200"/>
      <c r="FK138" s="200"/>
      <c r="FL138" s="200"/>
      <c r="FM138" s="200"/>
      <c r="FN138" s="200"/>
      <c r="FO138" s="200"/>
      <c r="FP138" s="200"/>
      <c r="FQ138" s="200"/>
      <c r="FR138" s="200"/>
      <c r="FS138" s="200"/>
      <c r="FT138" s="200"/>
      <c r="FU138" s="200"/>
      <c r="FV138" s="200"/>
      <c r="FW138" s="200"/>
      <c r="FX138" s="200"/>
      <c r="FY138" s="200"/>
      <c r="FZ138" s="200"/>
      <c r="GA138" s="200"/>
      <c r="GB138" s="200"/>
      <c r="GC138" s="200"/>
      <c r="GD138" s="200"/>
      <c r="GE138" s="200"/>
      <c r="GF138" s="200"/>
      <c r="GG138" s="200"/>
      <c r="GH138" s="200"/>
      <c r="GI138" s="200"/>
      <c r="GJ138" s="200"/>
      <c r="GK138" s="200"/>
      <c r="GL138" s="200"/>
      <c r="GM138" s="200"/>
      <c r="GN138" s="200"/>
      <c r="GO138" s="200"/>
      <c r="GP138" s="200"/>
      <c r="GQ138" s="200"/>
      <c r="GR138" s="200"/>
      <c r="GS138" s="200"/>
      <c r="GT138" s="200"/>
      <c r="GU138" s="200"/>
      <c r="GV138" s="200"/>
      <c r="GW138" s="200"/>
      <c r="GX138" s="200"/>
      <c r="GY138" s="200"/>
      <c r="GZ138" s="200"/>
      <c r="HA138" s="200"/>
      <c r="HB138" s="200"/>
      <c r="HC138" s="200"/>
      <c r="HD138" s="200"/>
      <c r="HE138" s="200"/>
      <c r="HF138" s="200"/>
      <c r="HG138" s="200"/>
      <c r="HH138" s="200"/>
      <c r="HI138" s="200"/>
      <c r="HJ138" s="200"/>
      <c r="HK138" s="200"/>
      <c r="HL138" s="200"/>
      <c r="HM138" s="200"/>
      <c r="HN138" s="200"/>
      <c r="HO138" s="200"/>
      <c r="HP138" s="200"/>
      <c r="HQ138" s="200"/>
      <c r="HR138" s="200"/>
      <c r="HS138" s="200"/>
      <c r="HT138" s="200"/>
      <c r="HU138" s="200"/>
      <c r="HV138" s="200"/>
      <c r="HW138" s="200"/>
      <c r="HX138" s="200"/>
      <c r="HY138" s="200"/>
      <c r="HZ138" s="200"/>
      <c r="IA138" s="200"/>
      <c r="IB138" s="200"/>
      <c r="IC138" s="200"/>
      <c r="ID138" s="200"/>
      <c r="IE138" s="200"/>
      <c r="IF138" s="200"/>
      <c r="IG138" s="200"/>
      <c r="IH138" s="200"/>
      <c r="II138" s="200"/>
      <c r="IJ138" s="200"/>
      <c r="IK138" s="200"/>
      <c r="IL138" s="200"/>
      <c r="IM138" s="200"/>
      <c r="IN138" s="200"/>
      <c r="IO138" s="200"/>
      <c r="IP138" s="200"/>
      <c r="IQ138" s="200"/>
      <c r="IR138" s="200"/>
      <c r="IS138" s="200"/>
      <c r="IT138" s="200"/>
      <c r="IU138" s="200"/>
      <c r="IV138" s="200"/>
      <c r="IW138" s="200"/>
    </row>
    <row r="139" customFormat="false" ht="12.75" hidden="false" customHeight="false" outlineLevel="0" collapsed="false">
      <c r="A139" s="205"/>
      <c r="B139" s="206"/>
      <c r="C139" s="206"/>
      <c r="D139" s="207"/>
      <c r="E139" s="207"/>
      <c r="F139" s="205"/>
      <c r="G139" s="205"/>
      <c r="H139" s="206"/>
      <c r="I139" s="208"/>
      <c r="J139" s="209"/>
      <c r="K139" s="209"/>
      <c r="L139" s="209"/>
      <c r="M139" s="209"/>
      <c r="N139" s="210"/>
      <c r="O139" s="209"/>
      <c r="P139" s="211"/>
      <c r="Q139" s="206"/>
      <c r="R139" s="205" t="s">
        <v>221</v>
      </c>
      <c r="S139" s="212" t="n">
        <f aca="false">SUM(S136:S138)</f>
        <v>13247.8</v>
      </c>
      <c r="T139" s="213"/>
      <c r="U139" s="214"/>
      <c r="V139" s="214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215"/>
      <c r="BN139" s="215"/>
      <c r="BO139" s="215"/>
      <c r="BP139" s="215"/>
      <c r="BQ139" s="215"/>
      <c r="BR139" s="215"/>
      <c r="BS139" s="215"/>
      <c r="BT139" s="215"/>
      <c r="BU139" s="215"/>
      <c r="BV139" s="215"/>
      <c r="BW139" s="215"/>
      <c r="BX139" s="215"/>
      <c r="BY139" s="215"/>
      <c r="BZ139" s="215"/>
      <c r="CA139" s="215"/>
      <c r="CB139" s="215"/>
      <c r="CC139" s="215"/>
      <c r="CD139" s="215"/>
      <c r="CE139" s="215"/>
      <c r="CF139" s="215"/>
      <c r="CG139" s="215"/>
      <c r="CH139" s="215"/>
      <c r="CI139" s="215"/>
      <c r="CJ139" s="215"/>
      <c r="CK139" s="215"/>
      <c r="CL139" s="215"/>
      <c r="CM139" s="215"/>
      <c r="CN139" s="215"/>
      <c r="CO139" s="215"/>
      <c r="CP139" s="215"/>
      <c r="CQ139" s="215"/>
      <c r="CR139" s="215"/>
      <c r="CS139" s="215"/>
      <c r="CT139" s="215"/>
      <c r="CU139" s="215"/>
      <c r="CV139" s="215"/>
      <c r="CW139" s="215"/>
      <c r="CX139" s="215"/>
      <c r="CY139" s="215"/>
      <c r="CZ139" s="215"/>
      <c r="DA139" s="215"/>
      <c r="DB139" s="215"/>
      <c r="DC139" s="215"/>
      <c r="DD139" s="215"/>
      <c r="DE139" s="215"/>
      <c r="DF139" s="215"/>
      <c r="DG139" s="215"/>
      <c r="DH139" s="215"/>
      <c r="DI139" s="215"/>
      <c r="DJ139" s="215"/>
      <c r="DK139" s="215"/>
      <c r="DL139" s="215"/>
      <c r="DM139" s="215"/>
      <c r="DN139" s="215"/>
      <c r="DO139" s="215"/>
      <c r="DP139" s="215"/>
      <c r="DQ139" s="215"/>
      <c r="DR139" s="215"/>
      <c r="DS139" s="215"/>
      <c r="DT139" s="215"/>
      <c r="DU139" s="215"/>
      <c r="DV139" s="215"/>
      <c r="DW139" s="215"/>
      <c r="DX139" s="215"/>
      <c r="DY139" s="215"/>
      <c r="DZ139" s="215"/>
      <c r="EA139" s="215"/>
      <c r="EB139" s="215"/>
      <c r="EC139" s="215"/>
      <c r="ED139" s="215"/>
      <c r="EE139" s="215"/>
      <c r="EF139" s="215"/>
      <c r="EG139" s="215"/>
      <c r="EH139" s="215"/>
      <c r="EI139" s="215"/>
      <c r="EJ139" s="215"/>
      <c r="EK139" s="215"/>
      <c r="EL139" s="215"/>
      <c r="EM139" s="215"/>
      <c r="EN139" s="215"/>
      <c r="EO139" s="215"/>
      <c r="EP139" s="215"/>
      <c r="EQ139" s="215"/>
      <c r="ER139" s="215"/>
      <c r="ES139" s="215"/>
      <c r="ET139" s="215"/>
      <c r="EU139" s="215"/>
      <c r="EV139" s="215"/>
      <c r="EW139" s="215"/>
      <c r="EX139" s="215"/>
      <c r="EY139" s="215"/>
      <c r="EZ139" s="215"/>
      <c r="FA139" s="215"/>
      <c r="FB139" s="215"/>
      <c r="FC139" s="215"/>
      <c r="FD139" s="215"/>
      <c r="FE139" s="215"/>
      <c r="FF139" s="215"/>
      <c r="FG139" s="215"/>
      <c r="FH139" s="215"/>
      <c r="FI139" s="215"/>
      <c r="FJ139" s="215"/>
      <c r="FK139" s="215"/>
      <c r="FL139" s="215"/>
      <c r="FM139" s="215"/>
      <c r="FN139" s="215"/>
      <c r="FO139" s="215"/>
      <c r="FP139" s="215"/>
      <c r="FQ139" s="215"/>
      <c r="FR139" s="215"/>
      <c r="FS139" s="215"/>
      <c r="FT139" s="215"/>
      <c r="FU139" s="215"/>
      <c r="FV139" s="215"/>
      <c r="FW139" s="215"/>
      <c r="FX139" s="215"/>
      <c r="FY139" s="215"/>
      <c r="FZ139" s="215"/>
      <c r="GA139" s="215"/>
      <c r="GB139" s="215"/>
      <c r="GC139" s="215"/>
      <c r="GD139" s="215"/>
      <c r="GE139" s="215"/>
      <c r="GF139" s="215"/>
      <c r="GG139" s="215"/>
      <c r="GH139" s="215"/>
      <c r="GI139" s="215"/>
      <c r="GJ139" s="215"/>
      <c r="GK139" s="215"/>
      <c r="GL139" s="215"/>
      <c r="GM139" s="215"/>
      <c r="GN139" s="215"/>
      <c r="GO139" s="215"/>
      <c r="GP139" s="215"/>
      <c r="GQ139" s="215"/>
      <c r="GR139" s="215"/>
      <c r="GS139" s="215"/>
      <c r="GT139" s="215"/>
      <c r="GU139" s="215"/>
      <c r="GV139" s="215"/>
      <c r="GW139" s="215"/>
      <c r="GX139" s="215"/>
      <c r="GY139" s="215"/>
      <c r="GZ139" s="215"/>
      <c r="HA139" s="215"/>
      <c r="HB139" s="215"/>
      <c r="HC139" s="215"/>
      <c r="HD139" s="215"/>
      <c r="HE139" s="215"/>
      <c r="HF139" s="215"/>
      <c r="HG139" s="215"/>
      <c r="HH139" s="215"/>
      <c r="HI139" s="215"/>
      <c r="HJ139" s="215"/>
      <c r="HK139" s="215"/>
      <c r="HL139" s="215"/>
      <c r="HM139" s="215"/>
      <c r="HN139" s="215"/>
      <c r="HO139" s="215"/>
      <c r="HP139" s="215"/>
      <c r="HQ139" s="215"/>
      <c r="HR139" s="215"/>
      <c r="HS139" s="215"/>
      <c r="HT139" s="215"/>
      <c r="HU139" s="215"/>
      <c r="HV139" s="215"/>
      <c r="HW139" s="215"/>
      <c r="HX139" s="215"/>
      <c r="HY139" s="215"/>
      <c r="HZ139" s="215"/>
      <c r="IA139" s="215"/>
      <c r="IB139" s="215"/>
      <c r="IC139" s="215"/>
      <c r="ID139" s="215"/>
      <c r="IE139" s="215"/>
      <c r="IF139" s="215"/>
      <c r="IG139" s="215"/>
      <c r="IH139" s="215"/>
      <c r="II139" s="215"/>
      <c r="IJ139" s="215"/>
      <c r="IK139" s="215"/>
      <c r="IL139" s="215"/>
      <c r="IM139" s="215"/>
      <c r="IN139" s="215"/>
      <c r="IO139" s="215"/>
      <c r="IP139" s="215"/>
      <c r="IQ139" s="215"/>
      <c r="IR139" s="215"/>
      <c r="IS139" s="215"/>
      <c r="IT139" s="215"/>
      <c r="IU139" s="215"/>
      <c r="IV139" s="215"/>
      <c r="IW139" s="215"/>
    </row>
    <row r="140" customFormat="false" ht="12.75" hidden="false" customHeight="false" outlineLevel="0" collapsed="false">
      <c r="A140" s="55"/>
      <c r="B140" s="193"/>
      <c r="C140" s="193"/>
      <c r="D140" s="194"/>
      <c r="E140" s="194"/>
      <c r="F140" s="55"/>
      <c r="G140" s="55"/>
      <c r="H140" s="193"/>
      <c r="I140" s="195"/>
      <c r="J140" s="196"/>
      <c r="K140" s="196"/>
      <c r="L140" s="196"/>
      <c r="M140" s="196"/>
      <c r="N140" s="216"/>
      <c r="O140" s="196"/>
      <c r="P140" s="217"/>
      <c r="Q140" s="218"/>
      <c r="R140" s="205" t="s">
        <v>222</v>
      </c>
      <c r="S140" s="212" t="n">
        <v>0</v>
      </c>
      <c r="T140" s="219"/>
      <c r="U140" s="199"/>
      <c r="V140" s="199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  <c r="DK140" s="202"/>
      <c r="DL140" s="202"/>
      <c r="DM140" s="202"/>
      <c r="DN140" s="202"/>
      <c r="DO140" s="202"/>
      <c r="DP140" s="202"/>
      <c r="DQ140" s="202"/>
      <c r="DR140" s="202"/>
      <c r="DS140" s="202"/>
      <c r="DT140" s="202"/>
      <c r="DU140" s="202"/>
      <c r="DV140" s="202"/>
      <c r="DW140" s="202"/>
      <c r="DX140" s="202"/>
      <c r="DY140" s="202"/>
      <c r="DZ140" s="202"/>
      <c r="EA140" s="202"/>
      <c r="EB140" s="202"/>
      <c r="EC140" s="202"/>
      <c r="ED140" s="202"/>
      <c r="EE140" s="202"/>
      <c r="EF140" s="202"/>
      <c r="EG140" s="202"/>
      <c r="EH140" s="202"/>
      <c r="EI140" s="202"/>
      <c r="EJ140" s="202"/>
      <c r="EK140" s="202"/>
      <c r="EL140" s="202"/>
      <c r="EM140" s="202"/>
      <c r="EN140" s="202"/>
      <c r="EO140" s="202"/>
      <c r="EP140" s="202"/>
      <c r="EQ140" s="202"/>
      <c r="ER140" s="202"/>
      <c r="ES140" s="202"/>
      <c r="ET140" s="202"/>
      <c r="EU140" s="202"/>
      <c r="EV140" s="202"/>
      <c r="EW140" s="202"/>
      <c r="EX140" s="202"/>
      <c r="EY140" s="202"/>
      <c r="EZ140" s="202"/>
      <c r="FA140" s="202"/>
      <c r="FB140" s="202"/>
      <c r="FC140" s="202"/>
      <c r="FD140" s="202"/>
      <c r="FE140" s="202"/>
      <c r="FF140" s="202"/>
      <c r="FG140" s="202"/>
      <c r="FH140" s="202"/>
      <c r="FI140" s="202"/>
      <c r="FJ140" s="202"/>
      <c r="FK140" s="202"/>
      <c r="FL140" s="202"/>
      <c r="FM140" s="202"/>
      <c r="FN140" s="202"/>
      <c r="FO140" s="202"/>
      <c r="FP140" s="202"/>
      <c r="FQ140" s="202"/>
      <c r="FR140" s="202"/>
      <c r="FS140" s="202"/>
      <c r="FT140" s="202"/>
      <c r="FU140" s="202"/>
      <c r="FV140" s="202"/>
      <c r="FW140" s="202"/>
      <c r="FX140" s="202"/>
      <c r="FY140" s="202"/>
      <c r="FZ140" s="202"/>
      <c r="GA140" s="202"/>
      <c r="GB140" s="202"/>
      <c r="GC140" s="202"/>
      <c r="GD140" s="202"/>
      <c r="GE140" s="202"/>
      <c r="GF140" s="202"/>
      <c r="GG140" s="202"/>
      <c r="GH140" s="202"/>
      <c r="GI140" s="202"/>
      <c r="GJ140" s="202"/>
      <c r="GK140" s="202"/>
      <c r="GL140" s="202"/>
      <c r="GM140" s="202"/>
      <c r="GN140" s="202"/>
      <c r="GO140" s="202"/>
      <c r="GP140" s="202"/>
      <c r="GQ140" s="202"/>
      <c r="GR140" s="202"/>
      <c r="GS140" s="202"/>
      <c r="GT140" s="202"/>
      <c r="GU140" s="202"/>
      <c r="GV140" s="202"/>
      <c r="GW140" s="202"/>
      <c r="GX140" s="202"/>
      <c r="GY140" s="202"/>
      <c r="GZ140" s="202"/>
      <c r="HA140" s="202"/>
      <c r="HB140" s="202"/>
      <c r="HC140" s="202"/>
      <c r="HD140" s="202"/>
      <c r="HE140" s="202"/>
      <c r="HF140" s="202"/>
      <c r="HG140" s="202"/>
      <c r="HH140" s="202"/>
      <c r="HI140" s="202"/>
      <c r="HJ140" s="202"/>
      <c r="HK140" s="202"/>
      <c r="HL140" s="202"/>
      <c r="HM140" s="202"/>
      <c r="HN140" s="202"/>
      <c r="HO140" s="202"/>
      <c r="HP140" s="202"/>
      <c r="HQ140" s="202"/>
      <c r="HR140" s="202"/>
      <c r="HS140" s="202"/>
      <c r="HT140" s="202"/>
      <c r="HU140" s="202"/>
      <c r="HV140" s="202"/>
      <c r="HW140" s="202"/>
      <c r="HX140" s="202"/>
      <c r="HY140" s="202"/>
      <c r="HZ140" s="202"/>
      <c r="IA140" s="202"/>
      <c r="IB140" s="202"/>
      <c r="IC140" s="202"/>
      <c r="ID140" s="202"/>
      <c r="IE140" s="202"/>
      <c r="IF140" s="202"/>
      <c r="IG140" s="202"/>
      <c r="IH140" s="202"/>
      <c r="II140" s="202"/>
      <c r="IJ140" s="202"/>
      <c r="IK140" s="202"/>
      <c r="IL140" s="202"/>
      <c r="IM140" s="202"/>
      <c r="IN140" s="202"/>
      <c r="IO140" s="202"/>
      <c r="IP140" s="202"/>
      <c r="IQ140" s="202"/>
      <c r="IR140" s="202"/>
      <c r="IS140" s="202"/>
      <c r="IT140" s="202"/>
      <c r="IU140" s="202"/>
      <c r="IV140" s="202"/>
      <c r="IW140" s="202"/>
    </row>
    <row r="141" customFormat="false" ht="13.5" hidden="false" customHeight="false" outlineLevel="0" collapsed="false">
      <c r="A141" s="55"/>
      <c r="B141" s="193"/>
      <c r="C141" s="193"/>
      <c r="D141" s="194"/>
      <c r="E141" s="194"/>
      <c r="F141" s="55"/>
      <c r="G141" s="55"/>
      <c r="H141" s="193"/>
      <c r="I141" s="195"/>
      <c r="J141" s="196"/>
      <c r="K141" s="196"/>
      <c r="L141" s="196"/>
      <c r="M141" s="196"/>
      <c r="N141" s="216"/>
      <c r="O141" s="196"/>
      <c r="P141" s="217"/>
      <c r="Q141" s="218"/>
      <c r="R141" s="205" t="s">
        <v>223</v>
      </c>
      <c r="S141" s="220" t="n">
        <f aca="false">+S139-S140</f>
        <v>13247.8</v>
      </c>
      <c r="T141" s="219"/>
      <c r="U141" s="199"/>
      <c r="V141" s="199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  <c r="DI141" s="202"/>
      <c r="DJ141" s="202"/>
      <c r="DK141" s="202"/>
      <c r="DL141" s="202"/>
      <c r="DM141" s="202"/>
      <c r="DN141" s="202"/>
      <c r="DO141" s="202"/>
      <c r="DP141" s="202"/>
      <c r="DQ141" s="202"/>
      <c r="DR141" s="202"/>
      <c r="DS141" s="202"/>
      <c r="DT141" s="202"/>
      <c r="DU141" s="202"/>
      <c r="DV141" s="202"/>
      <c r="DW141" s="202"/>
      <c r="DX141" s="202"/>
      <c r="DY141" s="202"/>
      <c r="DZ141" s="202"/>
      <c r="EA141" s="202"/>
      <c r="EB141" s="202"/>
      <c r="EC141" s="202"/>
      <c r="ED141" s="202"/>
      <c r="EE141" s="202"/>
      <c r="EF141" s="202"/>
      <c r="EG141" s="202"/>
      <c r="EH141" s="202"/>
      <c r="EI141" s="202"/>
      <c r="EJ141" s="202"/>
      <c r="EK141" s="202"/>
      <c r="EL141" s="202"/>
      <c r="EM141" s="202"/>
      <c r="EN141" s="202"/>
      <c r="EO141" s="202"/>
      <c r="EP141" s="202"/>
      <c r="EQ141" s="202"/>
      <c r="ER141" s="202"/>
      <c r="ES141" s="202"/>
      <c r="ET141" s="202"/>
      <c r="EU141" s="202"/>
      <c r="EV141" s="202"/>
      <c r="EW141" s="202"/>
      <c r="EX141" s="202"/>
      <c r="EY141" s="202"/>
      <c r="EZ141" s="202"/>
      <c r="FA141" s="202"/>
      <c r="FB141" s="202"/>
      <c r="FC141" s="202"/>
      <c r="FD141" s="202"/>
      <c r="FE141" s="202"/>
      <c r="FF141" s="202"/>
      <c r="FG141" s="202"/>
      <c r="FH141" s="202"/>
      <c r="FI141" s="202"/>
      <c r="FJ141" s="202"/>
      <c r="FK141" s="202"/>
      <c r="FL141" s="202"/>
      <c r="FM141" s="202"/>
      <c r="FN141" s="202"/>
      <c r="FO141" s="202"/>
      <c r="FP141" s="202"/>
      <c r="FQ141" s="202"/>
      <c r="FR141" s="202"/>
      <c r="FS141" s="202"/>
      <c r="FT141" s="202"/>
      <c r="FU141" s="202"/>
      <c r="FV141" s="202"/>
      <c r="FW141" s="202"/>
      <c r="FX141" s="202"/>
      <c r="FY141" s="202"/>
      <c r="FZ141" s="202"/>
      <c r="GA141" s="202"/>
      <c r="GB141" s="202"/>
      <c r="GC141" s="202"/>
      <c r="GD141" s="202"/>
      <c r="GE141" s="202"/>
      <c r="GF141" s="202"/>
      <c r="GG141" s="202"/>
      <c r="GH141" s="202"/>
      <c r="GI141" s="202"/>
      <c r="GJ141" s="202"/>
      <c r="GK141" s="202"/>
      <c r="GL141" s="202"/>
      <c r="GM141" s="202"/>
      <c r="GN141" s="202"/>
      <c r="GO141" s="202"/>
      <c r="GP141" s="202"/>
      <c r="GQ141" s="202"/>
      <c r="GR141" s="202"/>
      <c r="GS141" s="202"/>
      <c r="GT141" s="202"/>
      <c r="GU141" s="202"/>
      <c r="GV141" s="202"/>
      <c r="GW141" s="202"/>
      <c r="GX141" s="202"/>
      <c r="GY141" s="202"/>
      <c r="GZ141" s="202"/>
      <c r="HA141" s="202"/>
      <c r="HB141" s="202"/>
      <c r="HC141" s="202"/>
      <c r="HD141" s="202"/>
      <c r="HE141" s="202"/>
      <c r="HF141" s="202"/>
      <c r="HG141" s="202"/>
      <c r="HH141" s="202"/>
      <c r="HI141" s="202"/>
      <c r="HJ141" s="202"/>
      <c r="HK141" s="202"/>
      <c r="HL141" s="202"/>
      <c r="HM141" s="202"/>
      <c r="HN141" s="202"/>
      <c r="HO141" s="202"/>
      <c r="HP141" s="202"/>
      <c r="HQ141" s="202"/>
      <c r="HR141" s="202"/>
      <c r="HS141" s="202"/>
      <c r="HT141" s="202"/>
      <c r="HU141" s="202"/>
      <c r="HV141" s="202"/>
      <c r="HW141" s="202"/>
      <c r="HX141" s="202"/>
      <c r="HY141" s="202"/>
      <c r="HZ141" s="202"/>
      <c r="IA141" s="202"/>
      <c r="IB141" s="202"/>
      <c r="IC141" s="202"/>
      <c r="ID141" s="202"/>
      <c r="IE141" s="202"/>
      <c r="IF141" s="202"/>
      <c r="IG141" s="202"/>
      <c r="IH141" s="202"/>
      <c r="II141" s="202"/>
      <c r="IJ141" s="202"/>
      <c r="IK141" s="202"/>
      <c r="IL141" s="202"/>
      <c r="IM141" s="202"/>
      <c r="IN141" s="202"/>
      <c r="IO141" s="202"/>
      <c r="IP141" s="202"/>
      <c r="IQ141" s="202"/>
      <c r="IR141" s="202"/>
      <c r="IS141" s="202"/>
      <c r="IT141" s="202"/>
      <c r="IU141" s="202"/>
      <c r="IV141" s="202"/>
      <c r="IW141" s="202"/>
    </row>
    <row r="142" customFormat="false" ht="13.5" hidden="false" customHeight="false" outlineLevel="0" collapsed="false">
      <c r="A142" s="33"/>
      <c r="B142" s="34"/>
      <c r="C142" s="34"/>
      <c r="D142" s="35"/>
      <c r="E142" s="35"/>
      <c r="F142" s="33"/>
      <c r="G142" s="33"/>
      <c r="H142" s="34"/>
      <c r="I142" s="36"/>
      <c r="J142" s="37"/>
      <c r="K142" s="37"/>
      <c r="L142" s="37"/>
      <c r="M142" s="37"/>
      <c r="N142" s="38"/>
      <c r="O142" s="37"/>
      <c r="P142" s="39"/>
      <c r="Q142" s="34"/>
      <c r="R142" s="33"/>
      <c r="S142" s="40"/>
      <c r="T142" s="41"/>
      <c r="U142" s="42"/>
      <c r="V142" s="42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</sheetData>
  <mergeCells count="2">
    <mergeCell ref="V12:W12"/>
    <mergeCell ref="V20:W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8.56"/>
    <col collapsed="false" customWidth="false" hidden="false" outlineLevel="0" max="3" min="2" style="19" width="9.14"/>
    <col collapsed="false" customWidth="true" hidden="false" outlineLevel="0" max="4" min="4" style="19" width="11.85"/>
    <col collapsed="false" customWidth="true" hidden="false" outlineLevel="0" max="5" min="5" style="19" width="10.41"/>
    <col collapsed="false" customWidth="true" hidden="false" outlineLevel="0" max="6" min="6" style="19" width="12.42"/>
    <col collapsed="false" customWidth="true" hidden="false" outlineLevel="0" max="7" min="7" style="19" width="11.13"/>
    <col collapsed="false" customWidth="true" hidden="false" outlineLevel="0" max="8" min="8" style="19" width="10.41"/>
    <col collapsed="false" customWidth="true" hidden="false" outlineLevel="0" max="9" min="9" style="19" width="8.7"/>
    <col collapsed="false" customWidth="true" hidden="false" outlineLevel="0" max="10" min="10" style="19" width="13.99"/>
    <col collapsed="false" customWidth="true" hidden="false" outlineLevel="0" max="11" min="11" style="19" width="8.14"/>
    <col collapsed="false" customWidth="true" hidden="false" outlineLevel="0" max="12" min="12" style="19" width="9.99"/>
    <col collapsed="false" customWidth="true" hidden="false" outlineLevel="0" max="13" min="13" style="221" width="9.7"/>
    <col collapsed="false" customWidth="false" hidden="false" outlineLevel="0" max="257" min="14" style="19" width="9.14"/>
  </cols>
  <sheetData>
    <row r="1" customFormat="false" ht="12.75" hidden="false" customHeight="false" outlineLevel="0" collapsed="false">
      <c r="A1" s="222" t="s">
        <v>73</v>
      </c>
      <c r="B1" s="222"/>
    </row>
    <row r="2" customFormat="false" ht="12.75" hidden="false" customHeight="false" outlineLevel="0" collapsed="false">
      <c r="B2" s="222"/>
    </row>
    <row r="3" customFormat="false" ht="12.75" hidden="false" customHeight="false" outlineLevel="0" collapsed="false">
      <c r="A3" s="223" t="s">
        <v>329</v>
      </c>
      <c r="B3" s="224"/>
      <c r="C3" s="224"/>
      <c r="D3" s="224"/>
      <c r="E3" s="224"/>
      <c r="F3" s="224"/>
      <c r="G3" s="224"/>
      <c r="H3" s="225"/>
      <c r="J3" s="226" t="s">
        <v>330</v>
      </c>
      <c r="K3" s="227" t="n">
        <f aca="false">+Rates!W17</f>
        <v>0.0670237460662409</v>
      </c>
      <c r="Z3" s="19" t="n">
        <v>2.8</v>
      </c>
      <c r="AC3" s="19" t="n">
        <v>3.03</v>
      </c>
    </row>
    <row r="4" customFormat="false" ht="12.75" hidden="false" customHeight="false" outlineLevel="0" collapsed="false">
      <c r="A4" s="228"/>
      <c r="B4" s="229" t="n">
        <v>1</v>
      </c>
      <c r="C4" s="229" t="n">
        <v>2</v>
      </c>
      <c r="D4" s="229" t="n">
        <v>3</v>
      </c>
      <c r="E4" s="229" t="n">
        <v>4</v>
      </c>
      <c r="F4" s="229" t="s">
        <v>331</v>
      </c>
      <c r="G4" s="229" t="n">
        <v>5</v>
      </c>
      <c r="H4" s="230" t="n">
        <v>6</v>
      </c>
      <c r="J4" s="231" t="s">
        <v>332</v>
      </c>
      <c r="K4" s="232" t="n">
        <f aca="false">+Rates!W16</f>
        <v>0.0445237460662409</v>
      </c>
    </row>
    <row r="5" customFormat="false" ht="12.75" hidden="false" customHeight="false" outlineLevel="0" collapsed="false">
      <c r="A5" s="233" t="n">
        <v>1</v>
      </c>
      <c r="B5" s="234" t="n">
        <f aca="false">+Rates!B17</f>
        <v>0.0331372303060712</v>
      </c>
      <c r="C5" s="234" t="n">
        <f aca="false">+Rates!B22</f>
        <v>0.0425543988713091</v>
      </c>
      <c r="D5" s="234" t="n">
        <f aca="false">+Rates!B27</f>
        <v>0.0524583662314001</v>
      </c>
      <c r="E5" s="234" t="n">
        <f aca="false">+Rates!B32</f>
        <v>0.0963467492260062</v>
      </c>
      <c r="F5" s="234"/>
      <c r="G5" s="234" t="n">
        <f aca="false">+Rates!B37</f>
        <v>0.131937308740306</v>
      </c>
      <c r="H5" s="235" t="n">
        <f aca="false">+Rates!B42</f>
        <v>0.15173800866716</v>
      </c>
      <c r="J5" s="229"/>
    </row>
    <row r="6" customFormat="false" ht="12.75" hidden="false" customHeight="false" outlineLevel="0" collapsed="false">
      <c r="A6" s="233" t="n">
        <v>2</v>
      </c>
      <c r="B6" s="234"/>
      <c r="C6" s="234"/>
      <c r="D6" s="234" t="n">
        <f aca="false">+Rates!B54</f>
        <v>0.021939600564858</v>
      </c>
      <c r="E6" s="234" t="n">
        <f aca="false">+Rates!B59</f>
        <v>0.0888925449871466</v>
      </c>
      <c r="F6" s="234"/>
      <c r="G6" s="234" t="n">
        <f aca="false">+Rates!B64</f>
        <v>0.124694361491072</v>
      </c>
      <c r="H6" s="235" t="n">
        <f aca="false">+Rates!B69</f>
        <v>0.144612215669756</v>
      </c>
      <c r="J6" s="226" t="s">
        <v>333</v>
      </c>
      <c r="K6" s="236" t="n">
        <f aca="false">+Rates!Z17</f>
        <v>0.0945271273852501</v>
      </c>
    </row>
    <row r="7" customFormat="false" ht="12.75" hidden="false" customHeight="false" outlineLevel="0" collapsed="false">
      <c r="A7" s="233" t="n">
        <v>3</v>
      </c>
      <c r="B7" s="234"/>
      <c r="C7" s="234"/>
      <c r="D7" s="234" t="n">
        <f aca="false">+Rates!B74</f>
        <v>0.0395789473684211</v>
      </c>
      <c r="E7" s="234" t="n">
        <f aca="false">+Rates!B79</f>
        <v>0.102702303675642</v>
      </c>
      <c r="F7" s="234"/>
      <c r="G7" s="234" t="n">
        <f aca="false">+Rates!B84</f>
        <v>0.153875860276536</v>
      </c>
      <c r="H7" s="235" t="n">
        <f aca="false">+Rates!B89</f>
        <v>0.182407108408472</v>
      </c>
      <c r="J7" s="231" t="s">
        <v>334</v>
      </c>
      <c r="K7" s="232" t="n">
        <f aca="false">+Rates!Z16</f>
        <v>0.0566271273852501</v>
      </c>
    </row>
    <row r="8" customFormat="false" ht="12.75" hidden="false" customHeight="false" outlineLevel="0" collapsed="false">
      <c r="A8" s="233" t="n">
        <v>4</v>
      </c>
      <c r="B8" s="234"/>
      <c r="C8" s="234"/>
      <c r="D8" s="234"/>
      <c r="E8" s="234" t="n">
        <f aca="false">+Rates!B94</f>
        <v>0.0708268779940883</v>
      </c>
      <c r="F8" s="234"/>
      <c r="G8" s="234"/>
      <c r="H8" s="235" t="n">
        <f aca="false">+Rates!B104</f>
        <v>0.128268586933834</v>
      </c>
      <c r="J8" s="222"/>
      <c r="K8" s="237"/>
    </row>
    <row r="9" customFormat="false" ht="12.75" hidden="false" customHeight="false" outlineLevel="0" collapsed="false">
      <c r="A9" s="238" t="s">
        <v>331</v>
      </c>
      <c r="B9" s="234"/>
      <c r="C9" s="234"/>
      <c r="D9" s="234"/>
      <c r="E9" s="234"/>
      <c r="F9" s="234" t="n">
        <f aca="false">+Rates!B109</f>
        <v>0.0137175299205472</v>
      </c>
      <c r="G9" s="234"/>
      <c r="H9" s="235"/>
      <c r="K9" s="239"/>
    </row>
    <row r="10" customFormat="false" ht="12.75" hidden="false" customHeight="false" outlineLevel="0" collapsed="false">
      <c r="A10" s="233" t="n">
        <v>5</v>
      </c>
      <c r="B10" s="234"/>
      <c r="C10" s="234"/>
      <c r="D10" s="234"/>
      <c r="E10" s="234"/>
      <c r="F10" s="234"/>
      <c r="G10" s="234" t="n">
        <f aca="false">+Rates!B114</f>
        <v>0.0651695493300853</v>
      </c>
      <c r="H10" s="235"/>
      <c r="K10" s="237"/>
      <c r="N10" s="221" t="s">
        <v>335</v>
      </c>
    </row>
    <row r="11" customFormat="false" ht="12.75" hidden="false" customHeight="false" outlineLevel="0" collapsed="false">
      <c r="A11" s="233" t="n">
        <v>6</v>
      </c>
      <c r="B11" s="172"/>
      <c r="C11" s="172"/>
      <c r="D11" s="172"/>
      <c r="E11" s="172"/>
      <c r="F11" s="172"/>
      <c r="G11" s="172"/>
      <c r="H11" s="235" t="n">
        <f aca="false">+Rates!B124</f>
        <v>0.0469914608327451</v>
      </c>
      <c r="J11" s="223" t="s">
        <v>336</v>
      </c>
      <c r="K11" s="240"/>
      <c r="N11" s="221" t="n">
        <v>4.46</v>
      </c>
      <c r="O11" s="19" t="n">
        <v>4.455</v>
      </c>
    </row>
    <row r="12" customFormat="false" ht="12.75" hidden="false" customHeight="false" outlineLevel="0" collapsed="false">
      <c r="A12" s="241"/>
      <c r="B12" s="242" t="s">
        <v>337</v>
      </c>
      <c r="C12" s="242"/>
      <c r="D12" s="242"/>
      <c r="E12" s="242"/>
      <c r="F12" s="242"/>
      <c r="G12" s="242"/>
      <c r="H12" s="243"/>
      <c r="J12" s="244" t="s">
        <v>338</v>
      </c>
      <c r="K12" s="245" t="n">
        <f aca="false">SUM(Rates!AI17)</f>
        <v>0.0147708542713569</v>
      </c>
      <c r="N12" s="221" t="n">
        <v>4.42</v>
      </c>
      <c r="O12" s="19" t="n">
        <v>4.44</v>
      </c>
    </row>
    <row r="13" customFormat="false" ht="12.75" hidden="false" customHeight="false" outlineLevel="0" collapsed="false">
      <c r="A13" s="246" t="s">
        <v>339</v>
      </c>
      <c r="B13" s="247" t="s">
        <v>340</v>
      </c>
      <c r="C13" s="248" t="s">
        <v>341</v>
      </c>
      <c r="D13" s="248" t="s">
        <v>342</v>
      </c>
      <c r="E13" s="248" t="s">
        <v>343</v>
      </c>
      <c r="F13" s="249"/>
      <c r="G13" s="249"/>
      <c r="H13" s="250"/>
      <c r="J13" s="244" t="s">
        <v>344</v>
      </c>
      <c r="K13" s="251" t="n">
        <f aca="false">SUM(Rates!H139)</f>
        <v>0.0335209121399885</v>
      </c>
      <c r="N13" s="221"/>
    </row>
    <row r="14" customFormat="false" ht="13.5" hidden="false" customHeight="false" outlineLevel="0" collapsed="false">
      <c r="A14" s="252" t="s">
        <v>345</v>
      </c>
      <c r="B14" s="253" t="n">
        <f aca="false">SUM(Rates!B71+Rates!B73)</f>
        <v>0.0145789473684211</v>
      </c>
      <c r="C14" s="253" t="n">
        <f aca="false">SUM(Rates!K22+Rates!B71+Rates!B73)</f>
        <v>0.0917281763863245</v>
      </c>
      <c r="D14" s="253" t="n">
        <f aca="false">SUM(Rates!B71+Rates!B73+Rates!K47)</f>
        <v>0.0680743609638348</v>
      </c>
      <c r="E14" s="253" t="n">
        <f aca="false">0.0622+B14</f>
        <v>0.0767789473684211</v>
      </c>
      <c r="F14" s="138" t="s">
        <v>346</v>
      </c>
      <c r="G14" s="138"/>
      <c r="H14" s="254"/>
      <c r="J14" s="228" t="s">
        <v>347</v>
      </c>
      <c r="K14" s="255" t="n">
        <f aca="false">SUM(K12:K13)</f>
        <v>0.0482917664113454</v>
      </c>
      <c r="M14" s="221" t="s">
        <v>348</v>
      </c>
      <c r="N14" s="221" t="n">
        <f aca="false">+N11-E14</f>
        <v>4.38322105263158</v>
      </c>
    </row>
    <row r="15" customFormat="false" ht="13.5" hidden="false" customHeight="false" outlineLevel="0" collapsed="false">
      <c r="A15" s="172"/>
      <c r="B15" s="256"/>
      <c r="C15" s="256"/>
      <c r="D15" s="256"/>
      <c r="E15" s="256"/>
      <c r="F15" s="172"/>
      <c r="G15" s="172"/>
      <c r="H15" s="172"/>
      <c r="J15" s="228"/>
      <c r="K15" s="245"/>
      <c r="N15" s="221"/>
    </row>
    <row r="16" customFormat="false" ht="12.75" hidden="false" customHeight="false" outlineLevel="0" collapsed="false">
      <c r="A16" s="223" t="s">
        <v>349</v>
      </c>
      <c r="B16" s="257"/>
      <c r="C16" s="257" t="n">
        <v>2</v>
      </c>
      <c r="D16" s="257" t="n">
        <v>3</v>
      </c>
      <c r="E16" s="257" t="n">
        <v>4</v>
      </c>
      <c r="F16" s="257" t="s">
        <v>331</v>
      </c>
      <c r="G16" s="257" t="n">
        <v>5</v>
      </c>
      <c r="H16" s="258" t="n">
        <v>6</v>
      </c>
      <c r="J16" s="259"/>
      <c r="K16" s="260"/>
      <c r="N16" s="221"/>
    </row>
    <row r="17" customFormat="false" ht="12.75" hidden="false" customHeight="false" outlineLevel="0" collapsed="false">
      <c r="A17" s="233" t="n">
        <v>2</v>
      </c>
      <c r="B17" s="234"/>
      <c r="C17" s="261" t="n">
        <f aca="false">SUM(Rates!E37)-0.0189</f>
        <v>0.103174874472786</v>
      </c>
      <c r="D17" s="261" t="n">
        <f aca="false">SUM(Rates!E39,Rates!E41)</f>
        <v>0.150739600564858</v>
      </c>
      <c r="E17" s="261" t="n">
        <f aca="false">SUM(Rates!E47)</f>
        <v>0.375592544987147</v>
      </c>
      <c r="F17" s="261"/>
      <c r="G17" s="261"/>
      <c r="H17" s="262"/>
      <c r="J17" s="228"/>
      <c r="K17" s="245"/>
      <c r="N17" s="221"/>
    </row>
    <row r="18" customFormat="false" ht="12.75" hidden="false" customHeight="false" outlineLevel="0" collapsed="false">
      <c r="A18" s="233" t="n">
        <v>3</v>
      </c>
      <c r="B18" s="234"/>
      <c r="C18" s="261"/>
      <c r="D18" s="261" t="n">
        <f aca="false">SUM(Rates!E51,Rates!E53)</f>
        <v>0.117878947368421</v>
      </c>
      <c r="E18" s="261" t="n">
        <f aca="false">SUM(Rates!E59)</f>
        <v>0.361702303675642</v>
      </c>
      <c r="F18" s="261"/>
      <c r="G18" s="261"/>
      <c r="H18" s="262"/>
      <c r="J18" s="228"/>
      <c r="K18" s="245"/>
      <c r="N18" s="221"/>
    </row>
    <row r="19" customFormat="false" ht="12.75" hidden="false" customHeight="false" outlineLevel="0" collapsed="false">
      <c r="A19" s="233" t="n">
        <v>4</v>
      </c>
      <c r="B19" s="234"/>
      <c r="C19" s="261"/>
      <c r="D19" s="261"/>
      <c r="E19" s="261" t="n">
        <f aca="false">SUM(Rates!E74)</f>
        <v>0.286126877994088</v>
      </c>
      <c r="F19" s="261"/>
      <c r="G19" s="261"/>
      <c r="H19" s="262"/>
      <c r="J19" s="228"/>
      <c r="K19" s="245"/>
      <c r="N19" s="221"/>
    </row>
    <row r="20" customFormat="false" ht="12.75" hidden="false" customHeight="false" outlineLevel="0" collapsed="false">
      <c r="A20" s="228" t="n">
        <v>6</v>
      </c>
      <c r="B20" s="256"/>
      <c r="C20" s="256"/>
      <c r="D20" s="256"/>
      <c r="E20" s="256"/>
      <c r="F20" s="263"/>
      <c r="G20" s="263"/>
      <c r="H20" s="264" t="n">
        <f aca="false">SUM(Rates!E94)</f>
        <v>0.170691460832745</v>
      </c>
      <c r="J20" s="228"/>
      <c r="K20" s="245"/>
      <c r="N20" s="221"/>
    </row>
    <row r="21" customFormat="false" ht="12.75" hidden="false" customHeight="false" outlineLevel="0" collapsed="false">
      <c r="A21" s="252"/>
      <c r="B21" s="265" t="s">
        <v>350</v>
      </c>
      <c r="C21" s="253"/>
      <c r="D21" s="253"/>
      <c r="E21" s="253"/>
      <c r="F21" s="138"/>
      <c r="G21" s="138"/>
      <c r="H21" s="254"/>
      <c r="J21" s="228"/>
      <c r="K21" s="245"/>
      <c r="N21" s="221"/>
    </row>
    <row r="22" customFormat="false" ht="12.75" hidden="false" customHeight="false" outlineLevel="0" collapsed="false">
      <c r="A22" s="266"/>
      <c r="J22" s="228"/>
      <c r="K22" s="245"/>
      <c r="N22" s="221" t="n">
        <f aca="false">+N12-E14</f>
        <v>4.34322105263158</v>
      </c>
    </row>
    <row r="23" customFormat="false" ht="12.75" hidden="false" customHeight="false" outlineLevel="0" collapsed="false">
      <c r="A23" s="267" t="s">
        <v>351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60"/>
      <c r="N23" s="221"/>
    </row>
    <row r="24" customFormat="false" ht="12.75" hidden="false" customHeight="false" outlineLevel="0" collapsed="false">
      <c r="A24" s="268"/>
      <c r="B24" s="172"/>
      <c r="C24" s="229" t="s">
        <v>352</v>
      </c>
      <c r="D24" s="172"/>
      <c r="E24" s="172"/>
      <c r="F24" s="172"/>
      <c r="G24" s="172"/>
      <c r="H24" s="172"/>
      <c r="I24" s="172"/>
      <c r="J24" s="172"/>
      <c r="K24" s="269"/>
      <c r="M24" s="221" t="s">
        <v>353</v>
      </c>
      <c r="N24" s="221" t="n">
        <f aca="false">+N11-D14</f>
        <v>4.39192563903617</v>
      </c>
    </row>
    <row r="25" customFormat="false" ht="12.75" hidden="false" customHeight="false" outlineLevel="0" collapsed="false">
      <c r="A25" s="268"/>
      <c r="B25" s="172"/>
      <c r="C25" s="229" t="s">
        <v>354</v>
      </c>
      <c r="D25" s="172" t="s">
        <v>355</v>
      </c>
      <c r="E25" s="172"/>
      <c r="F25" s="172"/>
      <c r="G25" s="172"/>
      <c r="H25" s="172"/>
      <c r="I25" s="172"/>
      <c r="J25" s="172"/>
      <c r="K25" s="269"/>
      <c r="N25" s="221" t="n">
        <f aca="false">+N12-D14</f>
        <v>4.35192563903617</v>
      </c>
    </row>
    <row r="26" customFormat="false" ht="12.75" hidden="false" customHeight="false" outlineLevel="0" collapsed="false">
      <c r="A26" s="233"/>
      <c r="B26" s="229" t="s">
        <v>356</v>
      </c>
      <c r="C26" s="229" t="s">
        <v>357</v>
      </c>
      <c r="D26" s="229" t="s">
        <v>358</v>
      </c>
      <c r="E26" s="229" t="s">
        <v>359</v>
      </c>
      <c r="F26" s="229" t="s">
        <v>360</v>
      </c>
      <c r="G26" s="172" t="s">
        <v>361</v>
      </c>
      <c r="H26" s="229" t="s">
        <v>362</v>
      </c>
      <c r="I26" s="229" t="s">
        <v>363</v>
      </c>
      <c r="J26" s="229" t="s">
        <v>364</v>
      </c>
      <c r="K26" s="270" t="s">
        <v>365</v>
      </c>
      <c r="N26" s="221"/>
    </row>
    <row r="27" customFormat="false" ht="12.75" hidden="false" customHeight="false" outlineLevel="0" collapsed="false">
      <c r="A27" s="238" t="s">
        <v>366</v>
      </c>
      <c r="B27" s="234" t="n">
        <f aca="false">+Rates!H22-0.0225+B35+B36</f>
        <v>0.148709488030487</v>
      </c>
      <c r="C27" s="234" t="n">
        <f aca="false">+Rates!H22-0.0072</f>
        <v>0.136316675239173</v>
      </c>
      <c r="D27" s="234" t="n">
        <f aca="false">+C27-0.0072</f>
        <v>0.129116675239173</v>
      </c>
      <c r="E27" s="234" t="n">
        <f aca="false">+D27-0.0225</f>
        <v>0.106616675239173</v>
      </c>
      <c r="F27" s="234" t="n">
        <f aca="false">+D27+0.0072</f>
        <v>0.136316675239173</v>
      </c>
      <c r="G27" s="234" t="n">
        <f aca="false">+Rates!H27</f>
        <v>0.182247617039224</v>
      </c>
      <c r="H27" s="234" t="n">
        <f aca="false">+Rates!H32</f>
        <v>0.197670930726732</v>
      </c>
      <c r="I27" s="234" t="n">
        <f aca="false">+Rates!H37</f>
        <v>0.234904398669671</v>
      </c>
      <c r="J27" s="239" t="n">
        <f aca="false">+Rates!H42</f>
        <v>0.266071037776813</v>
      </c>
      <c r="K27" s="235" t="n">
        <f aca="false">+Rates!H47</f>
        <v>0.319217011720889</v>
      </c>
      <c r="M27" s="221" t="s">
        <v>367</v>
      </c>
      <c r="N27" s="221" t="n">
        <f aca="false">+N11-C14</f>
        <v>4.36827182361368</v>
      </c>
    </row>
    <row r="28" customFormat="false" ht="12.75" hidden="false" customHeight="false" outlineLevel="0" collapsed="false">
      <c r="A28" s="238" t="s">
        <v>368</v>
      </c>
      <c r="B28" s="234"/>
      <c r="C28" s="234" t="n">
        <f aca="false">+Rates!H54-0.0072</f>
        <v>0.0692738660470754</v>
      </c>
      <c r="D28" s="234"/>
      <c r="E28" s="234"/>
      <c r="F28" s="234" t="n">
        <f aca="false">+C28+0.0072</f>
        <v>0.0764738660470754</v>
      </c>
      <c r="G28" s="234"/>
      <c r="H28" s="234"/>
      <c r="I28" s="234"/>
      <c r="J28" s="271"/>
      <c r="K28" s="270"/>
      <c r="N28" s="221" t="n">
        <f aca="false">+N12-C14</f>
        <v>4.32827182361368</v>
      </c>
    </row>
    <row r="29" customFormat="false" ht="12.75" hidden="false" customHeight="false" outlineLevel="0" collapsed="false">
      <c r="A29" s="233" t="n">
        <v>1</v>
      </c>
      <c r="B29" s="234" t="n">
        <f aca="false">+Rates!H59-0.0225+B35+B36</f>
        <v>0.125050514901621</v>
      </c>
      <c r="C29" s="234"/>
      <c r="D29" s="234" t="n">
        <f aca="false">+Rates!H59-0.0072</f>
        <v>0.112657702110307</v>
      </c>
      <c r="E29" s="234" t="n">
        <f aca="false">+D29-0.0225</f>
        <v>0.0901577021103069</v>
      </c>
      <c r="F29" s="234"/>
      <c r="G29" s="234" t="n">
        <f aca="false">+Rates!H64</f>
        <v>0.158018428750522</v>
      </c>
      <c r="H29" s="234" t="n">
        <f aca="false">+Rates!H69</f>
        <v>0.105870655720451</v>
      </c>
      <c r="I29" s="234" t="n">
        <f aca="false">+Rates!H74</f>
        <v>0.21050531349628</v>
      </c>
      <c r="J29" s="234" t="n">
        <f aca="false">+Rates!H79</f>
        <v>0.241569368885066</v>
      </c>
      <c r="K29" s="235" t="n">
        <f aca="false">+Rates!H84</f>
        <v>0.294710262529833</v>
      </c>
    </row>
    <row r="30" customFormat="false" ht="12.75" hidden="false" customHeight="false" outlineLevel="0" collapsed="false">
      <c r="A30" s="233" t="n">
        <v>2</v>
      </c>
      <c r="B30" s="234"/>
      <c r="C30" s="234"/>
      <c r="D30" s="234"/>
      <c r="E30" s="234"/>
      <c r="F30" s="234"/>
      <c r="G30" s="234"/>
      <c r="H30" s="234"/>
      <c r="I30" s="234"/>
      <c r="J30" s="234" t="n">
        <f aca="false">SUM(Rates!H89)</f>
        <v>0.156458424621805</v>
      </c>
      <c r="K30" s="235"/>
    </row>
    <row r="31" customFormat="false" ht="12.75" hidden="false" customHeight="false" outlineLevel="0" collapsed="false">
      <c r="A31" s="233" t="n">
        <v>4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5" t="n">
        <f aca="false">+Rates!H99</f>
        <v>0.133646376367168</v>
      </c>
    </row>
    <row r="32" customFormat="false" ht="12.75" hidden="false" customHeight="false" outlineLevel="0" collapsed="false">
      <c r="A32" s="233" t="n">
        <v>5</v>
      </c>
      <c r="B32" s="234"/>
      <c r="C32" s="234"/>
      <c r="D32" s="234"/>
      <c r="E32" s="234"/>
      <c r="F32" s="234"/>
      <c r="G32" s="234"/>
      <c r="H32" s="234"/>
      <c r="I32" s="234" t="n">
        <f aca="false">+Rates!H104</f>
        <v>0.0767705382436262</v>
      </c>
      <c r="J32" s="234" t="n">
        <f aca="false">+Rates!H109</f>
        <v>0.0758518638573746</v>
      </c>
      <c r="K32" s="235" t="n">
        <f aca="false">+Rates!H119</f>
        <v>0.0859877760451936</v>
      </c>
    </row>
    <row r="33" customFormat="false" ht="12.75" hidden="false" customHeight="false" outlineLevel="0" collapsed="false">
      <c r="A33" s="272" t="n">
        <v>6</v>
      </c>
      <c r="B33" s="273"/>
      <c r="C33" s="273"/>
      <c r="D33" s="273"/>
      <c r="E33" s="273"/>
      <c r="F33" s="234"/>
      <c r="G33" s="234"/>
      <c r="H33" s="234"/>
      <c r="I33" s="234"/>
      <c r="J33" s="234"/>
      <c r="K33" s="235" t="n">
        <f aca="false">+Rates!H134</f>
        <v>0.0876229744728079</v>
      </c>
    </row>
    <row r="34" customFormat="false" ht="12.75" hidden="false" customHeight="false" outlineLevel="0" collapsed="false">
      <c r="A34" s="237"/>
      <c r="B34" s="234"/>
      <c r="C34" s="234"/>
      <c r="D34" s="234"/>
      <c r="E34" s="234"/>
      <c r="F34" s="274"/>
      <c r="G34" s="234"/>
      <c r="H34" s="234"/>
      <c r="I34" s="234"/>
      <c r="J34" s="234"/>
      <c r="K34" s="235"/>
    </row>
    <row r="35" customFormat="false" ht="12.75" hidden="false" customHeight="false" outlineLevel="0" collapsed="false">
      <c r="A35" s="275" t="s">
        <v>369</v>
      </c>
      <c r="B35" s="227" t="n">
        <f aca="false">0.0009+0.0022+0.0075</f>
        <v>0.0106</v>
      </c>
      <c r="F35" s="276" t="s">
        <v>370</v>
      </c>
      <c r="G35" s="172"/>
      <c r="H35" s="172"/>
      <c r="I35" s="172"/>
      <c r="J35" s="172"/>
      <c r="K35" s="270"/>
    </row>
    <row r="36" customFormat="false" ht="12.75" hidden="false" customHeight="false" outlineLevel="0" collapsed="false">
      <c r="A36" s="252" t="s">
        <v>371</v>
      </c>
      <c r="B36" s="277" t="n">
        <f aca="false">0.0101*(+Rates!H4+Rates!H59-0.0225)</f>
        <v>0.0170928127913141</v>
      </c>
      <c r="F36" s="276" t="s">
        <v>372</v>
      </c>
      <c r="G36" s="172"/>
      <c r="H36" s="172"/>
      <c r="I36" s="278" t="n">
        <f aca="false">+I27-I32</f>
        <v>0.158133860426044</v>
      </c>
      <c r="J36" s="278" t="n">
        <f aca="false">+J27-J32</f>
        <v>0.190219173919438</v>
      </c>
      <c r="K36" s="279" t="n">
        <f aca="false">+K27-K32</f>
        <v>0.233229235675696</v>
      </c>
    </row>
    <row r="37" customFormat="false" ht="12.75" hidden="false" customHeight="false" outlineLevel="0" collapsed="false">
      <c r="A37" s="172"/>
      <c r="B37" s="234"/>
      <c r="F37" s="280" t="s">
        <v>373</v>
      </c>
      <c r="G37" s="138"/>
      <c r="H37" s="138"/>
      <c r="I37" s="281" t="n">
        <f aca="false">+I29-I32</f>
        <v>0.133734775252654</v>
      </c>
      <c r="J37" s="281" t="n">
        <f aca="false">+J29-J32</f>
        <v>0.165717505027692</v>
      </c>
      <c r="K37" s="282" t="n">
        <f aca="false">+K29-K32</f>
        <v>0.208722486484639</v>
      </c>
    </row>
    <row r="38" customFormat="false" ht="12.75" hidden="false" customHeight="false" outlineLevel="0" collapsed="false">
      <c r="A38" s="172"/>
      <c r="B38" s="234"/>
    </row>
    <row r="39" customFormat="false" ht="12.75" hidden="false" customHeight="false" outlineLevel="0" collapsed="false">
      <c r="A39" s="267" t="s">
        <v>374</v>
      </c>
      <c r="B39" s="224"/>
      <c r="C39" s="224"/>
      <c r="D39" s="224"/>
      <c r="E39" s="224"/>
      <c r="F39" s="224"/>
      <c r="G39" s="224"/>
      <c r="H39" s="224"/>
      <c r="I39" s="224"/>
      <c r="J39" s="283"/>
      <c r="K39" s="284"/>
      <c r="L39" s="172"/>
    </row>
    <row r="40" customFormat="false" ht="12.75" hidden="false" customHeight="false" outlineLevel="0" collapsed="false">
      <c r="A40" s="233"/>
      <c r="B40" s="229" t="s">
        <v>341</v>
      </c>
      <c r="C40" s="229" t="s">
        <v>375</v>
      </c>
      <c r="D40" s="229" t="s">
        <v>376</v>
      </c>
      <c r="E40" s="229" t="s">
        <v>377</v>
      </c>
      <c r="F40" s="229" t="s">
        <v>378</v>
      </c>
      <c r="G40" s="229" t="s">
        <v>379</v>
      </c>
      <c r="H40" s="285"/>
      <c r="I40" s="172"/>
      <c r="J40" s="285" t="s">
        <v>380</v>
      </c>
      <c r="K40" s="286" t="s">
        <v>381</v>
      </c>
      <c r="L40" s="172"/>
    </row>
    <row r="41" customFormat="false" ht="12.75" hidden="false" customHeight="false" outlineLevel="0" collapsed="false">
      <c r="A41" s="238" t="s">
        <v>341</v>
      </c>
      <c r="B41" s="234" t="n">
        <f aca="false">+Rates!K17</f>
        <v>0.0788928556679743</v>
      </c>
      <c r="C41" s="234" t="n">
        <f aca="false">+Rates!K27</f>
        <v>0.112377300356319</v>
      </c>
      <c r="D41" s="234" t="n">
        <f aca="false">+Rates!K22</f>
        <v>0.0771492290179033</v>
      </c>
      <c r="E41" s="234" t="n">
        <f aca="false">+Rates!K32</f>
        <v>0.189381882098432</v>
      </c>
      <c r="F41" s="234" t="n">
        <f aca="false">+Rates!K37</f>
        <v>0.258324531648376</v>
      </c>
      <c r="G41" s="234" t="n">
        <f aca="false">+Rates!K42</f>
        <v>0.306184507042254</v>
      </c>
      <c r="H41" s="261"/>
      <c r="I41" s="172"/>
      <c r="J41" s="287" t="n">
        <f aca="false">+Rates!N32</f>
        <v>0.737224531648376</v>
      </c>
      <c r="K41" s="288" t="n">
        <f aca="false">SUM(Rates!N37)</f>
        <v>0.868484507042254</v>
      </c>
      <c r="L41" s="172"/>
    </row>
    <row r="42" customFormat="false" ht="12.75" hidden="false" customHeight="false" outlineLevel="0" collapsed="false">
      <c r="A42" s="238" t="s">
        <v>382</v>
      </c>
      <c r="B42" s="234"/>
      <c r="C42" s="234" t="n">
        <f aca="false">+Rates!K89</f>
        <v>0.0711662538699691</v>
      </c>
      <c r="D42" s="289" t="n">
        <f aca="false">+D44</f>
        <v>0.0657662538699691</v>
      </c>
      <c r="E42" s="234" t="n">
        <f aca="false">+E44</f>
        <v>0.15689661450016</v>
      </c>
      <c r="F42" s="234" t="n">
        <f aca="false">+F44</f>
        <v>0.225901406914604</v>
      </c>
      <c r="G42" s="234" t="n">
        <f aca="false">+G44</f>
        <v>0.273784273523218</v>
      </c>
      <c r="H42" s="261"/>
      <c r="I42" s="172"/>
      <c r="J42" s="287" t="n">
        <f aca="false">SUM(Rates!N79)</f>
        <v>0.559001406914603</v>
      </c>
      <c r="K42" s="288" t="n">
        <f aca="false">SUM(Rates!N84)</f>
        <v>0.690284273523218</v>
      </c>
      <c r="L42" s="172"/>
    </row>
    <row r="43" customFormat="false" ht="12.75" hidden="false" customHeight="false" outlineLevel="0" collapsed="false">
      <c r="A43" s="238" t="s">
        <v>342</v>
      </c>
      <c r="B43" s="234"/>
      <c r="C43" s="234" t="n">
        <f aca="false">+Rates!K54</f>
        <v>0.0890107827890098</v>
      </c>
      <c r="D43" s="234" t="n">
        <f aca="false">+Rates!K47</f>
        <v>0.0534954135954136</v>
      </c>
      <c r="E43" s="234" t="n">
        <f aca="false">+Rates!K59</f>
        <v>0.165339751818571</v>
      </c>
      <c r="F43" s="234" t="n">
        <f aca="false">+Rates!K64</f>
        <v>0.233717097764139</v>
      </c>
      <c r="G43" s="234" t="n">
        <f aca="false">+Rates!K69</f>
        <v>0.281179950991312</v>
      </c>
      <c r="H43" s="261"/>
      <c r="I43" s="172"/>
      <c r="J43" s="287" t="n">
        <f aca="false">SUM(Rates!N54)</f>
        <v>0.581717097764139</v>
      </c>
      <c r="K43" s="288" t="n">
        <f aca="false">SUM(Rates!N59)</f>
        <v>0.712579950991312</v>
      </c>
      <c r="L43" s="172"/>
    </row>
    <row r="44" customFormat="false" ht="12.75" hidden="false" customHeight="false" outlineLevel="0" collapsed="false">
      <c r="A44" s="238" t="s">
        <v>343</v>
      </c>
      <c r="B44" s="234"/>
      <c r="C44" s="234" t="n">
        <f aca="false">+Rates!K89</f>
        <v>0.0711662538699691</v>
      </c>
      <c r="D44" s="234" t="n">
        <f aca="false">+Rates!K79</f>
        <v>0.0657662538699691</v>
      </c>
      <c r="E44" s="234" t="n">
        <f aca="false">+Rates!K99</f>
        <v>0.15689661450016</v>
      </c>
      <c r="F44" s="234" t="n">
        <f aca="false">+Rates!K104</f>
        <v>0.225901406914604</v>
      </c>
      <c r="G44" s="234" t="n">
        <f aca="false">+Rates!K109</f>
        <v>0.273784273523218</v>
      </c>
      <c r="H44" s="261"/>
      <c r="I44" s="172"/>
      <c r="J44" s="287" t="n">
        <f aca="false">SUM(Rates!N79)</f>
        <v>0.559001406914603</v>
      </c>
      <c r="K44" s="288" t="n">
        <f aca="false">SUM(Rates!N84)</f>
        <v>0.690284273523218</v>
      </c>
      <c r="L44" s="172"/>
    </row>
    <row r="45" customFormat="false" ht="12.75" hidden="false" customHeight="false" outlineLevel="0" collapsed="false">
      <c r="A45" s="290" t="s">
        <v>383</v>
      </c>
      <c r="B45" s="172"/>
      <c r="C45" s="172"/>
      <c r="D45" s="172"/>
      <c r="E45" s="221" t="n">
        <f aca="false">+Rates!K114</f>
        <v>0.0852598165515819</v>
      </c>
      <c r="F45" s="234" t="n">
        <f aca="false">+Rates!K119</f>
        <v>0.153336670534867</v>
      </c>
      <c r="G45" s="234" t="n">
        <f aca="false">+Rates!K124</f>
        <v>0.200552298296368</v>
      </c>
      <c r="H45" s="234"/>
      <c r="I45" s="172"/>
      <c r="J45" s="287" t="n">
        <f aca="false">SUM(Rates!N89)</f>
        <v>0.415236670534867</v>
      </c>
      <c r="K45" s="288" t="n">
        <f aca="false">SUM(Rates!N94)</f>
        <v>0.545852298296368</v>
      </c>
    </row>
    <row r="46" customFormat="false" ht="12.75" hidden="false" customHeight="false" outlineLevel="0" collapsed="false">
      <c r="A46" s="290" t="s">
        <v>384</v>
      </c>
      <c r="B46" s="172"/>
      <c r="C46" s="172"/>
      <c r="D46" s="172"/>
      <c r="E46" s="221"/>
      <c r="F46" s="234" t="n">
        <f aca="false">+Rates!K144</f>
        <v>0</v>
      </c>
      <c r="G46" s="234" t="n">
        <f aca="false">+Rates!K149</f>
        <v>0</v>
      </c>
      <c r="H46" s="261"/>
      <c r="I46" s="172"/>
      <c r="J46" s="287"/>
      <c r="K46" s="288" t="n">
        <f aca="false">SUM(Rates!N104)</f>
        <v>0.458006294373212</v>
      </c>
    </row>
    <row r="47" customFormat="false" ht="12.75" hidden="false" customHeight="false" outlineLevel="0" collapsed="false">
      <c r="A47" s="291" t="s">
        <v>385</v>
      </c>
      <c r="B47" s="138"/>
      <c r="C47" s="138"/>
      <c r="D47" s="138"/>
      <c r="E47" s="292"/>
      <c r="F47" s="138"/>
      <c r="G47" s="273" t="n">
        <f aca="false">+Rates!K154</f>
        <v>0</v>
      </c>
      <c r="H47" s="293"/>
      <c r="I47" s="138"/>
      <c r="J47" s="294"/>
      <c r="K47" s="295" t="n">
        <f aca="false">SUM(Rates!N109)</f>
        <v>0.269189231724995</v>
      </c>
    </row>
    <row r="48" customFormat="false" ht="12.75" hidden="false" customHeight="false" outlineLevel="0" collapsed="false">
      <c r="A48" s="296"/>
      <c r="E48" s="221"/>
      <c r="G48" s="234"/>
      <c r="H48" s="297"/>
      <c r="J48" s="287"/>
      <c r="K48" s="287"/>
    </row>
    <row r="49" customFormat="false" ht="12.75" hidden="false" customHeight="false" outlineLevel="0" collapsed="false">
      <c r="F49" s="223" t="s">
        <v>386</v>
      </c>
      <c r="G49" s="224"/>
      <c r="H49" s="224"/>
      <c r="I49" s="224"/>
      <c r="J49" s="225"/>
    </row>
    <row r="50" customFormat="false" ht="12.75" hidden="false" customHeight="false" outlineLevel="0" collapsed="false">
      <c r="A50" s="223" t="s">
        <v>294</v>
      </c>
      <c r="B50" s="298" t="s">
        <v>387</v>
      </c>
      <c r="C50" s="298" t="s">
        <v>388</v>
      </c>
      <c r="D50" s="298" t="s">
        <v>389</v>
      </c>
      <c r="E50" s="298" t="s">
        <v>390</v>
      </c>
      <c r="F50" s="228"/>
      <c r="G50" s="172" t="s">
        <v>391</v>
      </c>
      <c r="H50" s="172" t="s">
        <v>392</v>
      </c>
      <c r="I50" s="229" t="s">
        <v>393</v>
      </c>
      <c r="J50" s="230" t="s">
        <v>394</v>
      </c>
    </row>
    <row r="51" customFormat="false" ht="12.75" hidden="false" customHeight="false" outlineLevel="0" collapsed="false">
      <c r="A51" s="252"/>
      <c r="B51" s="253" t="n">
        <f aca="false">+Rates!Q17</f>
        <v>0.0411644670050763</v>
      </c>
      <c r="C51" s="253" t="n">
        <f aca="false">SUM(Rates!Q22)</f>
        <v>0.0431644670050763</v>
      </c>
      <c r="D51" s="253" t="n">
        <f aca="false">SUM(Rates!Q27)</f>
        <v>0.0623381780962129</v>
      </c>
      <c r="E51" s="253" t="n">
        <f aca="false">SUM(Rates!Q32)</f>
        <v>0.0757133470225873</v>
      </c>
      <c r="F51" s="244" t="s">
        <v>395</v>
      </c>
      <c r="G51" s="261" t="n">
        <f aca="false">+Rates!AF17-0.0072</f>
        <v>0.0135167754897036</v>
      </c>
      <c r="H51" s="299" t="n">
        <f aca="false">+G51+0.0072</f>
        <v>0.0207167754897036</v>
      </c>
      <c r="I51" s="300" t="n">
        <f aca="false">+Rates!AF35</f>
        <v>0.0557142594671839</v>
      </c>
      <c r="J51" s="262" t="n">
        <f aca="false">+Rates!AF23</f>
        <v>0.0880621627209758</v>
      </c>
    </row>
    <row r="52" customFormat="false" ht="12.75" hidden="false" customHeight="false" outlineLevel="0" collapsed="false">
      <c r="F52" s="252" t="n">
        <v>1</v>
      </c>
      <c r="G52" s="138"/>
      <c r="H52" s="138"/>
      <c r="I52" s="138"/>
      <c r="J52" s="301" t="n">
        <f aca="false">SUM(Rates!AF29)</f>
        <v>0.0862621627209758</v>
      </c>
    </row>
    <row r="53" customFormat="false" ht="13.5" hidden="false" customHeight="false" outlineLevel="0" collapsed="false">
      <c r="I53" s="302"/>
      <c r="J53" s="172"/>
      <c r="K53" s="172"/>
      <c r="L53" s="172"/>
    </row>
    <row r="54" customFormat="false" ht="14.25" hidden="false" customHeight="false" outlineLevel="0" collapsed="false">
      <c r="A54" s="223" t="s">
        <v>396</v>
      </c>
      <c r="B54" s="224"/>
      <c r="C54" s="224"/>
      <c r="D54" s="224"/>
      <c r="E54" s="225"/>
      <c r="F54" s="303" t="s">
        <v>397</v>
      </c>
      <c r="G54" s="225"/>
      <c r="I54" s="304" t="s">
        <v>398</v>
      </c>
      <c r="J54" s="305" t="s">
        <v>399</v>
      </c>
      <c r="K54" s="306" t="n">
        <f aca="false">+Rates!AL17</f>
        <v>0.0413571428571428</v>
      </c>
      <c r="L54" s="307" t="s">
        <v>108</v>
      </c>
    </row>
    <row r="55" customFormat="false" ht="13.5" hidden="false" customHeight="false" outlineLevel="0" collapsed="false">
      <c r="A55" s="233"/>
      <c r="B55" s="229" t="s">
        <v>400</v>
      </c>
      <c r="C55" s="229" t="s">
        <v>401</v>
      </c>
      <c r="D55" s="229" t="s">
        <v>236</v>
      </c>
      <c r="E55" s="230"/>
      <c r="F55" s="308" t="s">
        <v>402</v>
      </c>
      <c r="G55" s="270"/>
      <c r="I55" s="309"/>
      <c r="J55" s="302"/>
      <c r="K55" s="310"/>
      <c r="L55" s="302"/>
    </row>
    <row r="56" customFormat="false" ht="12.75" hidden="false" customHeight="false" outlineLevel="0" collapsed="false">
      <c r="A56" s="238" t="s">
        <v>400</v>
      </c>
      <c r="B56" s="234" t="n">
        <f aca="false">+Rates!T32</f>
        <v>0.0987978521438339</v>
      </c>
      <c r="C56" s="234" t="n">
        <f aca="false">+C57+B56</f>
        <v>0.149254546302117</v>
      </c>
      <c r="D56" s="234" t="n">
        <f aca="false">SUM(Rates!T27,Rates!T37,Rates!T32)</f>
        <v>0.219923840483741</v>
      </c>
      <c r="E56" s="235"/>
      <c r="F56" s="311" t="s">
        <v>403</v>
      </c>
      <c r="G56" s="277" t="n">
        <f aca="false">Rates!AC34</f>
        <v>0.0348095755381213</v>
      </c>
      <c r="H56" s="312"/>
      <c r="I56" s="313"/>
      <c r="J56" s="313"/>
      <c r="K56" s="313"/>
      <c r="L56" s="313"/>
    </row>
    <row r="57" customFormat="false" ht="12.75" hidden="false" customHeight="false" outlineLevel="0" collapsed="false">
      <c r="A57" s="238" t="s">
        <v>401</v>
      </c>
      <c r="B57" s="234"/>
      <c r="C57" s="234" t="n">
        <f aca="false">+Rates!T37</f>
        <v>0.0504566941582834</v>
      </c>
      <c r="D57" s="234" t="n">
        <f aca="false">+Rates!T37+Rates!T27</f>
        <v>0.121125988339908</v>
      </c>
      <c r="E57" s="235"/>
      <c r="F57" s="259"/>
      <c r="G57" s="172"/>
      <c r="H57" s="263"/>
      <c r="I57" s="314"/>
      <c r="J57" s="314"/>
      <c r="K57" s="314"/>
      <c r="L57" s="314"/>
    </row>
    <row r="58" customFormat="false" ht="12.75" hidden="false" customHeight="false" outlineLevel="0" collapsed="false">
      <c r="A58" s="238" t="s">
        <v>404</v>
      </c>
      <c r="B58" s="234"/>
      <c r="C58" s="234"/>
      <c r="D58" s="234" t="n">
        <f aca="false">+Rates!T27</f>
        <v>0.0706692941816242</v>
      </c>
      <c r="E58" s="235"/>
      <c r="F58" s="234"/>
      <c r="G58" s="261"/>
      <c r="H58" s="302"/>
      <c r="I58" s="313"/>
      <c r="J58" s="313"/>
      <c r="K58" s="313"/>
      <c r="L58" s="313"/>
    </row>
    <row r="59" customFormat="false" ht="12.75" hidden="false" customHeight="false" outlineLevel="0" collapsed="false">
      <c r="A59" s="315"/>
      <c r="B59" s="273" t="s">
        <v>405</v>
      </c>
      <c r="C59" s="273"/>
      <c r="D59" s="273"/>
      <c r="E59" s="277"/>
      <c r="F59" s="234"/>
      <c r="G59" s="172"/>
      <c r="H59" s="314"/>
      <c r="I59" s="314"/>
      <c r="J59" s="314"/>
      <c r="K59" s="314"/>
      <c r="L59" s="314"/>
    </row>
    <row r="60" customFormat="false" ht="12.75" hidden="false" customHeight="false" outlineLevel="0" collapsed="false">
      <c r="G60" s="316"/>
      <c r="H60" s="256"/>
      <c r="I60" s="314"/>
      <c r="J60" s="256"/>
      <c r="K60" s="256"/>
      <c r="L60" s="256"/>
    </row>
    <row r="61" customFormat="false" ht="13.5" hidden="false" customHeight="false" outlineLevel="0" collapsed="false">
      <c r="F61" s="317"/>
      <c r="G61" s="314"/>
      <c r="H61" s="263"/>
      <c r="I61" s="256"/>
      <c r="J61" s="314"/>
      <c r="K61" s="314"/>
      <c r="L61" s="314"/>
    </row>
    <row r="62" customFormat="false" ht="13.5" hidden="false" customHeight="false" outlineLevel="0" collapsed="false">
      <c r="A62" s="318" t="s">
        <v>406</v>
      </c>
      <c r="B62" s="319"/>
      <c r="C62" s="319"/>
      <c r="D62" s="319"/>
      <c r="E62" s="319"/>
      <c r="F62" s="320" t="n">
        <f aca="false">Rates!A1</f>
        <v>37259</v>
      </c>
      <c r="G62" s="321"/>
      <c r="H62" s="293"/>
      <c r="I62" s="321"/>
      <c r="J62" s="253"/>
      <c r="K62" s="253"/>
      <c r="L62" s="256"/>
    </row>
    <row r="63" customFormat="false" ht="12.75" hidden="false" customHeight="false" outlineLevel="0" collapsed="false">
      <c r="A63" s="297" t="s">
        <v>407</v>
      </c>
      <c r="B63" s="221" t="n">
        <f aca="false">+Rates!B6</f>
        <v>1.605</v>
      </c>
      <c r="D63" s="322" t="s">
        <v>408</v>
      </c>
      <c r="E63" s="221" t="n">
        <f aca="false">Rates!T3</f>
        <v>1.675</v>
      </c>
      <c r="F63" s="323" t="str">
        <f aca="false">Rates!A2</f>
        <v>Gas Daily </v>
      </c>
      <c r="G63" s="324"/>
      <c r="H63" s="172"/>
      <c r="I63" s="313"/>
      <c r="J63" s="313"/>
      <c r="K63" s="325"/>
      <c r="L63" s="313"/>
    </row>
    <row r="64" customFormat="false" ht="13.5" hidden="false" customHeight="false" outlineLevel="0" collapsed="false">
      <c r="A64" s="229" t="s">
        <v>409</v>
      </c>
      <c r="B64" s="326" t="n">
        <f aca="false">+Rates!B5</f>
        <v>1.63</v>
      </c>
      <c r="C64" s="229"/>
      <c r="D64" s="271" t="s">
        <v>410</v>
      </c>
      <c r="E64" s="221" t="n">
        <f aca="false">Rates!T4</f>
        <v>1.72545669415828</v>
      </c>
      <c r="F64" s="327" t="str">
        <f aca="false">Rates!B2</f>
        <v>-.30</v>
      </c>
      <c r="G64" s="324"/>
      <c r="H64" s="302" t="s">
        <v>411</v>
      </c>
      <c r="I64" s="313"/>
      <c r="J64" s="313"/>
      <c r="K64" s="325"/>
      <c r="L64" s="313"/>
    </row>
    <row r="65" customFormat="false" ht="12.75" hidden="false" customHeight="false" outlineLevel="0" collapsed="false">
      <c r="A65" s="229" t="s">
        <v>412</v>
      </c>
      <c r="B65" s="221" t="n">
        <f aca="false">Rates!B4</f>
        <v>2.62</v>
      </c>
      <c r="C65" s="234"/>
      <c r="D65" s="239" t="s">
        <v>413</v>
      </c>
      <c r="E65" s="221" t="n">
        <f aca="false">+Rates!AF3</f>
        <v>1.685</v>
      </c>
      <c r="G65" s="228"/>
      <c r="H65" s="302"/>
      <c r="I65" s="328" t="s">
        <v>258</v>
      </c>
      <c r="J65" s="328" t="s">
        <v>260</v>
      </c>
      <c r="K65" s="329" t="s">
        <v>414</v>
      </c>
      <c r="L65" s="313"/>
    </row>
    <row r="66" customFormat="false" ht="12.75" hidden="false" customHeight="false" outlineLevel="0" collapsed="false">
      <c r="A66" s="297" t="s">
        <v>415</v>
      </c>
      <c r="B66" s="221" t="n">
        <f aca="false">Rates!B3</f>
        <v>1.73</v>
      </c>
      <c r="C66" s="234"/>
      <c r="D66" s="322" t="s">
        <v>416</v>
      </c>
      <c r="E66" s="221" t="n">
        <f aca="false">+Rates!H4</f>
        <v>1.595</v>
      </c>
      <c r="G66" s="228" t="s">
        <v>417</v>
      </c>
      <c r="H66" s="172"/>
      <c r="I66" s="330" t="n">
        <f aca="false">+Rates!AR17</f>
        <v>0.0769721311475409</v>
      </c>
      <c r="J66" s="330" t="n">
        <f aca="false">+Rates!AR41</f>
        <v>0.0599721311475409</v>
      </c>
      <c r="K66" s="331" t="n">
        <f aca="false">+Rates!AR35</f>
        <v>0.371849180327869</v>
      </c>
      <c r="L66" s="313"/>
    </row>
    <row r="67" customFormat="false" ht="12.75" hidden="false" customHeight="false" outlineLevel="0" collapsed="false">
      <c r="A67" s="297" t="s">
        <v>418</v>
      </c>
      <c r="B67" s="221" t="n">
        <f aca="false">Rates!B7</f>
        <v>1.995</v>
      </c>
      <c r="C67" s="234"/>
      <c r="D67" s="322" t="s">
        <v>419</v>
      </c>
      <c r="E67" s="221" t="n">
        <f aca="false">+Rates!H5</f>
        <v>1.855</v>
      </c>
      <c r="G67" s="228" t="s">
        <v>420</v>
      </c>
      <c r="H67" s="172"/>
      <c r="I67" s="332" t="n">
        <f aca="false">+Rates!AR23</f>
        <v>0.0768491803278689</v>
      </c>
      <c r="J67" s="332" t="n">
        <f aca="false">+Rates!AR50</f>
        <v>0.0598491803278689</v>
      </c>
      <c r="K67" s="333" t="n">
        <f aca="false">+Rates!AR35</f>
        <v>0.371849180327869</v>
      </c>
      <c r="L67" s="302"/>
    </row>
    <row r="68" customFormat="false" ht="12.75" hidden="false" customHeight="false" outlineLevel="0" collapsed="false">
      <c r="A68" s="229" t="s">
        <v>367</v>
      </c>
      <c r="B68" s="221" t="n">
        <f aca="false">Rates!K5</f>
        <v>1.61</v>
      </c>
      <c r="D68" s="239" t="s">
        <v>421</v>
      </c>
      <c r="E68" s="221" t="n">
        <f aca="false">Rates!Z3</f>
        <v>1.8</v>
      </c>
      <c r="G68" s="228"/>
      <c r="H68" s="172"/>
      <c r="I68" s="313"/>
      <c r="J68" s="313"/>
      <c r="K68" s="325"/>
      <c r="L68" s="313"/>
    </row>
    <row r="69" customFormat="false" ht="12.75" hidden="false" customHeight="false" outlineLevel="0" collapsed="false">
      <c r="A69" s="229" t="s">
        <v>353</v>
      </c>
      <c r="B69" s="221" t="n">
        <f aca="false">Rates!K4</f>
        <v>1.625</v>
      </c>
      <c r="D69" s="239" t="s">
        <v>119</v>
      </c>
      <c r="E69" s="221" t="n">
        <f aca="false">Rates!W3</f>
        <v>1.775</v>
      </c>
      <c r="G69" s="228"/>
      <c r="H69" s="172" t="s">
        <v>422</v>
      </c>
      <c r="I69" s="334" t="n">
        <v>0.0348</v>
      </c>
      <c r="J69" s="334" t="n">
        <v>0.0178</v>
      </c>
      <c r="K69" s="270" t="n">
        <v>0.3298</v>
      </c>
      <c r="L69" s="313"/>
    </row>
    <row r="70" customFormat="false" ht="12.75" hidden="false" customHeight="false" outlineLevel="0" collapsed="false">
      <c r="A70" s="297" t="s">
        <v>348</v>
      </c>
      <c r="B70" s="221" t="n">
        <f aca="false">Rates!K3</f>
        <v>1.665</v>
      </c>
      <c r="D70" s="322" t="s">
        <v>146</v>
      </c>
      <c r="E70" s="221" t="n">
        <f aca="false">Rates!AI3</f>
        <v>1.825</v>
      </c>
      <c r="G70" s="252"/>
      <c r="H70" s="138" t="s">
        <v>371</v>
      </c>
      <c r="I70" s="335" t="n">
        <v>0.024</v>
      </c>
      <c r="J70" s="335" t="n">
        <v>0.024</v>
      </c>
      <c r="K70" s="336" t="n">
        <v>0.024</v>
      </c>
      <c r="L70" s="313"/>
    </row>
    <row r="71" customFormat="false" ht="13.5" hidden="false" customHeight="false" outlineLevel="0" collapsed="false">
      <c r="A71" s="297" t="s">
        <v>383</v>
      </c>
      <c r="B71" s="221" t="n">
        <f aca="false">Rates!K6</f>
        <v>1.74</v>
      </c>
      <c r="D71" s="322" t="s">
        <v>423</v>
      </c>
      <c r="E71" s="221" t="n">
        <f aca="false">Rates!AP3</f>
        <v>1.71</v>
      </c>
      <c r="I71" s="313"/>
      <c r="J71" s="313"/>
      <c r="K71" s="313"/>
      <c r="L71" s="313"/>
    </row>
    <row r="72" customFormat="false" ht="15.75" hidden="false" customHeight="false" outlineLevel="0" collapsed="false">
      <c r="A72" s="297" t="s">
        <v>385</v>
      </c>
      <c r="B72" s="221" t="n">
        <f aca="false">Rates!K7</f>
        <v>1.92</v>
      </c>
      <c r="D72" s="337" t="s">
        <v>424</v>
      </c>
      <c r="E72" s="338" t="n">
        <f aca="false">Rates!D2</f>
        <v>1.71</v>
      </c>
      <c r="I72" s="313"/>
      <c r="J72" s="313"/>
      <c r="K72" s="313"/>
      <c r="L72" s="313"/>
    </row>
    <row r="73" customFormat="false" ht="13.5" hidden="false" customHeight="false" outlineLevel="0" collapsed="false">
      <c r="I73" s="313"/>
      <c r="J73" s="313"/>
      <c r="K73" s="313"/>
      <c r="L73" s="313"/>
    </row>
    <row r="74" customFormat="false" ht="12.75" hidden="false" customHeight="false" outlineLevel="0" collapsed="false">
      <c r="I74" s="313"/>
      <c r="J74" s="313"/>
      <c r="K74" s="313"/>
      <c r="L74" s="313"/>
    </row>
    <row r="75" customFormat="false" ht="12.75" hidden="false" customHeight="false" outlineLevel="0" collapsed="false">
      <c r="I75" s="313"/>
      <c r="J75" s="313"/>
      <c r="K75" s="313"/>
      <c r="L75" s="313"/>
    </row>
    <row r="76" customFormat="false" ht="12.75" hidden="false" customHeight="false" outlineLevel="0" collapsed="false">
      <c r="I76" s="313"/>
      <c r="J76" s="313"/>
      <c r="K76" s="313"/>
      <c r="L76" s="313"/>
    </row>
    <row r="77" customFormat="false" ht="12.75" hidden="false" customHeight="false" outlineLevel="0" collapsed="false">
      <c r="I77" s="302"/>
      <c r="J77" s="172"/>
      <c r="K77" s="172"/>
      <c r="L77" s="172"/>
    </row>
    <row r="78" customFormat="false" ht="12.75" hidden="false" customHeight="false" outlineLevel="0" collapsed="false">
      <c r="I78" s="172"/>
      <c r="J78" s="302"/>
      <c r="K78" s="172"/>
      <c r="L78" s="302"/>
    </row>
    <row r="79" customFormat="false" ht="12.75" hidden="false" customHeight="false" outlineLevel="0" collapsed="false">
      <c r="I79" s="313"/>
      <c r="J79" s="313"/>
      <c r="K79" s="313"/>
      <c r="L79" s="313"/>
    </row>
    <row r="80" customFormat="false" ht="12.75" hidden="false" customHeight="false" outlineLevel="0" collapsed="false">
      <c r="I80" s="313"/>
      <c r="J80" s="313"/>
      <c r="K80" s="313"/>
      <c r="L80" s="313"/>
    </row>
    <row r="81" customFormat="false" ht="12.75" hidden="false" customHeight="false" outlineLevel="0" collapsed="false">
      <c r="I81" s="313"/>
      <c r="J81" s="313"/>
      <c r="K81" s="313"/>
      <c r="L81" s="313"/>
    </row>
    <row r="82" customFormat="false" ht="12.75" hidden="false" customHeight="false" outlineLevel="0" collapsed="false">
      <c r="I82" s="313"/>
      <c r="J82" s="313"/>
      <c r="K82" s="313"/>
      <c r="L82" s="313"/>
    </row>
    <row r="83" customFormat="false" ht="12.75" hidden="false" customHeight="false" outlineLevel="0" collapsed="false">
      <c r="I83" s="313"/>
      <c r="J83" s="313"/>
      <c r="K83" s="313"/>
      <c r="L83" s="313"/>
    </row>
    <row r="84" customFormat="false" ht="12.75" hidden="false" customHeight="false" outlineLevel="0" collapsed="false">
      <c r="I84" s="313"/>
      <c r="J84" s="313"/>
      <c r="K84" s="313"/>
      <c r="L84" s="313"/>
    </row>
    <row r="85" customFormat="false" ht="12.75" hidden="false" customHeight="false" outlineLevel="0" collapsed="false">
      <c r="I85" s="313"/>
      <c r="J85" s="313"/>
      <c r="K85" s="313"/>
      <c r="L85" s="313"/>
    </row>
    <row r="86" customFormat="false" ht="12.75" hidden="false" customHeight="false" outlineLevel="0" collapsed="false">
      <c r="I86" s="339"/>
      <c r="J86" s="339"/>
      <c r="K86" s="339"/>
      <c r="L86" s="339"/>
    </row>
    <row r="87" customFormat="false" ht="12.75" hidden="false" customHeight="false" outlineLevel="0" collapsed="false">
      <c r="I87" s="339"/>
      <c r="J87" s="339"/>
      <c r="K87" s="339"/>
      <c r="L87" s="339"/>
    </row>
    <row r="88" customFormat="false" ht="12.75" hidden="false" customHeight="false" outlineLevel="0" collapsed="false">
      <c r="I88" s="339"/>
      <c r="J88" s="339"/>
      <c r="K88" s="339"/>
      <c r="L88" s="339"/>
    </row>
    <row r="89" customFormat="false" ht="12.75" hidden="false" customHeight="false" outlineLevel="0" collapsed="false">
      <c r="I89" s="339"/>
      <c r="J89" s="339"/>
      <c r="K89" s="339"/>
      <c r="L89" s="339"/>
    </row>
    <row r="90" customFormat="false" ht="12.75" hidden="false" customHeight="false" outlineLevel="0" collapsed="false">
      <c r="I90" s="339"/>
      <c r="J90" s="339"/>
      <c r="K90" s="339"/>
      <c r="L90" s="3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&amp;C&amp;14DECEMBER
 2001 Rates Using Current Cash Prices</oddHeader>
    <oddFooter>&amp;L&amp;D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2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pane xSplit="0" ySplit="7" topLeftCell="BM8" activePane="bottomLeft" state="frozen"/>
      <selection pane="topLeft" activeCell="Z1" activeCellId="0" sqref="Z1"/>
      <selection pane="bottomLeft" activeCell="AF14" activeCellId="0" sqref="AF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1.85"/>
    <col collapsed="false" customWidth="true" hidden="false" outlineLevel="0" max="2" min="2" style="43" width="10.85"/>
    <col collapsed="false" customWidth="true" hidden="false" outlineLevel="0" max="3" min="3" style="43" width="3.99"/>
    <col collapsed="false" customWidth="true" hidden="false" outlineLevel="0" max="4" min="4" style="43" width="11.85"/>
    <col collapsed="false" customWidth="true" hidden="false" outlineLevel="0" max="5" min="5" style="43" width="11.99"/>
    <col collapsed="false" customWidth="true" hidden="false" outlineLevel="0" max="6" min="6" style="43" width="2.84"/>
    <col collapsed="false" customWidth="true" hidden="false" outlineLevel="0" max="8" min="7" style="43" width="10.85"/>
    <col collapsed="false" customWidth="true" hidden="false" outlineLevel="0" max="9" min="9" style="43" width="2.84"/>
    <col collapsed="false" customWidth="true" hidden="false" outlineLevel="0" max="11" min="10" style="43" width="10.85"/>
    <col collapsed="false" customWidth="true" hidden="false" outlineLevel="0" max="12" min="12" style="43" width="2.84"/>
    <col collapsed="false" customWidth="true" hidden="false" outlineLevel="0" max="14" min="13" style="43" width="10.85"/>
    <col collapsed="false" customWidth="true" hidden="false" outlineLevel="0" max="15" min="15" style="43" width="2.84"/>
    <col collapsed="false" customWidth="true" hidden="false" outlineLevel="0" max="17" min="16" style="43" width="10.85"/>
    <col collapsed="false" customWidth="true" hidden="false" outlineLevel="0" max="18" min="18" style="43" width="2.84"/>
    <col collapsed="false" customWidth="true" hidden="false" outlineLevel="0" max="20" min="19" style="43" width="10.85"/>
    <col collapsed="false" customWidth="true" hidden="false" outlineLevel="0" max="21" min="21" style="43" width="2.84"/>
    <col collapsed="false" customWidth="true" hidden="false" outlineLevel="0" max="23" min="22" style="43" width="10.85"/>
    <col collapsed="false" customWidth="true" hidden="false" outlineLevel="0" max="24" min="24" style="43" width="2.84"/>
    <col collapsed="false" customWidth="true" hidden="false" outlineLevel="0" max="25" min="25" style="43" width="12.14"/>
    <col collapsed="false" customWidth="true" hidden="false" outlineLevel="0" max="26" min="26" style="43" width="10.85"/>
    <col collapsed="false" customWidth="true" hidden="false" outlineLevel="0" max="27" min="27" style="43" width="3.42"/>
    <col collapsed="false" customWidth="true" hidden="false" outlineLevel="0" max="28" min="28" style="43" width="9.28"/>
    <col collapsed="false" customWidth="false" hidden="false" outlineLevel="0" max="29" min="29" style="43" width="9.14"/>
    <col collapsed="false" customWidth="true" hidden="false" outlineLevel="0" max="30" min="30" style="43" width="3.42"/>
    <col collapsed="false" customWidth="false" hidden="false" outlineLevel="0" max="32" min="31" style="43" width="9.14"/>
    <col collapsed="false" customWidth="true" hidden="false" outlineLevel="0" max="33" min="33" style="43" width="3.42"/>
    <col collapsed="false" customWidth="true" hidden="false" outlineLevel="0" max="34" min="34" style="43" width="9.28"/>
    <col collapsed="false" customWidth="false" hidden="false" outlineLevel="0" max="35" min="35" style="43" width="9.14"/>
    <col collapsed="false" customWidth="true" hidden="false" outlineLevel="0" max="36" min="36" style="43" width="3.42"/>
    <col collapsed="false" customWidth="false" hidden="false" outlineLevel="0" max="38" min="37" style="43" width="9.14"/>
    <col collapsed="false" customWidth="true" hidden="false" outlineLevel="0" max="39" min="39" style="43" width="10.28"/>
    <col collapsed="false" customWidth="false" hidden="false" outlineLevel="0" max="40" min="40" style="43" width="9.14"/>
    <col collapsed="false" customWidth="true" hidden="false" outlineLevel="0" max="41" min="41" style="43" width="10.99"/>
    <col collapsed="false" customWidth="false" hidden="false" outlineLevel="0" max="42" min="42" style="43" width="9.14"/>
    <col collapsed="false" customWidth="true" hidden="false" outlineLevel="0" max="43" min="43" style="43" width="11.56"/>
    <col collapsed="false" customWidth="true" hidden="false" outlineLevel="0" max="44" min="44" style="43" width="11.13"/>
    <col collapsed="false" customWidth="false" hidden="false" outlineLevel="0" max="257" min="45" style="43" width="9.14"/>
  </cols>
  <sheetData>
    <row r="1" customFormat="false" ht="13.5" hidden="false" customHeight="false" outlineLevel="0" collapsed="false">
      <c r="A1" s="340" t="n">
        <v>37259</v>
      </c>
      <c r="D1" s="341" t="s">
        <v>424</v>
      </c>
    </row>
    <row r="2" customFormat="false" ht="13.5" hidden="false" customHeight="false" outlineLevel="0" collapsed="false">
      <c r="A2" s="342" t="s">
        <v>425</v>
      </c>
      <c r="B2" s="343" t="s">
        <v>426</v>
      </c>
      <c r="C2" s="342"/>
      <c r="D2" s="344" t="n">
        <v>1.71</v>
      </c>
      <c r="E2" s="345" t="s">
        <v>427</v>
      </c>
      <c r="F2" s="342"/>
      <c r="G2" s="342" t="s">
        <v>73</v>
      </c>
      <c r="H2" s="342"/>
      <c r="I2" s="342"/>
      <c r="J2" s="342" t="s">
        <v>73</v>
      </c>
      <c r="K2" s="346"/>
      <c r="L2" s="342"/>
      <c r="M2" s="342"/>
      <c r="N2" s="345" t="s">
        <v>427</v>
      </c>
      <c r="O2" s="342"/>
      <c r="P2" s="342"/>
      <c r="Q2" s="346"/>
      <c r="R2" s="342"/>
      <c r="S2" s="342"/>
      <c r="T2" s="346"/>
      <c r="U2" s="342"/>
      <c r="V2" s="342"/>
      <c r="W2" s="346"/>
      <c r="X2" s="342" t="s">
        <v>73</v>
      </c>
      <c r="Y2" s="342" t="s">
        <v>73</v>
      </c>
      <c r="Z2" s="342" t="s">
        <v>73</v>
      </c>
      <c r="AH2" s="347" t="s">
        <v>428</v>
      </c>
    </row>
    <row r="3" customFormat="false" ht="12.75" hidden="false" customHeight="false" outlineLevel="0" collapsed="false">
      <c r="A3" s="348" t="s">
        <v>429</v>
      </c>
      <c r="B3" s="349" t="n">
        <v>1.73</v>
      </c>
      <c r="C3" s="342"/>
      <c r="D3" s="348" t="s">
        <v>429</v>
      </c>
      <c r="E3" s="350" t="n">
        <f aca="false">+B3</f>
        <v>1.73</v>
      </c>
      <c r="F3" s="342"/>
      <c r="G3" s="351" t="s">
        <v>430</v>
      </c>
      <c r="H3" s="8" t="n">
        <v>1.565</v>
      </c>
      <c r="I3" s="342"/>
      <c r="J3" s="348" t="s">
        <v>431</v>
      </c>
      <c r="K3" s="352" t="n">
        <v>1.665</v>
      </c>
      <c r="L3" s="342"/>
      <c r="M3" s="348" t="s">
        <v>431</v>
      </c>
      <c r="N3" s="350" t="n">
        <f aca="false">+K3</f>
        <v>1.665</v>
      </c>
      <c r="O3" s="342"/>
      <c r="P3" s="348" t="s">
        <v>432</v>
      </c>
      <c r="Q3" s="353" t="n">
        <v>1.705</v>
      </c>
      <c r="R3" s="342" t="s">
        <v>73</v>
      </c>
      <c r="S3" s="348" t="s">
        <v>433</v>
      </c>
      <c r="T3" s="353" t="n">
        <v>1.675</v>
      </c>
      <c r="U3" s="342" t="s">
        <v>73</v>
      </c>
      <c r="V3" s="348" t="s">
        <v>119</v>
      </c>
      <c r="W3" s="353" t="n">
        <v>1.775</v>
      </c>
      <c r="X3" s="342"/>
      <c r="Y3" s="354" t="s">
        <v>434</v>
      </c>
      <c r="Z3" s="353" t="n">
        <v>1.8</v>
      </c>
      <c r="AB3" s="348" t="s">
        <v>385</v>
      </c>
      <c r="AC3" s="355" t="n">
        <v>2.47</v>
      </c>
      <c r="AE3" s="222" t="s">
        <v>435</v>
      </c>
      <c r="AF3" s="353" t="n">
        <v>1.685</v>
      </c>
      <c r="AH3" s="348" t="s">
        <v>436</v>
      </c>
      <c r="AI3" s="353" t="n">
        <v>1.825</v>
      </c>
      <c r="AK3" s="348" t="s">
        <v>398</v>
      </c>
      <c r="AL3" s="355" t="n">
        <f aca="false">H5</f>
        <v>1.855</v>
      </c>
      <c r="AM3" s="222" t="s">
        <v>437</v>
      </c>
      <c r="AN3" s="356" t="n">
        <v>1.715</v>
      </c>
      <c r="AO3" s="222" t="s">
        <v>438</v>
      </c>
      <c r="AP3" s="356" t="n">
        <v>1.71</v>
      </c>
    </row>
    <row r="4" customFormat="false" ht="12.75" hidden="false" customHeight="false" outlineLevel="0" collapsed="false">
      <c r="A4" s="348" t="s">
        <v>439</v>
      </c>
      <c r="B4" s="357" t="n">
        <v>2.62</v>
      </c>
      <c r="C4" s="229"/>
      <c r="D4" s="348" t="s">
        <v>439</v>
      </c>
      <c r="E4" s="350" t="n">
        <f aca="false">+B4</f>
        <v>2.62</v>
      </c>
      <c r="F4" s="229"/>
      <c r="G4" s="351" t="s">
        <v>440</v>
      </c>
      <c r="H4" s="357" t="n">
        <v>1.595</v>
      </c>
      <c r="I4" s="342"/>
      <c r="J4" s="348" t="s">
        <v>441</v>
      </c>
      <c r="K4" s="352" t="n">
        <v>1.625</v>
      </c>
      <c r="L4" s="342"/>
      <c r="M4" s="348" t="s">
        <v>441</v>
      </c>
      <c r="N4" s="350" t="n">
        <f aca="false">+K4</f>
        <v>1.625</v>
      </c>
      <c r="O4" s="342"/>
      <c r="P4" s="348"/>
      <c r="Q4" s="353"/>
      <c r="R4" s="342"/>
      <c r="S4" s="348" t="s">
        <v>442</v>
      </c>
      <c r="T4" s="353" t="n">
        <f aca="false">+T3+T37</f>
        <v>1.72545669415828</v>
      </c>
      <c r="U4" s="342"/>
      <c r="V4" s="348"/>
      <c r="W4" s="353" t="n">
        <f aca="false">+W17+W3</f>
        <v>1.84202374606624</v>
      </c>
      <c r="X4" s="342"/>
      <c r="Y4" s="342"/>
      <c r="Z4" s="342"/>
      <c r="AB4" s="222" t="s">
        <v>443</v>
      </c>
      <c r="AE4" s="222" t="s">
        <v>444</v>
      </c>
      <c r="AL4" s="358"/>
    </row>
    <row r="5" customFormat="false" ht="12.75" hidden="false" customHeight="false" outlineLevel="0" collapsed="false">
      <c r="A5" s="348" t="s">
        <v>445</v>
      </c>
      <c r="B5" s="359" t="n">
        <v>1.63</v>
      </c>
      <c r="C5" s="234"/>
      <c r="D5" s="348" t="s">
        <v>445</v>
      </c>
      <c r="E5" s="350" t="n">
        <f aca="false">+B5</f>
        <v>1.63</v>
      </c>
      <c r="F5" s="234"/>
      <c r="G5" s="351" t="s">
        <v>287</v>
      </c>
      <c r="H5" s="359" t="n">
        <v>1.855</v>
      </c>
      <c r="I5" s="342"/>
      <c r="J5" s="348" t="s">
        <v>446</v>
      </c>
      <c r="K5" s="352" t="n">
        <v>1.61</v>
      </c>
      <c r="L5" s="342"/>
      <c r="M5" s="348" t="s">
        <v>446</v>
      </c>
      <c r="N5" s="350" t="n">
        <f aca="false">+K5</f>
        <v>1.61</v>
      </c>
      <c r="O5" s="342"/>
      <c r="P5" s="348"/>
      <c r="Q5" s="346"/>
      <c r="R5" s="342"/>
      <c r="S5" s="348" t="s">
        <v>447</v>
      </c>
      <c r="T5" s="346" t="n">
        <f aca="false">+T4+T27</f>
        <v>1.79612598833991</v>
      </c>
      <c r="U5" s="342"/>
      <c r="V5" s="348"/>
      <c r="W5" s="346"/>
      <c r="X5" s="342"/>
      <c r="Y5" s="342"/>
      <c r="Z5" s="360"/>
      <c r="AF5" s="358"/>
      <c r="AL5" s="358"/>
    </row>
    <row r="6" customFormat="false" ht="12.75" hidden="false" customHeight="false" outlineLevel="0" collapsed="false">
      <c r="A6" s="351" t="s">
        <v>448</v>
      </c>
      <c r="B6" s="359" t="n">
        <v>1.605</v>
      </c>
      <c r="C6" s="234"/>
      <c r="D6" s="351" t="s">
        <v>448</v>
      </c>
      <c r="E6" s="350" t="n">
        <f aca="false">+B6</f>
        <v>1.605</v>
      </c>
      <c r="F6" s="234"/>
      <c r="G6" s="172"/>
      <c r="H6" s="172"/>
      <c r="I6" s="310"/>
      <c r="J6" s="351" t="s">
        <v>449</v>
      </c>
      <c r="K6" s="361" t="n">
        <v>1.74</v>
      </c>
      <c r="L6" s="310"/>
      <c r="M6" s="351" t="s">
        <v>449</v>
      </c>
      <c r="N6" s="350" t="n">
        <f aca="false">+K6</f>
        <v>1.74</v>
      </c>
      <c r="O6" s="310"/>
      <c r="P6" s="351"/>
      <c r="Q6" s="362"/>
      <c r="R6" s="310"/>
      <c r="S6" s="351" t="s">
        <v>450</v>
      </c>
      <c r="T6" s="362" t="n">
        <f aca="false">+T5-T3</f>
        <v>0.121125988339908</v>
      </c>
      <c r="U6" s="310"/>
      <c r="V6" s="351"/>
      <c r="W6" s="362"/>
      <c r="X6" s="310"/>
      <c r="Y6" s="310"/>
      <c r="Z6" s="36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363" t="s">
        <v>451</v>
      </c>
      <c r="B7" s="359" t="n">
        <v>1.995</v>
      </c>
      <c r="C7" s="234"/>
      <c r="D7" s="363" t="s">
        <v>451</v>
      </c>
      <c r="E7" s="350" t="n">
        <f aca="false">+B7</f>
        <v>1.995</v>
      </c>
      <c r="F7" s="234"/>
      <c r="G7" s="234"/>
      <c r="H7" s="234"/>
      <c r="I7" s="364"/>
      <c r="J7" s="363" t="s">
        <v>385</v>
      </c>
      <c r="K7" s="365" t="n">
        <v>1.92</v>
      </c>
      <c r="L7" s="364"/>
      <c r="M7" s="363" t="s">
        <v>385</v>
      </c>
      <c r="N7" s="350" t="n">
        <f aca="false">+K7</f>
        <v>1.92</v>
      </c>
      <c r="O7" s="364"/>
      <c r="P7" s="363"/>
      <c r="Q7" s="366"/>
      <c r="R7" s="364"/>
      <c r="S7" s="363"/>
      <c r="T7" s="366"/>
      <c r="U7" s="364"/>
      <c r="V7" s="363"/>
      <c r="W7" s="366"/>
      <c r="X7" s="364"/>
      <c r="Y7" s="364"/>
      <c r="Z7" s="366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  <c r="IU7" s="138"/>
      <c r="IV7" s="138"/>
      <c r="IW7" s="138"/>
    </row>
    <row r="8" customFormat="false" ht="12.75" hidden="false" customHeight="false" outlineLevel="0" collapsed="false">
      <c r="A8" s="367" t="s">
        <v>452</v>
      </c>
      <c r="B8" s="234" t="n">
        <v>0</v>
      </c>
      <c r="C8" s="234"/>
      <c r="D8" s="234" t="s">
        <v>453</v>
      </c>
      <c r="E8" s="234" t="n">
        <f aca="false">+B8</f>
        <v>0</v>
      </c>
      <c r="F8" s="234"/>
      <c r="G8" s="368" t="s">
        <v>454</v>
      </c>
      <c r="H8" s="234"/>
      <c r="I8" s="367"/>
      <c r="J8" s="351" t="s">
        <v>455</v>
      </c>
      <c r="K8" s="369"/>
      <c r="L8" s="342"/>
      <c r="M8" s="370" t="s">
        <v>455</v>
      </c>
      <c r="N8" s="369"/>
      <c r="O8" s="342"/>
      <c r="P8" s="348"/>
      <c r="Q8" s="346"/>
      <c r="R8" s="342"/>
      <c r="S8" s="367" t="s">
        <v>456</v>
      </c>
      <c r="T8" s="346"/>
      <c r="U8" s="342"/>
      <c r="V8" s="348" t="s">
        <v>457</v>
      </c>
      <c r="W8" s="346"/>
      <c r="X8" s="342"/>
      <c r="Y8" s="348" t="s">
        <v>458</v>
      </c>
      <c r="Z8" s="342"/>
      <c r="AB8" s="43" t="s">
        <v>459</v>
      </c>
      <c r="AE8" s="43" t="s">
        <v>460</v>
      </c>
      <c r="AH8" s="43" t="s">
        <v>461</v>
      </c>
      <c r="AK8" s="43" t="s">
        <v>462</v>
      </c>
    </row>
    <row r="9" customFormat="false" ht="12.75" hidden="false" customHeight="false" outlineLevel="0" collapsed="false">
      <c r="A9" s="367" t="s">
        <v>463</v>
      </c>
      <c r="B9" s="234"/>
      <c r="C9" s="234"/>
      <c r="D9" s="234"/>
      <c r="E9" s="234"/>
      <c r="F9" s="234"/>
      <c r="G9" s="234" t="s">
        <v>464</v>
      </c>
      <c r="H9" s="234"/>
      <c r="I9" s="263"/>
      <c r="J9" s="19" t="s">
        <v>465</v>
      </c>
      <c r="K9" s="369"/>
      <c r="L9" s="342"/>
      <c r="M9" s="19" t="s">
        <v>466</v>
      </c>
      <c r="N9" s="369"/>
      <c r="O9" s="342"/>
      <c r="P9" s="367" t="s">
        <v>467</v>
      </c>
      <c r="Q9" s="362"/>
      <c r="R9" s="310"/>
      <c r="S9" s="351" t="s">
        <v>468</v>
      </c>
      <c r="T9" s="362"/>
      <c r="U9" s="310"/>
      <c r="V9" s="351" t="s">
        <v>469</v>
      </c>
      <c r="W9" s="362"/>
      <c r="X9" s="342"/>
      <c r="Y9" s="348" t="s">
        <v>371</v>
      </c>
      <c r="Z9" s="342"/>
      <c r="AE9" s="43" t="s">
        <v>470</v>
      </c>
      <c r="AH9" s="43" t="s">
        <v>471</v>
      </c>
      <c r="AK9" s="43" t="s">
        <v>472</v>
      </c>
    </row>
    <row r="10" customFormat="false" ht="12.75" hidden="false" customHeight="false" outlineLevel="0" collapsed="false">
      <c r="A10" s="367" t="s">
        <v>473</v>
      </c>
      <c r="B10" s="234"/>
      <c r="C10" s="234"/>
      <c r="D10" s="234" t="s">
        <v>474</v>
      </c>
      <c r="E10" s="234"/>
      <c r="F10" s="234"/>
      <c r="G10" s="234" t="s">
        <v>475</v>
      </c>
      <c r="H10" s="234"/>
      <c r="I10" s="263"/>
      <c r="J10" s="367" t="s">
        <v>476</v>
      </c>
      <c r="K10" s="369"/>
      <c r="L10" s="342"/>
      <c r="M10" s="367" t="s">
        <v>476</v>
      </c>
      <c r="N10" s="369"/>
      <c r="O10" s="342"/>
      <c r="P10" s="367" t="s">
        <v>477</v>
      </c>
      <c r="Q10" s="362"/>
      <c r="R10" s="310"/>
      <c r="S10" s="351" t="s">
        <v>478</v>
      </c>
      <c r="T10" s="362"/>
      <c r="U10" s="310"/>
      <c r="V10" s="351" t="s">
        <v>479</v>
      </c>
      <c r="W10" s="362"/>
      <c r="X10" s="342"/>
      <c r="Y10" s="348" t="s">
        <v>480</v>
      </c>
      <c r="Z10" s="348"/>
      <c r="AB10" s="43" t="s">
        <v>481</v>
      </c>
      <c r="AE10" s="43" t="s">
        <v>482</v>
      </c>
      <c r="AH10" s="43" t="s">
        <v>483</v>
      </c>
      <c r="AK10" s="43" t="s">
        <v>484</v>
      </c>
    </row>
    <row r="11" customFormat="false" ht="12.75" hidden="false" customHeight="false" outlineLevel="0" collapsed="false">
      <c r="A11" s="351"/>
      <c r="B11" s="19"/>
      <c r="C11" s="19"/>
      <c r="D11" s="19"/>
      <c r="E11" s="19"/>
      <c r="F11" s="19"/>
      <c r="G11" s="19" t="s">
        <v>485</v>
      </c>
      <c r="H11" s="234"/>
      <c r="I11" s="263"/>
      <c r="J11" s="367" t="s">
        <v>486</v>
      </c>
      <c r="K11" s="369"/>
      <c r="L11" s="342"/>
      <c r="M11" s="367" t="s">
        <v>487</v>
      </c>
      <c r="N11" s="369"/>
      <c r="O11" s="342"/>
      <c r="P11" s="367" t="s">
        <v>488</v>
      </c>
      <c r="Q11" s="362"/>
      <c r="R11" s="310"/>
      <c r="S11" s="371" t="s">
        <v>489</v>
      </c>
      <c r="T11" s="372"/>
      <c r="U11" s="310"/>
      <c r="V11" s="351" t="s">
        <v>490</v>
      </c>
      <c r="W11" s="362"/>
      <c r="X11" s="342"/>
      <c r="Y11" s="348"/>
      <c r="Z11" s="348"/>
      <c r="AB11" s="43" t="s">
        <v>491</v>
      </c>
      <c r="AE11" s="43" t="s">
        <v>492</v>
      </c>
      <c r="AK11" s="43" t="s">
        <v>493</v>
      </c>
    </row>
    <row r="12" customFormat="false" ht="12.75" hidden="false" customHeight="false" outlineLevel="0" collapsed="false">
      <c r="A12" s="370"/>
      <c r="B12" s="373"/>
      <c r="C12" s="342"/>
      <c r="D12" s="348"/>
      <c r="E12" s="374"/>
      <c r="F12" s="375"/>
      <c r="G12" s="376"/>
      <c r="H12" s="377"/>
      <c r="I12" s="342"/>
      <c r="J12" s="378" t="s">
        <v>494</v>
      </c>
      <c r="K12" s="379"/>
      <c r="L12" s="342"/>
      <c r="M12" s="348" t="s">
        <v>83</v>
      </c>
      <c r="N12" s="353"/>
      <c r="O12" s="342"/>
      <c r="P12" s="351" t="s">
        <v>495</v>
      </c>
      <c r="Q12" s="346"/>
      <c r="R12" s="342"/>
      <c r="S12" s="348"/>
      <c r="T12" s="346"/>
      <c r="U12" s="342"/>
      <c r="V12" s="371" t="s">
        <v>489</v>
      </c>
      <c r="W12" s="372"/>
      <c r="X12" s="342"/>
      <c r="Y12" s="348"/>
      <c r="Z12" s="348"/>
      <c r="AE12" s="380" t="s">
        <v>496</v>
      </c>
      <c r="AK12" s="381" t="s">
        <v>497</v>
      </c>
      <c r="AN12" s="43" t="s">
        <v>498</v>
      </c>
      <c r="AO12" s="8" t="n">
        <v>2.025</v>
      </c>
    </row>
    <row r="13" customFormat="false" ht="12.75" hidden="false" customHeight="false" outlineLevel="0" collapsed="false">
      <c r="A13" s="382" t="s">
        <v>155</v>
      </c>
      <c r="B13" s="383" t="s">
        <v>499</v>
      </c>
      <c r="C13" s="384"/>
      <c r="D13" s="43" t="s">
        <v>155</v>
      </c>
      <c r="E13" s="43" t="s">
        <v>500</v>
      </c>
      <c r="F13" s="12"/>
      <c r="G13" s="382" t="s">
        <v>501</v>
      </c>
      <c r="H13" s="385" t="s">
        <v>502</v>
      </c>
      <c r="I13" s="375"/>
      <c r="J13" s="386" t="s">
        <v>503</v>
      </c>
      <c r="K13" s="383" t="s">
        <v>504</v>
      </c>
      <c r="L13" s="375"/>
      <c r="M13" s="387" t="s">
        <v>505</v>
      </c>
      <c r="N13" s="388" t="s">
        <v>504</v>
      </c>
      <c r="O13" s="375"/>
      <c r="P13" s="389" t="s">
        <v>294</v>
      </c>
      <c r="Q13" s="390" t="s">
        <v>506</v>
      </c>
      <c r="R13" s="384"/>
      <c r="S13" s="389" t="s">
        <v>507</v>
      </c>
      <c r="T13" s="390" t="s">
        <v>508</v>
      </c>
      <c r="U13" s="384"/>
      <c r="V13" s="389" t="s">
        <v>244</v>
      </c>
      <c r="W13" s="390" t="s">
        <v>509</v>
      </c>
      <c r="X13" s="384"/>
      <c r="Y13" s="389" t="s">
        <v>121</v>
      </c>
      <c r="Z13" s="390" t="s">
        <v>510</v>
      </c>
      <c r="AB13" s="389" t="s">
        <v>216</v>
      </c>
      <c r="AC13" s="390" t="s">
        <v>403</v>
      </c>
      <c r="AE13" s="43" t="s">
        <v>511</v>
      </c>
      <c r="AF13" s="43" t="s">
        <v>512</v>
      </c>
      <c r="AH13" s="389" t="s">
        <v>428</v>
      </c>
      <c r="AI13" s="390" t="s">
        <v>513</v>
      </c>
      <c r="AK13" s="389" t="s">
        <v>514</v>
      </c>
      <c r="AL13" s="390" t="s">
        <v>515</v>
      </c>
      <c r="AN13" s="222" t="s">
        <v>516</v>
      </c>
      <c r="AO13" s="8"/>
      <c r="AQ13" s="43" t="s">
        <v>517</v>
      </c>
    </row>
    <row r="14" customFormat="false" ht="12.75" hidden="false" customHeight="false" outlineLevel="0" collapsed="false">
      <c r="A14" s="391" t="s">
        <v>518</v>
      </c>
      <c r="B14" s="392" t="n">
        <v>0.0025</v>
      </c>
      <c r="C14" s="12"/>
      <c r="D14" s="393" t="s">
        <v>519</v>
      </c>
      <c r="E14" s="394" t="n">
        <v>0.083</v>
      </c>
      <c r="F14" s="12"/>
      <c r="G14" s="391" t="s">
        <v>518</v>
      </c>
      <c r="H14" s="392" t="n">
        <v>0.0439</v>
      </c>
      <c r="I14" s="12"/>
      <c r="J14" s="395" t="s">
        <v>518</v>
      </c>
      <c r="K14" s="392" t="n">
        <v>0.0175</v>
      </c>
      <c r="L14" s="12"/>
      <c r="M14" s="396" t="s">
        <v>518</v>
      </c>
      <c r="N14" s="397" t="n">
        <v>0.199</v>
      </c>
      <c r="O14" s="12"/>
      <c r="P14" s="393" t="s">
        <v>518</v>
      </c>
      <c r="Q14" s="397" t="n">
        <v>0.006</v>
      </c>
      <c r="R14" s="12"/>
      <c r="S14" s="393" t="s">
        <v>518</v>
      </c>
      <c r="T14" s="398" t="n">
        <v>0.0002</v>
      </c>
      <c r="U14" s="12"/>
      <c r="V14" s="393" t="s">
        <v>518</v>
      </c>
      <c r="W14" s="398" t="n">
        <v>0.0134</v>
      </c>
      <c r="X14" s="12"/>
      <c r="Y14" s="393" t="s">
        <v>518</v>
      </c>
      <c r="Z14" s="398" t="n">
        <v>0.0288</v>
      </c>
      <c r="AB14" s="393" t="s">
        <v>518</v>
      </c>
      <c r="AC14" s="397" t="n">
        <v>0.0112</v>
      </c>
      <c r="AE14" s="393" t="s">
        <v>518</v>
      </c>
      <c r="AF14" s="397" t="n">
        <f aca="false">0.004</f>
        <v>0.004</v>
      </c>
      <c r="AH14" s="393" t="s">
        <v>518</v>
      </c>
      <c r="AI14" s="397" t="n">
        <f aca="false">0.003-0.0002</f>
        <v>0.0028</v>
      </c>
      <c r="AK14" s="393" t="s">
        <v>518</v>
      </c>
      <c r="AL14" s="397" t="n">
        <f aca="false">+AL20+AL26+AL32</f>
        <v>0.0013</v>
      </c>
      <c r="AN14" s="43" t="s">
        <v>519</v>
      </c>
      <c r="AO14" s="8" t="n">
        <v>0.01</v>
      </c>
      <c r="AQ14" s="43" t="s">
        <v>520</v>
      </c>
      <c r="AR14" s="43" t="n">
        <v>0.0312</v>
      </c>
    </row>
    <row r="15" customFormat="false" ht="12.75" hidden="false" customHeight="false" outlineLevel="0" collapsed="false">
      <c r="A15" s="391" t="s">
        <v>183</v>
      </c>
      <c r="B15" s="392" t="n">
        <f aca="false">0.0022+0.007+0.0158</f>
        <v>0.025</v>
      </c>
      <c r="C15" s="12"/>
      <c r="D15" s="393" t="s">
        <v>183</v>
      </c>
      <c r="E15" s="394" t="n">
        <f aca="false">0.007+0.0022+0.0158</f>
        <v>0.025</v>
      </c>
      <c r="F15" s="14"/>
      <c r="G15" s="391" t="s">
        <v>183</v>
      </c>
      <c r="H15" s="392" t="n">
        <f aca="false">0.0021+0.007+0.0225</f>
        <v>0.0316</v>
      </c>
      <c r="I15" s="12"/>
      <c r="J15" s="395" t="s">
        <v>183</v>
      </c>
      <c r="K15" s="392" t="n">
        <f aca="false">0.0022+0.007</f>
        <v>0.0092</v>
      </c>
      <c r="L15" s="12"/>
      <c r="M15" s="396" t="s">
        <v>183</v>
      </c>
      <c r="N15" s="397" t="n">
        <f aca="false">0.0022+0.007</f>
        <v>0.0092</v>
      </c>
      <c r="O15" s="12"/>
      <c r="P15" s="393" t="s">
        <v>183</v>
      </c>
      <c r="Q15" s="397" t="n">
        <f aca="false">0.0022+0.007</f>
        <v>0.0092</v>
      </c>
      <c r="R15" s="12"/>
      <c r="S15" s="393" t="s">
        <v>183</v>
      </c>
      <c r="T15" s="398" t="n">
        <v>0.0021</v>
      </c>
      <c r="U15" s="12"/>
      <c r="V15" s="393" t="s">
        <v>183</v>
      </c>
      <c r="W15" s="398" t="n">
        <f aca="false">0.0021+0.007</f>
        <v>0.0091</v>
      </c>
      <c r="X15" s="12"/>
      <c r="Y15" s="393" t="s">
        <v>183</v>
      </c>
      <c r="Z15" s="397" t="n">
        <f aca="false">0.0021+0.007</f>
        <v>0.0091</v>
      </c>
      <c r="AB15" s="393" t="s">
        <v>183</v>
      </c>
      <c r="AC15" s="397" t="n">
        <f aca="false">0.0022+0.007</f>
        <v>0.0092</v>
      </c>
      <c r="AE15" s="393" t="s">
        <v>183</v>
      </c>
      <c r="AF15" s="397" t="n">
        <f aca="false">0.0021+0.007</f>
        <v>0.0091</v>
      </c>
      <c r="AH15" s="393" t="s">
        <v>183</v>
      </c>
      <c r="AI15" s="397" t="n">
        <f aca="false">0.0021+0.0007</f>
        <v>0.0028</v>
      </c>
      <c r="AK15" s="393" t="s">
        <v>183</v>
      </c>
      <c r="AL15" s="397" t="n">
        <f aca="false">0.0022</f>
        <v>0.0022</v>
      </c>
      <c r="AN15" s="43" t="s">
        <v>521</v>
      </c>
      <c r="AO15" s="8" t="n">
        <v>0.0022</v>
      </c>
      <c r="AQ15" s="43" t="s">
        <v>183</v>
      </c>
      <c r="AR15" s="43" t="n">
        <f aca="false">0.0348-0.0312</f>
        <v>0.0036</v>
      </c>
    </row>
    <row r="16" customFormat="false" ht="12.75" hidden="false" customHeight="false" outlineLevel="0" collapsed="false">
      <c r="A16" s="399" t="n">
        <v>0.0035</v>
      </c>
      <c r="B16" s="400" t="n">
        <f aca="false">B6/(1-A16)-B6</f>
        <v>0.00563723030607122</v>
      </c>
      <c r="C16" s="14"/>
      <c r="D16" s="401" t="n">
        <v>0.0035</v>
      </c>
      <c r="E16" s="402" t="n">
        <f aca="false">(E6)/(1-D16)-E6</f>
        <v>0.00563723030607122</v>
      </c>
      <c r="F16" s="17"/>
      <c r="G16" s="399" t="n">
        <v>0.0089</v>
      </c>
      <c r="H16" s="403" t="n">
        <f aca="false">(H$3)/(1-G16)-H$3</f>
        <v>0.014053576833821</v>
      </c>
      <c r="I16" s="14"/>
      <c r="J16" s="399" t="n">
        <v>0.0314</v>
      </c>
      <c r="K16" s="400" t="n">
        <f aca="false">(K$5)/(1-J16)-K$5</f>
        <v>0.0521928556679743</v>
      </c>
      <c r="L16" s="14"/>
      <c r="M16" s="401" t="n">
        <v>0.0314</v>
      </c>
      <c r="N16" s="402" t="n">
        <f aca="false">(N$5)/(1-M16)-N$5</f>
        <v>0.0521928556679743</v>
      </c>
      <c r="O16" s="14"/>
      <c r="P16" s="393" t="s">
        <v>522</v>
      </c>
      <c r="Q16" s="402" t="n">
        <f aca="false">+Q$3/(1-0.015)-Q$3</f>
        <v>0.0259644670050763</v>
      </c>
      <c r="R16" s="14"/>
      <c r="S16" s="393" t="s">
        <v>523</v>
      </c>
      <c r="T16" s="402" t="n">
        <f aca="false">(+T3-0.108)/(1-0.00552)-(T3-0.108)</f>
        <v>0.0086978521438339</v>
      </c>
      <c r="U16" s="14"/>
      <c r="V16" s="401" t="n">
        <v>0.02447</v>
      </c>
      <c r="W16" s="402" t="n">
        <f aca="false">+W$3/(1-V16)-W$3</f>
        <v>0.0445237460662409</v>
      </c>
      <c r="X16" s="14"/>
      <c r="Y16" s="401" t="n">
        <v>0.0305</v>
      </c>
      <c r="Z16" s="402" t="n">
        <f aca="false">+Z$3/(1-Y16)-Z$3</f>
        <v>0.0566271273852501</v>
      </c>
      <c r="AB16" s="401" t="n">
        <v>0.003</v>
      </c>
      <c r="AC16" s="402" t="n">
        <f aca="false">+AC3/(1-AB16)-AC3</f>
        <v>0.00743229689067215</v>
      </c>
      <c r="AE16" s="401" t="n">
        <v>0.0045</v>
      </c>
      <c r="AF16" s="402" t="n">
        <f aca="false">+AF$3/(1-AE16)-AF$3</f>
        <v>0.00761677548970363</v>
      </c>
      <c r="AH16" s="401" t="n">
        <v>0.005</v>
      </c>
      <c r="AI16" s="402" t="n">
        <f aca="false">+AI3/(1-AH16)-AI3</f>
        <v>0.00917085427135689</v>
      </c>
      <c r="AK16" s="393" t="s">
        <v>524</v>
      </c>
      <c r="AL16" s="402" t="n">
        <f aca="false">+AL3/(1-0.02)-AL3</f>
        <v>0.0378571428571428</v>
      </c>
      <c r="AN16" s="43" t="s">
        <v>525</v>
      </c>
      <c r="AO16" s="8" t="n">
        <v>0</v>
      </c>
      <c r="AQ16" s="43" t="s">
        <v>526</v>
      </c>
      <c r="AR16" s="402" t="n">
        <f aca="false">+AN3/(1-0.024)-AN3</f>
        <v>0.0421721311475409</v>
      </c>
    </row>
    <row r="17" customFormat="false" ht="12.75" hidden="false" customHeight="false" outlineLevel="0" collapsed="false">
      <c r="A17" s="404"/>
      <c r="B17" s="405" t="n">
        <f aca="false">SUM(B14:B16)</f>
        <v>0.0331372303060712</v>
      </c>
      <c r="C17" s="17"/>
      <c r="D17" s="393"/>
      <c r="E17" s="406" t="n">
        <f aca="false">SUM(E14:E16)</f>
        <v>0.113637230306071</v>
      </c>
      <c r="F17" s="375"/>
      <c r="G17" s="404"/>
      <c r="H17" s="405" t="n">
        <f aca="false">SUM(H14:H16)</f>
        <v>0.089553576833821</v>
      </c>
      <c r="I17" s="17"/>
      <c r="J17" s="395"/>
      <c r="K17" s="405" t="n">
        <f aca="false">SUM(K14:K16)</f>
        <v>0.0788928556679743</v>
      </c>
      <c r="L17" s="17"/>
      <c r="M17" s="401"/>
      <c r="N17" s="402" t="n">
        <f aca="false">SUM(N14:N16)</f>
        <v>0.260392855667974</v>
      </c>
      <c r="O17" s="17"/>
      <c r="P17" s="407"/>
      <c r="Q17" s="406" t="n">
        <f aca="false">SUM(Q14:Q16)</f>
        <v>0.0411644670050763</v>
      </c>
      <c r="R17" s="17"/>
      <c r="S17" s="407"/>
      <c r="T17" s="406" t="n">
        <f aca="false">SUM(T14:T16)</f>
        <v>0.0109978521438339</v>
      </c>
      <c r="U17" s="17"/>
      <c r="V17" s="407"/>
      <c r="W17" s="406" t="n">
        <f aca="false">SUM(W14:W16)</f>
        <v>0.0670237460662409</v>
      </c>
      <c r="X17" s="17" t="n">
        <v>0</v>
      </c>
      <c r="Y17" s="407"/>
      <c r="Z17" s="406" t="n">
        <f aca="false">SUM(Z14:Z16)</f>
        <v>0.0945271273852501</v>
      </c>
      <c r="AB17" s="407"/>
      <c r="AC17" s="406" t="n">
        <f aca="false">SUM(AC14:AC16)</f>
        <v>0.0278322968906722</v>
      </c>
      <c r="AE17" s="407"/>
      <c r="AF17" s="406" t="n">
        <f aca="false">SUM(AF14:AF16)</f>
        <v>0.0207167754897036</v>
      </c>
      <c r="AH17" s="407"/>
      <c r="AI17" s="406" t="n">
        <f aca="false">SUM(AI14:AI16)</f>
        <v>0.0147708542713569</v>
      </c>
      <c r="AK17" s="407"/>
      <c r="AL17" s="406" t="n">
        <f aca="false">SUM(AL14:AL16)</f>
        <v>0.0413571428571428</v>
      </c>
      <c r="AN17" s="43" t="s">
        <v>527</v>
      </c>
      <c r="AO17" s="43" t="n">
        <v>0.016</v>
      </c>
      <c r="AR17" s="408" t="n">
        <f aca="false">SUM(AR14:AR16)</f>
        <v>0.0769721311475409</v>
      </c>
    </row>
    <row r="18" customFormat="false" ht="12.75" hidden="false" customHeight="false" outlineLevel="0" collapsed="false">
      <c r="A18" s="409" t="s">
        <v>155</v>
      </c>
      <c r="B18" s="383" t="s">
        <v>528</v>
      </c>
      <c r="C18" s="384"/>
      <c r="D18" s="43" t="s">
        <v>155</v>
      </c>
      <c r="E18" s="43" t="s">
        <v>529</v>
      </c>
      <c r="F18" s="12"/>
      <c r="G18" s="409" t="s">
        <v>501</v>
      </c>
      <c r="H18" s="410" t="s">
        <v>530</v>
      </c>
      <c r="I18" s="375"/>
      <c r="J18" s="386" t="s">
        <v>503</v>
      </c>
      <c r="K18" s="383" t="s">
        <v>531</v>
      </c>
      <c r="L18" s="375"/>
      <c r="M18" s="387" t="s">
        <v>505</v>
      </c>
      <c r="N18" s="388" t="s">
        <v>531</v>
      </c>
      <c r="O18" s="375"/>
      <c r="P18" s="411" t="s">
        <v>294</v>
      </c>
      <c r="Q18" s="412" t="s">
        <v>532</v>
      </c>
      <c r="R18" s="384"/>
      <c r="S18" s="411" t="s">
        <v>507</v>
      </c>
      <c r="T18" s="412" t="s">
        <v>533</v>
      </c>
      <c r="U18" s="384"/>
      <c r="V18" s="411" t="s">
        <v>244</v>
      </c>
      <c r="W18" s="412" t="s">
        <v>534</v>
      </c>
      <c r="X18" s="384"/>
      <c r="Y18" s="389" t="s">
        <v>121</v>
      </c>
      <c r="Z18" s="390" t="s">
        <v>535</v>
      </c>
      <c r="AN18" s="43" t="s">
        <v>536</v>
      </c>
      <c r="AO18" s="8" t="n">
        <f aca="false">+AO12/(1-AO17)-AO12</f>
        <v>0.0329268292682925</v>
      </c>
    </row>
    <row r="19" customFormat="false" ht="12.75" hidden="false" customHeight="false" outlineLevel="0" collapsed="false">
      <c r="A19" s="391" t="s">
        <v>518</v>
      </c>
      <c r="B19" s="392" t="n">
        <v>0.0051</v>
      </c>
      <c r="C19" s="12"/>
      <c r="D19" s="393" t="s">
        <v>518</v>
      </c>
      <c r="E19" s="394" t="n">
        <v>0.1133</v>
      </c>
      <c r="F19" s="12"/>
      <c r="G19" s="391" t="s">
        <v>518</v>
      </c>
      <c r="H19" s="392" t="n">
        <v>0.0669</v>
      </c>
      <c r="I19" s="12"/>
      <c r="J19" s="395" t="s">
        <v>518</v>
      </c>
      <c r="K19" s="392" t="n">
        <v>0.0188</v>
      </c>
      <c r="L19" s="12"/>
      <c r="M19" s="396" t="s">
        <v>518</v>
      </c>
      <c r="N19" s="397" t="n">
        <v>0.2056</v>
      </c>
      <c r="O19" s="12"/>
      <c r="P19" s="393" t="s">
        <v>518</v>
      </c>
      <c r="Q19" s="397" t="n">
        <v>0.008</v>
      </c>
      <c r="R19" s="12"/>
      <c r="S19" s="393" t="s">
        <v>518</v>
      </c>
      <c r="T19" s="398" t="n">
        <v>0.0017</v>
      </c>
      <c r="U19" s="12"/>
      <c r="V19" s="393" t="s">
        <v>518</v>
      </c>
      <c r="W19" s="398" t="n">
        <v>0.1441</v>
      </c>
      <c r="X19" s="12"/>
      <c r="Y19" s="393" t="s">
        <v>518</v>
      </c>
      <c r="Z19" s="398" t="n">
        <v>0.1943</v>
      </c>
      <c r="AB19" s="389" t="s">
        <v>216</v>
      </c>
      <c r="AC19" s="390" t="s">
        <v>537</v>
      </c>
      <c r="AE19" s="43" t="s">
        <v>511</v>
      </c>
      <c r="AF19" s="43" t="s">
        <v>538</v>
      </c>
      <c r="AH19" s="389" t="s">
        <v>428</v>
      </c>
      <c r="AI19" s="390" t="s">
        <v>539</v>
      </c>
      <c r="AK19" s="389" t="s">
        <v>514</v>
      </c>
      <c r="AL19" s="390" t="s">
        <v>540</v>
      </c>
      <c r="AN19" s="43" t="s">
        <v>541</v>
      </c>
      <c r="AO19" s="413" t="n">
        <f aca="false">+AO18+AO16+AO15+AO14</f>
        <v>0.0451268292682925</v>
      </c>
      <c r="AQ19" s="43" t="s">
        <v>542</v>
      </c>
    </row>
    <row r="20" customFormat="false" ht="13.5" hidden="false" customHeight="false" outlineLevel="0" collapsed="false">
      <c r="A20" s="391" t="s">
        <v>183</v>
      </c>
      <c r="B20" s="392" t="n">
        <f aca="false">0.0022+0.007+0.0158</f>
        <v>0.025</v>
      </c>
      <c r="C20" s="12"/>
      <c r="D20" s="393" t="s">
        <v>183</v>
      </c>
      <c r="E20" s="394" t="n">
        <f aca="false">0.007+0.0022+0.0158</f>
        <v>0.025</v>
      </c>
      <c r="F20" s="14"/>
      <c r="G20" s="391" t="s">
        <v>183</v>
      </c>
      <c r="H20" s="392" t="n">
        <f aca="false">0.0022+0.007+0.0225</f>
        <v>0.0317</v>
      </c>
      <c r="I20" s="12"/>
      <c r="J20" s="395" t="s">
        <v>183</v>
      </c>
      <c r="K20" s="392" t="n">
        <f aca="false">0.0022</f>
        <v>0.0022</v>
      </c>
      <c r="L20" s="12"/>
      <c r="M20" s="396" t="s">
        <v>183</v>
      </c>
      <c r="N20" s="397" t="n">
        <f aca="false">0.0022+0.007</f>
        <v>0.0092</v>
      </c>
      <c r="O20" s="12"/>
      <c r="P20" s="393" t="s">
        <v>183</v>
      </c>
      <c r="Q20" s="397" t="n">
        <f aca="false">0.0022+0.007</f>
        <v>0.0092</v>
      </c>
      <c r="R20" s="12"/>
      <c r="S20" s="393" t="s">
        <v>183</v>
      </c>
      <c r="T20" s="398" t="n">
        <v>0.0021</v>
      </c>
      <c r="U20" s="12"/>
      <c r="V20" s="393" t="s">
        <v>183</v>
      </c>
      <c r="W20" s="398" t="n">
        <f aca="false">0.0021+0.007</f>
        <v>0.0091</v>
      </c>
      <c r="X20" s="12"/>
      <c r="Y20" s="393" t="s">
        <v>183</v>
      </c>
      <c r="Z20" s="397" t="n">
        <f aca="false">0.0021+0.007</f>
        <v>0.0091</v>
      </c>
      <c r="AB20" s="393" t="s">
        <v>518</v>
      </c>
      <c r="AC20" s="397" t="n">
        <v>0</v>
      </c>
      <c r="AE20" s="393" t="s">
        <v>518</v>
      </c>
      <c r="AF20" s="397" t="n">
        <f aca="false">0.022</f>
        <v>0.022</v>
      </c>
      <c r="AH20" s="393" t="s">
        <v>518</v>
      </c>
      <c r="AI20" s="397" t="n">
        <v>0.0054</v>
      </c>
      <c r="AK20" s="393" t="s">
        <v>518</v>
      </c>
      <c r="AL20" s="397" t="n">
        <f aca="false">0.0001</f>
        <v>0.0001</v>
      </c>
      <c r="AN20" s="43" t="s">
        <v>543</v>
      </c>
      <c r="AO20" s="414"/>
      <c r="AQ20" s="43" t="s">
        <v>544</v>
      </c>
      <c r="AR20" s="43" t="n">
        <v>0.0312</v>
      </c>
    </row>
    <row r="21" customFormat="false" ht="13.5" hidden="false" customHeight="false" outlineLevel="0" collapsed="false">
      <c r="A21" s="399" t="n">
        <v>0.0077</v>
      </c>
      <c r="B21" s="400" t="n">
        <f aca="false">B6/(1-A21)-B6</f>
        <v>0.0124543988713091</v>
      </c>
      <c r="C21" s="14"/>
      <c r="D21" s="401" t="n">
        <v>0.0077</v>
      </c>
      <c r="E21" s="402" t="n">
        <f aca="false">(E$6)/(1-D21)-E$6</f>
        <v>0.0124543988713091</v>
      </c>
      <c r="F21" s="17"/>
      <c r="G21" s="399" t="n">
        <v>0.0279</v>
      </c>
      <c r="H21" s="403" t="n">
        <f aca="false">(H$3)/(1-G21)-H$3</f>
        <v>0.044916675239173</v>
      </c>
      <c r="I21" s="14"/>
      <c r="J21" s="399" t="n">
        <v>0.0337</v>
      </c>
      <c r="K21" s="400" t="n">
        <f aca="false">(K$5)/(1-J21)-K$5</f>
        <v>0.0561492290179033</v>
      </c>
      <c r="L21" s="14"/>
      <c r="M21" s="401" t="n">
        <v>0.0337</v>
      </c>
      <c r="N21" s="402" t="n">
        <f aca="false">(N$5)/(1-M21)-N$5</f>
        <v>0.0561492290179033</v>
      </c>
      <c r="O21" s="14"/>
      <c r="P21" s="393" t="s">
        <v>522</v>
      </c>
      <c r="Q21" s="402" t="n">
        <f aca="false">+Q$3/(1-0.015)-Q$3</f>
        <v>0.0259644670050763</v>
      </c>
      <c r="R21" s="14"/>
      <c r="S21" s="393" t="s">
        <v>545</v>
      </c>
      <c r="T21" s="402" t="n">
        <f aca="false">+T3/(1-0.00697)-T3</f>
        <v>0.0117566941582834</v>
      </c>
      <c r="U21" s="14"/>
      <c r="V21" s="401" t="n">
        <v>0.02447</v>
      </c>
      <c r="W21" s="402" t="n">
        <f aca="false">+W$3/(1-V21)-W$3</f>
        <v>0.0445237460662409</v>
      </c>
      <c r="X21" s="14"/>
      <c r="Y21" s="401" t="n">
        <v>0.0305</v>
      </c>
      <c r="Z21" s="402" t="n">
        <f aca="false">+Z$3/(1-Y21)-Z$3</f>
        <v>0.0566271273852501</v>
      </c>
      <c r="AB21" s="393" t="s">
        <v>183</v>
      </c>
      <c r="AC21" s="397" t="n">
        <f aca="false">0.0022+0.007</f>
        <v>0.0092</v>
      </c>
      <c r="AE21" s="393" t="s">
        <v>183</v>
      </c>
      <c r="AF21" s="397" t="n">
        <f aca="false">0.007+0.0021</f>
        <v>0.0091</v>
      </c>
      <c r="AH21" s="393" t="s">
        <v>183</v>
      </c>
      <c r="AI21" s="397" t="n">
        <f aca="false">0.0021+0.007+0.0012-0.0004</f>
        <v>0.0099</v>
      </c>
      <c r="AK21" s="393" t="s">
        <v>183</v>
      </c>
      <c r="AL21" s="397" t="n">
        <f aca="false">0.007+0.0022</f>
        <v>0.0092</v>
      </c>
      <c r="AQ21" s="43" t="s">
        <v>183</v>
      </c>
      <c r="AR21" s="43" t="n">
        <f aca="false">0.0348-0.0312</f>
        <v>0.0036</v>
      </c>
    </row>
    <row r="22" customFormat="false" ht="12.75" hidden="false" customHeight="false" outlineLevel="0" collapsed="false">
      <c r="A22" s="404" t="s">
        <v>73</v>
      </c>
      <c r="B22" s="405" t="n">
        <f aca="false">SUM(B19:B21)</f>
        <v>0.0425543988713091</v>
      </c>
      <c r="C22" s="17"/>
      <c r="D22" s="393"/>
      <c r="E22" s="406" t="n">
        <f aca="false">SUM(E19:E21)</f>
        <v>0.150754398871309</v>
      </c>
      <c r="F22" s="17"/>
      <c r="G22" s="404"/>
      <c r="H22" s="405" t="n">
        <f aca="false">SUM(H19:H21)</f>
        <v>0.143516675239173</v>
      </c>
      <c r="I22" s="17"/>
      <c r="J22" s="395"/>
      <c r="K22" s="405" t="n">
        <f aca="false">SUM(K19:K21)</f>
        <v>0.0771492290179033</v>
      </c>
      <c r="L22" s="17"/>
      <c r="M22" s="396"/>
      <c r="N22" s="406" t="n">
        <f aca="false">SUM(N19:N21)</f>
        <v>0.270949229017903</v>
      </c>
      <c r="O22" s="17"/>
      <c r="P22" s="407"/>
      <c r="Q22" s="406" t="n">
        <f aca="false">SUM(Q19:Q21)</f>
        <v>0.0431644670050763</v>
      </c>
      <c r="R22" s="17"/>
      <c r="S22" s="407"/>
      <c r="T22" s="406" t="n">
        <f aca="false">SUM(T19:T21)</f>
        <v>0.0155566941582834</v>
      </c>
      <c r="U22" s="17"/>
      <c r="V22" s="407"/>
      <c r="W22" s="406" t="n">
        <f aca="false">SUM(W19:W21)</f>
        <v>0.197723746066241</v>
      </c>
      <c r="X22" s="17"/>
      <c r="Y22" s="407"/>
      <c r="Z22" s="406" t="n">
        <f aca="false">SUM(Z19:Z21)</f>
        <v>0.26002712738525</v>
      </c>
      <c r="AB22" s="401" t="n">
        <v>0.003</v>
      </c>
      <c r="AC22" s="402" t="n">
        <f aca="false">+AC$3/(1-AB22)-AC3</f>
        <v>0.00743229689067215</v>
      </c>
      <c r="AE22" s="401" t="n">
        <v>0.0327</v>
      </c>
      <c r="AF22" s="402" t="n">
        <f aca="false">+AF$3/(1-AE22)-AF$3</f>
        <v>0.0569621627209758</v>
      </c>
      <c r="AH22" s="401" t="n">
        <v>0.01</v>
      </c>
      <c r="AI22" s="402" t="n">
        <f aca="false">+AI3/(1-AH22)-AI3</f>
        <v>0.0184343434343435</v>
      </c>
      <c r="AK22" s="393" t="s">
        <v>524</v>
      </c>
      <c r="AL22" s="402" t="n">
        <f aca="false">+AL3/(1-0.02)-AL3</f>
        <v>0.0378571428571428</v>
      </c>
      <c r="AQ22" s="43" t="s">
        <v>526</v>
      </c>
      <c r="AR22" s="402" t="n">
        <f aca="false">+AP3/(1-0.024)-AP3</f>
        <v>0.0420491803278689</v>
      </c>
    </row>
    <row r="23" customFormat="false" ht="12.75" hidden="false" customHeight="false" outlineLevel="0" collapsed="false">
      <c r="A23" s="409" t="s">
        <v>155</v>
      </c>
      <c r="B23" s="383" t="s">
        <v>546</v>
      </c>
      <c r="C23" s="384"/>
      <c r="D23" s="387" t="s">
        <v>155</v>
      </c>
      <c r="E23" s="406" t="s">
        <v>547</v>
      </c>
      <c r="F23" s="10"/>
      <c r="G23" s="409" t="s">
        <v>501</v>
      </c>
      <c r="H23" s="410" t="s">
        <v>548</v>
      </c>
      <c r="I23" s="17"/>
      <c r="J23" s="415" t="s">
        <v>503</v>
      </c>
      <c r="K23" s="416" t="s">
        <v>549</v>
      </c>
      <c r="L23" s="17"/>
      <c r="M23" s="387" t="s">
        <v>505</v>
      </c>
      <c r="N23" s="388" t="s">
        <v>549</v>
      </c>
      <c r="O23" s="17"/>
      <c r="P23" s="411" t="s">
        <v>294</v>
      </c>
      <c r="Q23" s="412" t="s">
        <v>550</v>
      </c>
      <c r="R23" s="384"/>
      <c r="S23" s="411" t="s">
        <v>507</v>
      </c>
      <c r="T23" s="412" t="s">
        <v>551</v>
      </c>
      <c r="U23" s="384"/>
      <c r="V23" s="411" t="s">
        <v>244</v>
      </c>
      <c r="W23" s="412" t="s">
        <v>552</v>
      </c>
      <c r="X23" s="384"/>
      <c r="Y23" s="384"/>
      <c r="Z23" s="384"/>
      <c r="AB23" s="407"/>
      <c r="AC23" s="406" t="n">
        <f aca="false">SUM(AC20:AC22)</f>
        <v>0.0166322968906722</v>
      </c>
      <c r="AE23" s="407"/>
      <c r="AF23" s="406" t="n">
        <f aca="false">SUM(AF20:AF22)</f>
        <v>0.0880621627209758</v>
      </c>
      <c r="AH23" s="407"/>
      <c r="AI23" s="406" t="n">
        <f aca="false">SUM(AI20:AI22)</f>
        <v>0.0337343434343435</v>
      </c>
      <c r="AK23" s="407"/>
      <c r="AL23" s="406" t="n">
        <f aca="false">SUM(AL20:AL22)</f>
        <v>0.0471571428571428</v>
      </c>
      <c r="AR23" s="408" t="n">
        <f aca="false">SUM(AR20:AR22)</f>
        <v>0.0768491803278689</v>
      </c>
    </row>
    <row r="24" customFormat="false" ht="12.75" hidden="false" customHeight="false" outlineLevel="0" collapsed="false">
      <c r="A24" s="391" t="s">
        <v>518</v>
      </c>
      <c r="B24" s="392" t="n">
        <v>0.0078</v>
      </c>
      <c r="C24" s="12"/>
      <c r="D24" s="393" t="s">
        <v>518</v>
      </c>
      <c r="E24" s="394" t="n">
        <v>0.1597</v>
      </c>
      <c r="F24" s="10"/>
      <c r="G24" s="391" t="s">
        <v>518</v>
      </c>
      <c r="H24" s="392" t="n">
        <v>0.088</v>
      </c>
      <c r="I24" s="10"/>
      <c r="J24" s="395" t="s">
        <v>518</v>
      </c>
      <c r="K24" s="392" t="n">
        <v>0.0259</v>
      </c>
      <c r="L24" s="10"/>
      <c r="M24" s="396" t="s">
        <v>518</v>
      </c>
      <c r="N24" s="397" t="n">
        <v>0.2429</v>
      </c>
      <c r="O24" s="10"/>
      <c r="P24" s="393" t="s">
        <v>518</v>
      </c>
      <c r="Q24" s="397" t="n">
        <v>0.013</v>
      </c>
      <c r="R24" s="12"/>
      <c r="S24" s="393" t="s">
        <v>518</v>
      </c>
      <c r="T24" s="398" t="n">
        <v>0.017</v>
      </c>
      <c r="U24" s="12"/>
      <c r="V24" s="393" t="s">
        <v>518</v>
      </c>
      <c r="W24" s="398" t="n">
        <v>0.2099</v>
      </c>
      <c r="X24" s="12"/>
      <c r="Y24" s="389" t="s">
        <v>121</v>
      </c>
      <c r="Z24" s="390" t="s">
        <v>553</v>
      </c>
    </row>
    <row r="25" customFormat="false" ht="12.75" hidden="false" customHeight="false" outlineLevel="0" collapsed="false">
      <c r="A25" s="391" t="s">
        <v>183</v>
      </c>
      <c r="B25" s="392" t="n">
        <f aca="false">0.0022+0.007+0.0158</f>
        <v>0.025</v>
      </c>
      <c r="C25" s="12"/>
      <c r="D25" s="393" t="s">
        <v>183</v>
      </c>
      <c r="E25" s="394" t="n">
        <f aca="false">0.007+0.0022+0.0158</f>
        <v>0.025</v>
      </c>
      <c r="F25" s="14"/>
      <c r="G25" s="391" t="s">
        <v>183</v>
      </c>
      <c r="H25" s="392" t="n">
        <f aca="false">0.0021+0.007</f>
        <v>0.0091</v>
      </c>
      <c r="I25" s="10"/>
      <c r="J25" s="395" t="s">
        <v>183</v>
      </c>
      <c r="K25" s="392" t="n">
        <f aca="false">0.0022+0.007</f>
        <v>0.0092</v>
      </c>
      <c r="L25" s="10"/>
      <c r="M25" s="396" t="s">
        <v>183</v>
      </c>
      <c r="N25" s="397" t="n">
        <f aca="false">0.0022+0.007</f>
        <v>0.0092</v>
      </c>
      <c r="O25" s="10"/>
      <c r="P25" s="393" t="s">
        <v>183</v>
      </c>
      <c r="Q25" s="397" t="n">
        <f aca="false">0.0022+0.007</f>
        <v>0.0092</v>
      </c>
      <c r="R25" s="12"/>
      <c r="S25" s="393" t="s">
        <v>183</v>
      </c>
      <c r="T25" s="398" t="n">
        <v>0.0021</v>
      </c>
      <c r="U25" s="12"/>
      <c r="V25" s="393" t="s">
        <v>183</v>
      </c>
      <c r="W25" s="398" t="n">
        <f aca="false">0.0021+0.007</f>
        <v>0.0091</v>
      </c>
      <c r="X25" s="12"/>
      <c r="Y25" s="393" t="s">
        <v>518</v>
      </c>
      <c r="Z25" s="397" t="n">
        <f aca="false">0.2644-0.0022</f>
        <v>0.2622</v>
      </c>
      <c r="AB25" s="43" t="s">
        <v>460</v>
      </c>
      <c r="AE25" s="43" t="s">
        <v>511</v>
      </c>
      <c r="AF25" s="43" t="s">
        <v>554</v>
      </c>
      <c r="AH25" s="389" t="s">
        <v>428</v>
      </c>
      <c r="AI25" s="390" t="s">
        <v>555</v>
      </c>
      <c r="AK25" s="389" t="s">
        <v>514</v>
      </c>
      <c r="AL25" s="390" t="s">
        <v>556</v>
      </c>
      <c r="AQ25" s="43" t="s">
        <v>557</v>
      </c>
    </row>
    <row r="26" customFormat="false" ht="12.75" hidden="false" customHeight="false" outlineLevel="0" collapsed="false">
      <c r="A26" s="399" t="n">
        <v>0.0121</v>
      </c>
      <c r="B26" s="400" t="n">
        <f aca="false">B6/(1-A26)-B6</f>
        <v>0.0196583662314001</v>
      </c>
      <c r="C26" s="14"/>
      <c r="D26" s="401" t="n">
        <v>0.0121</v>
      </c>
      <c r="E26" s="402" t="n">
        <f aca="false">(E$6)/(1-D26)-E$6</f>
        <v>0.0196583662314001</v>
      </c>
      <c r="F26" s="17"/>
      <c r="G26" s="399" t="n">
        <v>0.0516</v>
      </c>
      <c r="H26" s="403" t="n">
        <f aca="false">(H$3)/(1-G26)-H$3</f>
        <v>0.085147617039224</v>
      </c>
      <c r="I26" s="14"/>
      <c r="J26" s="399" t="n">
        <v>0.0458</v>
      </c>
      <c r="K26" s="400" t="n">
        <f aca="false">(K$5)/(1-J26)-K$5</f>
        <v>0.0772773003563194</v>
      </c>
      <c r="L26" s="14"/>
      <c r="M26" s="401" t="n">
        <v>0.0458</v>
      </c>
      <c r="N26" s="402" t="n">
        <f aca="false">(N$5)/(1-M26)-N$5</f>
        <v>0.0772773003563194</v>
      </c>
      <c r="O26" s="14"/>
      <c r="P26" s="393" t="s">
        <v>558</v>
      </c>
      <c r="Q26" s="402" t="n">
        <f aca="false">+Q$3/(1-0.023)-Q$3</f>
        <v>0.0401381780962129</v>
      </c>
      <c r="R26" s="14"/>
      <c r="S26" s="393" t="s">
        <v>559</v>
      </c>
      <c r="T26" s="402" t="n">
        <f aca="false">+T4/(1-0.02902)-T4</f>
        <v>0.0515692941816242</v>
      </c>
      <c r="U26" s="14"/>
      <c r="V26" s="401" t="n">
        <v>0.02447</v>
      </c>
      <c r="W26" s="402" t="n">
        <f aca="false">+W$3/(1-V26)-W$3</f>
        <v>0.0445237460662409</v>
      </c>
      <c r="X26" s="14"/>
      <c r="Y26" s="393" t="s">
        <v>183</v>
      </c>
      <c r="Z26" s="397" t="n">
        <f aca="false">0.0021+0.007</f>
        <v>0.0091</v>
      </c>
      <c r="AB26" s="43" t="s">
        <v>560</v>
      </c>
      <c r="AE26" s="393" t="s">
        <v>518</v>
      </c>
      <c r="AF26" s="397" t="n">
        <v>0.0202</v>
      </c>
      <c r="AH26" s="393" t="s">
        <v>518</v>
      </c>
      <c r="AI26" s="397" t="n">
        <v>0.4693</v>
      </c>
      <c r="AK26" s="393" t="s">
        <v>518</v>
      </c>
      <c r="AL26" s="397" t="n">
        <v>0.0009</v>
      </c>
    </row>
    <row r="27" customFormat="false" ht="12.75" hidden="false" customHeight="false" outlineLevel="0" collapsed="false">
      <c r="A27" s="404"/>
      <c r="B27" s="405" t="n">
        <f aca="false">SUM(B24:B26)</f>
        <v>0.0524583662314001</v>
      </c>
      <c r="C27" s="17"/>
      <c r="D27" s="393"/>
      <c r="E27" s="406" t="n">
        <f aca="false">SUM(E24:E26)</f>
        <v>0.2043583662314</v>
      </c>
      <c r="F27" s="384"/>
      <c r="G27" s="404"/>
      <c r="H27" s="405" t="n">
        <f aca="false">SUM(H24:H26)</f>
        <v>0.182247617039224</v>
      </c>
      <c r="I27" s="17"/>
      <c r="J27" s="395"/>
      <c r="K27" s="405" t="n">
        <f aca="false">SUM(K24:K26)</f>
        <v>0.112377300356319</v>
      </c>
      <c r="L27" s="17"/>
      <c r="M27" s="396"/>
      <c r="N27" s="406" t="n">
        <f aca="false">SUM(N24:N26)</f>
        <v>0.329377300356319</v>
      </c>
      <c r="O27" s="17"/>
      <c r="P27" s="407"/>
      <c r="Q27" s="406" t="n">
        <f aca="false">SUM(Q24:Q26)</f>
        <v>0.0623381780962129</v>
      </c>
      <c r="R27" s="17"/>
      <c r="S27" s="407"/>
      <c r="T27" s="406" t="n">
        <f aca="false">SUM(T24:T26)</f>
        <v>0.0706692941816242</v>
      </c>
      <c r="U27" s="17"/>
      <c r="V27" s="407"/>
      <c r="W27" s="406" t="n">
        <f aca="false">SUM(W24:W26)</f>
        <v>0.263523746066241</v>
      </c>
      <c r="X27" s="17"/>
      <c r="Y27" s="401" t="n">
        <v>0.0305</v>
      </c>
      <c r="Z27" s="402" t="n">
        <f aca="false">+Z$3/(1-Y27)-Z$3</f>
        <v>0.0566271273852501</v>
      </c>
      <c r="AB27" s="43" t="s">
        <v>481</v>
      </c>
      <c r="AE27" s="393" t="s">
        <v>183</v>
      </c>
      <c r="AF27" s="397" t="n">
        <f aca="false">0.007+0.0021</f>
        <v>0.0091</v>
      </c>
      <c r="AH27" s="393" t="s">
        <v>183</v>
      </c>
      <c r="AI27" s="397" t="n">
        <f aca="false">0.0021+0.007+0.0012-0.0004</f>
        <v>0.0099</v>
      </c>
      <c r="AK27" s="393" t="s">
        <v>183</v>
      </c>
      <c r="AL27" s="397" t="n">
        <f aca="false">0.007+0.0022</f>
        <v>0.0092</v>
      </c>
      <c r="AQ27" s="43" t="s">
        <v>561</v>
      </c>
      <c r="AR27" s="43" t="n">
        <v>0.3298</v>
      </c>
    </row>
    <row r="28" customFormat="false" ht="12.75" hidden="false" customHeight="false" outlineLevel="0" collapsed="false">
      <c r="A28" s="382" t="s">
        <v>155</v>
      </c>
      <c r="B28" s="383" t="s">
        <v>562</v>
      </c>
      <c r="D28" s="43" t="s">
        <v>155</v>
      </c>
      <c r="E28" s="43" t="s">
        <v>563</v>
      </c>
      <c r="F28" s="12"/>
      <c r="G28" s="409" t="s">
        <v>501</v>
      </c>
      <c r="H28" s="417" t="s">
        <v>564</v>
      </c>
      <c r="I28" s="384"/>
      <c r="J28" s="386" t="s">
        <v>503</v>
      </c>
      <c r="K28" s="383" t="s">
        <v>565</v>
      </c>
      <c r="L28" s="384"/>
      <c r="M28" s="387" t="s">
        <v>505</v>
      </c>
      <c r="N28" s="388" t="s">
        <v>566</v>
      </c>
      <c r="O28" s="384"/>
      <c r="P28" s="411" t="s">
        <v>294</v>
      </c>
      <c r="Q28" s="412" t="s">
        <v>567</v>
      </c>
      <c r="S28" s="389" t="s">
        <v>507</v>
      </c>
      <c r="T28" s="390" t="s">
        <v>568</v>
      </c>
      <c r="V28" s="411" t="s">
        <v>244</v>
      </c>
      <c r="W28" s="412" t="s">
        <v>569</v>
      </c>
      <c r="Y28" s="407"/>
      <c r="Z28" s="406" t="n">
        <f aca="false">SUM(Z25:Z27)</f>
        <v>0.32792712738525</v>
      </c>
      <c r="AB28" s="43" t="s">
        <v>491</v>
      </c>
      <c r="AE28" s="401" t="n">
        <v>0.0327</v>
      </c>
      <c r="AF28" s="402" t="n">
        <f aca="false">+AF$3/(1-AE28)-AF$3</f>
        <v>0.0569621627209758</v>
      </c>
      <c r="AH28" s="401" t="n">
        <v>0.01</v>
      </c>
      <c r="AI28" s="402" t="n">
        <f aca="false">+AI3/(1-AH28)-AI3</f>
        <v>0.0184343434343435</v>
      </c>
      <c r="AK28" s="393" t="s">
        <v>524</v>
      </c>
      <c r="AL28" s="402" t="n">
        <f aca="false">+AL3/(1-0.02)-AL3</f>
        <v>0.0378571428571428</v>
      </c>
      <c r="AQ28" s="43" t="s">
        <v>526</v>
      </c>
      <c r="AR28" s="402" t="n">
        <f aca="false">+AN3/(1-0.024)-AN3</f>
        <v>0.0421721311475409</v>
      </c>
    </row>
    <row r="29" customFormat="false" ht="12.75" hidden="false" customHeight="false" outlineLevel="0" collapsed="false">
      <c r="A29" s="391" t="s">
        <v>518</v>
      </c>
      <c r="B29" s="392" t="n">
        <v>0.02</v>
      </c>
      <c r="D29" s="393" t="s">
        <v>518</v>
      </c>
      <c r="E29" s="394" t="n">
        <v>0.3276</v>
      </c>
      <c r="F29" s="12"/>
      <c r="G29" s="404" t="s">
        <v>518</v>
      </c>
      <c r="H29" s="392" t="n">
        <v>0.0978</v>
      </c>
      <c r="I29" s="12"/>
      <c r="J29" s="395" t="s">
        <v>518</v>
      </c>
      <c r="K29" s="392" t="n">
        <v>0.0487</v>
      </c>
      <c r="L29" s="12"/>
      <c r="M29" s="396" t="s">
        <v>518</v>
      </c>
      <c r="N29" s="397" t="n">
        <v>0.5533</v>
      </c>
      <c r="O29" s="12"/>
      <c r="P29" s="393" t="s">
        <v>518</v>
      </c>
      <c r="Q29" s="397" t="n">
        <v>0.021</v>
      </c>
      <c r="S29" s="393" t="s">
        <v>518</v>
      </c>
      <c r="T29" s="398" t="n">
        <v>0.088</v>
      </c>
      <c r="V29" s="393" t="s">
        <v>518</v>
      </c>
      <c r="W29" s="397" t="n">
        <v>0.05</v>
      </c>
      <c r="Y29" s="12" t="s">
        <v>73</v>
      </c>
      <c r="Z29" s="12" t="s">
        <v>73</v>
      </c>
      <c r="AE29" s="407"/>
      <c r="AF29" s="406" t="n">
        <f aca="false">SUM(AF26:AF28)</f>
        <v>0.0862621627209758</v>
      </c>
      <c r="AH29" s="407"/>
      <c r="AI29" s="406" t="n">
        <f aca="false">SUM(AI26:AI28)</f>
        <v>0.497634343434344</v>
      </c>
      <c r="AK29" s="407"/>
      <c r="AL29" s="406" t="n">
        <f aca="false">SUM(AL26:AL28)</f>
        <v>0.0479571428571428</v>
      </c>
      <c r="AR29" s="408" t="n">
        <f aca="false">SUM(AR27:AR28)</f>
        <v>0.371972131147541</v>
      </c>
    </row>
    <row r="30" customFormat="false" ht="12.75" hidden="false" customHeight="false" outlineLevel="0" collapsed="false">
      <c r="A30" s="391" t="s">
        <v>183</v>
      </c>
      <c r="B30" s="392" t="n">
        <f aca="false">0.0022+0.007+0.0158</f>
        <v>0.025</v>
      </c>
      <c r="C30" s="10"/>
      <c r="D30" s="393" t="s">
        <v>183</v>
      </c>
      <c r="E30" s="394" t="n">
        <f aca="false">0.007+0.0158+0.0022</f>
        <v>0.025</v>
      </c>
      <c r="F30" s="14"/>
      <c r="G30" s="404" t="s">
        <v>183</v>
      </c>
      <c r="H30" s="392" t="n">
        <f aca="false">0.0021</f>
        <v>0.0021</v>
      </c>
      <c r="I30" s="12"/>
      <c r="J30" s="395" t="s">
        <v>183</v>
      </c>
      <c r="K30" s="392" t="n">
        <f aca="false">0.0022+0.007</f>
        <v>0.0092</v>
      </c>
      <c r="L30" s="12"/>
      <c r="M30" s="396" t="s">
        <v>183</v>
      </c>
      <c r="N30" s="397" t="n">
        <f aca="false">0.0022+0.007</f>
        <v>0.0092</v>
      </c>
      <c r="O30" s="12"/>
      <c r="P30" s="393" t="s">
        <v>183</v>
      </c>
      <c r="Q30" s="397" t="n">
        <f aca="false">0.0022+0.007</f>
        <v>0.0092</v>
      </c>
      <c r="R30" s="10"/>
      <c r="S30" s="393" t="s">
        <v>183</v>
      </c>
      <c r="T30" s="398" t="n">
        <v>0.0021</v>
      </c>
      <c r="U30" s="10"/>
      <c r="V30" s="393" t="s">
        <v>183</v>
      </c>
      <c r="W30" s="397" t="n">
        <f aca="false">0.0021</f>
        <v>0.0021</v>
      </c>
      <c r="X30" s="10"/>
      <c r="Y30" s="12" t="s">
        <v>73</v>
      </c>
      <c r="Z30" s="12" t="s">
        <v>73</v>
      </c>
      <c r="AB30" s="389" t="s">
        <v>216</v>
      </c>
      <c r="AC30" s="390" t="s">
        <v>403</v>
      </c>
    </row>
    <row r="31" customFormat="false" ht="12.75" hidden="false" customHeight="false" outlineLevel="0" collapsed="false">
      <c r="A31" s="399" t="n">
        <v>0.031</v>
      </c>
      <c r="B31" s="400" t="n">
        <f aca="false">B6/(1-A31)-B6</f>
        <v>0.0513467492260062</v>
      </c>
      <c r="C31" s="14"/>
      <c r="D31" s="401" t="n">
        <v>0.031</v>
      </c>
      <c r="E31" s="402" t="n">
        <f aca="false">(E$6)/(1-D31)-E$6</f>
        <v>0.0513467492260062</v>
      </c>
      <c r="F31" s="17"/>
      <c r="G31" s="399" t="n">
        <v>0.0588</v>
      </c>
      <c r="H31" s="403" t="n">
        <f aca="false">(H$3)/(1-G31)-H$3</f>
        <v>0.0977709307267318</v>
      </c>
      <c r="I31" s="14"/>
      <c r="J31" s="399" t="n">
        <v>0.0755</v>
      </c>
      <c r="K31" s="400" t="n">
        <f aca="false">(K$5)/(1-J31)-K$5</f>
        <v>0.131481882098432</v>
      </c>
      <c r="L31" s="14"/>
      <c r="M31" s="401" t="n">
        <v>0.0979</v>
      </c>
      <c r="N31" s="402" t="n">
        <f aca="false">(N$5)/(1-M31)-N$5</f>
        <v>0.174724531648376</v>
      </c>
      <c r="O31" s="14"/>
      <c r="P31" s="393" t="s">
        <v>570</v>
      </c>
      <c r="Q31" s="402" t="n">
        <f aca="false">+Q$3/(1-0.026)-Q$3</f>
        <v>0.0455133470225873</v>
      </c>
      <c r="R31" s="14"/>
      <c r="S31" s="393" t="s">
        <v>523</v>
      </c>
      <c r="T31" s="402" t="n">
        <f aca="false">(+T3-0.108)/(1-0.00552)-(T3-0.108)</f>
        <v>0.0086978521438339</v>
      </c>
      <c r="U31" s="14"/>
      <c r="V31" s="401" t="n">
        <v>0.02447</v>
      </c>
      <c r="W31" s="402" t="n">
        <f aca="false">+W$3/(1-V31)-W$3</f>
        <v>0.0445237460662409</v>
      </c>
      <c r="X31" s="14"/>
      <c r="Y31" s="14"/>
      <c r="Z31" s="14"/>
      <c r="AB31" s="393" t="s">
        <v>518</v>
      </c>
      <c r="AC31" s="397" t="n">
        <v>0.0112</v>
      </c>
      <c r="AE31" s="43" t="s">
        <v>511</v>
      </c>
      <c r="AF31" s="43" t="s">
        <v>571</v>
      </c>
      <c r="AH31" s="389" t="s">
        <v>428</v>
      </c>
      <c r="AI31" s="390" t="s">
        <v>572</v>
      </c>
      <c r="AK31" s="389" t="s">
        <v>514</v>
      </c>
      <c r="AL31" s="390" t="s">
        <v>573</v>
      </c>
      <c r="AQ31" s="43" t="s">
        <v>574</v>
      </c>
    </row>
    <row r="32" customFormat="false" ht="12.75" hidden="false" customHeight="false" outlineLevel="0" collapsed="false">
      <c r="A32" s="404"/>
      <c r="B32" s="405" t="n">
        <f aca="false">SUM(B29:B31)</f>
        <v>0.0963467492260062</v>
      </c>
      <c r="C32" s="17"/>
      <c r="D32" s="393"/>
      <c r="E32" s="406" t="n">
        <f aca="false">SUM(E29:E31)</f>
        <v>0.403946749226006</v>
      </c>
      <c r="F32" s="384"/>
      <c r="G32" s="404"/>
      <c r="H32" s="405" t="n">
        <f aca="false">SUM(H29:H31)</f>
        <v>0.197670930726732</v>
      </c>
      <c r="I32" s="17"/>
      <c r="J32" s="395"/>
      <c r="K32" s="405" t="n">
        <f aca="false">SUM(K29:K31)</f>
        <v>0.189381882098432</v>
      </c>
      <c r="L32" s="17"/>
      <c r="M32" s="396"/>
      <c r="N32" s="406" t="n">
        <f aca="false">SUM(N29:N31)</f>
        <v>0.737224531648376</v>
      </c>
      <c r="O32" s="17"/>
      <c r="P32" s="407"/>
      <c r="Q32" s="406" t="n">
        <f aca="false">SUM(Q29:Q31)</f>
        <v>0.0757133470225873</v>
      </c>
      <c r="R32" s="17"/>
      <c r="S32" s="407"/>
      <c r="T32" s="406" t="n">
        <f aca="false">SUM(T29:T31)</f>
        <v>0.0987978521438339</v>
      </c>
      <c r="U32" s="17"/>
      <c r="V32" s="407"/>
      <c r="W32" s="406" t="n">
        <f aca="false">SUM(W29:W31)</f>
        <v>0.0966237460662409</v>
      </c>
      <c r="X32" s="17"/>
      <c r="Y32" s="17"/>
      <c r="Z32" s="17"/>
      <c r="AB32" s="393" t="s">
        <v>183</v>
      </c>
      <c r="AC32" s="397" t="n">
        <f aca="false">0.0022+0.007</f>
        <v>0.0092</v>
      </c>
      <c r="AE32" s="393" t="s">
        <v>518</v>
      </c>
      <c r="AF32" s="397" t="n">
        <v>0.0117</v>
      </c>
      <c r="AH32" s="393" t="s">
        <v>518</v>
      </c>
      <c r="AI32" s="397" t="n">
        <v>0.045</v>
      </c>
      <c r="AK32" s="393" t="s">
        <v>518</v>
      </c>
      <c r="AL32" s="397" t="n">
        <v>0.0003</v>
      </c>
    </row>
    <row r="33" customFormat="false" ht="12.75" hidden="false" customHeight="false" outlineLevel="0" collapsed="false">
      <c r="A33" s="382" t="s">
        <v>155</v>
      </c>
      <c r="B33" s="383" t="s">
        <v>575</v>
      </c>
      <c r="C33" s="384"/>
      <c r="D33" s="43" t="s">
        <v>155</v>
      </c>
      <c r="E33" s="43" t="s">
        <v>576</v>
      </c>
      <c r="F33" s="12"/>
      <c r="G33" s="409" t="s">
        <v>501</v>
      </c>
      <c r="H33" s="417" t="s">
        <v>577</v>
      </c>
      <c r="I33" s="384"/>
      <c r="J33" s="386" t="s">
        <v>503</v>
      </c>
      <c r="K33" s="383" t="s">
        <v>566</v>
      </c>
      <c r="L33" s="384"/>
      <c r="M33" s="387" t="s">
        <v>505</v>
      </c>
      <c r="N33" s="388" t="s">
        <v>578</v>
      </c>
      <c r="O33" s="384"/>
      <c r="P33" s="418"/>
      <c r="Q33" s="384"/>
      <c r="R33" s="384"/>
      <c r="S33" s="411" t="s">
        <v>507</v>
      </c>
      <c r="T33" s="412" t="s">
        <v>579</v>
      </c>
      <c r="U33" s="384"/>
      <c r="V33" s="411"/>
      <c r="W33" s="412"/>
      <c r="X33" s="384"/>
      <c r="Y33" s="384"/>
      <c r="Z33" s="384"/>
      <c r="AB33" s="401" t="n">
        <v>0.0105</v>
      </c>
      <c r="AC33" s="402" t="n">
        <f aca="false">+AC3/(1-0.0058)-AC3</f>
        <v>0.0144095755381213</v>
      </c>
      <c r="AE33" s="393" t="s">
        <v>183</v>
      </c>
      <c r="AF33" s="397" t="n">
        <f aca="false">0.007+0.0021</f>
        <v>0.0091</v>
      </c>
      <c r="AH33" s="393" t="s">
        <v>183</v>
      </c>
      <c r="AI33" s="397" t="n">
        <f aca="false">0.0021+0.0012</f>
        <v>0.0033</v>
      </c>
      <c r="AK33" s="393" t="s">
        <v>183</v>
      </c>
      <c r="AL33" s="397" t="n">
        <f aca="false">0.0022</f>
        <v>0.0022</v>
      </c>
      <c r="AQ33" s="43" t="s">
        <v>561</v>
      </c>
      <c r="AR33" s="43" t="n">
        <v>0.3298</v>
      </c>
    </row>
    <row r="34" customFormat="false" ht="12.75" hidden="false" customHeight="false" outlineLevel="0" collapsed="false">
      <c r="A34" s="391" t="s">
        <v>518</v>
      </c>
      <c r="B34" s="392" t="n">
        <v>0.0299</v>
      </c>
      <c r="C34" s="12"/>
      <c r="D34" s="393" t="s">
        <v>518</v>
      </c>
      <c r="E34" s="394" t="n">
        <v>0.0902</v>
      </c>
      <c r="F34" s="12"/>
      <c r="G34" s="404" t="s">
        <v>518</v>
      </c>
      <c r="H34" s="392" t="n">
        <v>0.1118</v>
      </c>
      <c r="I34" s="12"/>
      <c r="J34" s="395" t="s">
        <v>518</v>
      </c>
      <c r="K34" s="392" t="n">
        <v>0.0744</v>
      </c>
      <c r="L34" s="12"/>
      <c r="M34" s="396" t="s">
        <v>518</v>
      </c>
      <c r="N34" s="397" t="n">
        <v>0.6552</v>
      </c>
      <c r="O34" s="12"/>
      <c r="P34" s="11"/>
      <c r="Q34" s="12"/>
      <c r="R34" s="12"/>
      <c r="S34" s="393" t="s">
        <v>518</v>
      </c>
      <c r="T34" s="398" t="n">
        <v>0.0366</v>
      </c>
      <c r="U34" s="12"/>
      <c r="V34" s="393"/>
      <c r="W34" s="397"/>
      <c r="X34" s="12"/>
      <c r="Y34" s="12"/>
      <c r="Z34" s="12"/>
      <c r="AB34" s="407"/>
      <c r="AC34" s="406" t="n">
        <f aca="false">SUM(AC31:AC33)</f>
        <v>0.0348095755381213</v>
      </c>
      <c r="AE34" s="401" t="n">
        <v>0.0203</v>
      </c>
      <c r="AF34" s="402" t="n">
        <f aca="false">+AF$3/(1-AE34)-AF$3</f>
        <v>0.0349142594671839</v>
      </c>
      <c r="AH34" s="401" t="n">
        <v>0.01</v>
      </c>
      <c r="AI34" s="402" t="n">
        <f aca="false">+AI3/(1-AH34)-AI3</f>
        <v>0.0184343434343435</v>
      </c>
      <c r="AK34" s="393" t="s">
        <v>524</v>
      </c>
      <c r="AL34" s="402" t="n">
        <f aca="false">+AL3/(1-0.02)-AL3</f>
        <v>0.0378571428571428</v>
      </c>
      <c r="AQ34" s="43" t="s">
        <v>526</v>
      </c>
      <c r="AR34" s="402" t="n">
        <f aca="false">+AP3/(1-0.024)-AP3</f>
        <v>0.0420491803278689</v>
      </c>
    </row>
    <row r="35" customFormat="false" ht="12.75" hidden="false" customHeight="false" outlineLevel="0" collapsed="false">
      <c r="A35" s="391" t="s">
        <v>183</v>
      </c>
      <c r="B35" s="392" t="n">
        <f aca="false">0.0022+0.007+0.0158</f>
        <v>0.025</v>
      </c>
      <c r="C35" s="12"/>
      <c r="D35" s="393" t="s">
        <v>183</v>
      </c>
      <c r="E35" s="394" t="n">
        <f aca="false">0.007+0.0022+0.0158</f>
        <v>0.025</v>
      </c>
      <c r="F35" s="14"/>
      <c r="G35" s="404" t="s">
        <v>183</v>
      </c>
      <c r="H35" s="392" t="n">
        <f aca="false">0.0021+0.007</f>
        <v>0.0091</v>
      </c>
      <c r="I35" s="12"/>
      <c r="J35" s="395" t="s">
        <v>183</v>
      </c>
      <c r="K35" s="392" t="n">
        <f aca="false">0.0022+0.007</f>
        <v>0.0092</v>
      </c>
      <c r="L35" s="12"/>
      <c r="M35" s="396" t="s">
        <v>183</v>
      </c>
      <c r="N35" s="397" t="n">
        <f aca="false">0.0022+0.007</f>
        <v>0.0092</v>
      </c>
      <c r="O35" s="12"/>
      <c r="P35" s="11"/>
      <c r="Q35" s="12"/>
      <c r="R35" s="12"/>
      <c r="S35" s="393" t="s">
        <v>183</v>
      </c>
      <c r="T35" s="398" t="n">
        <v>0.0021</v>
      </c>
      <c r="U35" s="12"/>
      <c r="V35" s="393"/>
      <c r="W35" s="397"/>
      <c r="X35" s="12"/>
      <c r="Y35" s="12"/>
      <c r="Z35" s="12"/>
      <c r="AE35" s="407"/>
      <c r="AF35" s="406" t="n">
        <f aca="false">SUM(AF32:AF34)</f>
        <v>0.0557142594671839</v>
      </c>
      <c r="AH35" s="407"/>
      <c r="AI35" s="406" t="n">
        <f aca="false">SUM(AI32:AI34)</f>
        <v>0.0667343434343435</v>
      </c>
      <c r="AK35" s="407"/>
      <c r="AL35" s="406" t="n">
        <f aca="false">SUM(AL32:AL34)</f>
        <v>0.0403571428571428</v>
      </c>
      <c r="AR35" s="408" t="n">
        <f aca="false">SUM(AR33:AR34)</f>
        <v>0.371849180327869</v>
      </c>
    </row>
    <row r="36" customFormat="false" ht="12.75" hidden="false" customHeight="false" outlineLevel="0" collapsed="false">
      <c r="A36" s="399" t="n">
        <v>0.0458</v>
      </c>
      <c r="B36" s="400" t="n">
        <f aca="false">B6/(1-A36)-B6</f>
        <v>0.077037308740306</v>
      </c>
      <c r="C36" s="14"/>
      <c r="D36" s="401" t="n">
        <v>0.0042</v>
      </c>
      <c r="E36" s="402" t="n">
        <f aca="false">+E$5/(1-D36)-E$5</f>
        <v>0.00687487447278556</v>
      </c>
      <c r="F36" s="17"/>
      <c r="G36" s="399" t="n">
        <v>0.0679</v>
      </c>
      <c r="H36" s="403" t="n">
        <f aca="false">(H$3)/(1-G36)-H$3</f>
        <v>0.114004398669671</v>
      </c>
      <c r="I36" s="14"/>
      <c r="J36" s="399" t="n">
        <v>0.0979</v>
      </c>
      <c r="K36" s="400" t="n">
        <f aca="false">(K$5)/(1-J36)-K$5</f>
        <v>0.174724531648376</v>
      </c>
      <c r="L36" s="14"/>
      <c r="M36" s="401" t="n">
        <v>0.1125</v>
      </c>
      <c r="N36" s="402" t="n">
        <f aca="false">(N$5)/(1-M36)-N$5</f>
        <v>0.204084507042254</v>
      </c>
      <c r="O36" s="14"/>
      <c r="P36" s="11"/>
      <c r="Q36" s="14"/>
      <c r="R36" s="14"/>
      <c r="S36" s="393" t="s">
        <v>545</v>
      </c>
      <c r="T36" s="402" t="n">
        <f aca="false">T3/(1-0.00697)-T3</f>
        <v>0.0117566941582834</v>
      </c>
      <c r="U36" s="14"/>
      <c r="V36" s="393"/>
      <c r="W36" s="402"/>
      <c r="X36" s="14"/>
      <c r="Y36" s="14"/>
      <c r="Z36" s="14"/>
      <c r="AB36" s="389" t="s">
        <v>216</v>
      </c>
      <c r="AC36" s="390" t="s">
        <v>537</v>
      </c>
      <c r="AI36" s="419" t="n">
        <f aca="false">SUM(AI35,AI3)</f>
        <v>1.89173434343434</v>
      </c>
      <c r="AL36" s="419"/>
    </row>
    <row r="37" customFormat="false" ht="12.75" hidden="false" customHeight="false" outlineLevel="0" collapsed="false">
      <c r="A37" s="404"/>
      <c r="B37" s="405" t="n">
        <f aca="false">SUM(B34:B36)</f>
        <v>0.131937308740306</v>
      </c>
      <c r="C37" s="17"/>
      <c r="D37" s="393"/>
      <c r="E37" s="406" t="n">
        <f aca="false">SUM(E34:E36)</f>
        <v>0.122074874472786</v>
      </c>
      <c r="F37" s="384"/>
      <c r="G37" s="404"/>
      <c r="H37" s="405" t="n">
        <f aca="false">SUM(H34:H36)</f>
        <v>0.234904398669671</v>
      </c>
      <c r="I37" s="17"/>
      <c r="J37" s="395"/>
      <c r="K37" s="405" t="n">
        <f aca="false">SUM(K34:K36)</f>
        <v>0.258324531648376</v>
      </c>
      <c r="L37" s="17"/>
      <c r="M37" s="396"/>
      <c r="N37" s="406" t="n">
        <f aca="false">SUM(N34:N36)</f>
        <v>0.868484507042254</v>
      </c>
      <c r="O37" s="17"/>
      <c r="P37" s="2"/>
      <c r="Q37" s="420"/>
      <c r="R37" s="17"/>
      <c r="S37" s="407"/>
      <c r="T37" s="421" t="n">
        <f aca="false">SUM(T34:T36)</f>
        <v>0.0504566941582834</v>
      </c>
      <c r="U37" s="17"/>
      <c r="V37" s="407"/>
      <c r="W37" s="406"/>
      <c r="X37" s="17"/>
      <c r="Y37" s="17"/>
      <c r="Z37" s="17"/>
      <c r="AB37" s="393" t="s">
        <v>518</v>
      </c>
      <c r="AC37" s="397" t="n">
        <v>0</v>
      </c>
      <c r="AH37" s="389" t="s">
        <v>428</v>
      </c>
      <c r="AI37" s="390" t="s">
        <v>580</v>
      </c>
      <c r="AK37" s="418"/>
      <c r="AL37" s="384"/>
      <c r="AQ37" s="43" t="s">
        <v>581</v>
      </c>
    </row>
    <row r="38" customFormat="false" ht="12.75" hidden="false" customHeight="false" outlineLevel="0" collapsed="false">
      <c r="A38" s="409" t="s">
        <v>155</v>
      </c>
      <c r="B38" s="383" t="s">
        <v>582</v>
      </c>
      <c r="C38" s="384"/>
      <c r="D38" s="387" t="s">
        <v>155</v>
      </c>
      <c r="E38" s="406" t="s">
        <v>583</v>
      </c>
      <c r="F38" s="12"/>
      <c r="G38" s="409" t="s">
        <v>501</v>
      </c>
      <c r="H38" s="417" t="s">
        <v>584</v>
      </c>
      <c r="I38" s="384"/>
      <c r="J38" s="386" t="s">
        <v>503</v>
      </c>
      <c r="K38" s="383" t="s">
        <v>578</v>
      </c>
      <c r="L38" s="384"/>
      <c r="M38" s="387" t="s">
        <v>505</v>
      </c>
      <c r="N38" s="388" t="s">
        <v>585</v>
      </c>
      <c r="O38" s="384"/>
      <c r="P38" s="418"/>
      <c r="Q38" s="384"/>
      <c r="R38" s="384"/>
      <c r="S38" s="411" t="s">
        <v>507</v>
      </c>
      <c r="T38" s="412" t="s">
        <v>586</v>
      </c>
      <c r="U38" s="384"/>
      <c r="V38" s="384"/>
      <c r="W38" s="384"/>
      <c r="X38" s="384"/>
      <c r="Y38" s="384"/>
      <c r="Z38" s="384"/>
      <c r="AB38" s="393" t="s">
        <v>183</v>
      </c>
      <c r="AC38" s="397" t="n">
        <f aca="false">0.0022+0.007</f>
        <v>0.0092</v>
      </c>
      <c r="AE38" s="393"/>
      <c r="AF38" s="397"/>
      <c r="AH38" s="393" t="s">
        <v>518</v>
      </c>
      <c r="AI38" s="397" t="n">
        <f aca="false">0.04+0.004+0.0022+0.0005</f>
        <v>0.0467</v>
      </c>
      <c r="AK38" s="11"/>
      <c r="AL38" s="12"/>
      <c r="AQ38" s="43" t="s">
        <v>544</v>
      </c>
      <c r="AR38" s="43" t="n">
        <v>0.0142</v>
      </c>
    </row>
    <row r="39" customFormat="false" ht="12.75" hidden="false" customHeight="false" outlineLevel="0" collapsed="false">
      <c r="A39" s="391" t="s">
        <v>518</v>
      </c>
      <c r="B39" s="392" t="n">
        <v>0.0353</v>
      </c>
      <c r="C39" s="12"/>
      <c r="D39" s="393" t="s">
        <v>518</v>
      </c>
      <c r="E39" s="394" t="n">
        <v>0.1366</v>
      </c>
      <c r="F39" s="12"/>
      <c r="G39" s="404" t="s">
        <v>518</v>
      </c>
      <c r="H39" s="392" t="n">
        <v>0.1231</v>
      </c>
      <c r="I39" s="12"/>
      <c r="J39" s="395" t="s">
        <v>518</v>
      </c>
      <c r="K39" s="392" t="n">
        <v>0.0929</v>
      </c>
      <c r="L39" s="12"/>
      <c r="M39" s="396" t="s">
        <v>518</v>
      </c>
      <c r="N39" s="397" t="n">
        <v>0.0731</v>
      </c>
      <c r="O39" s="12"/>
      <c r="P39" s="11"/>
      <c r="Q39" s="12"/>
      <c r="R39" s="12"/>
      <c r="S39" s="393" t="s">
        <v>518</v>
      </c>
      <c r="T39" s="398" t="n">
        <v>0.1204</v>
      </c>
      <c r="U39" s="12"/>
      <c r="V39" s="411"/>
      <c r="W39" s="412"/>
      <c r="X39" s="12"/>
      <c r="Y39" s="12"/>
      <c r="Z39" s="12"/>
      <c r="AB39" s="401" t="n">
        <v>0.0105</v>
      </c>
      <c r="AC39" s="402" t="n">
        <f aca="false">+AC3/(1-0.0058)-AC3</f>
        <v>0.0144095755381213</v>
      </c>
      <c r="AE39" s="393"/>
      <c r="AF39" s="397"/>
      <c r="AH39" s="393" t="s">
        <v>183</v>
      </c>
      <c r="AI39" s="397" t="n">
        <v>0</v>
      </c>
      <c r="AK39" s="11"/>
      <c r="AL39" s="12"/>
      <c r="AQ39" s="43" t="s">
        <v>183</v>
      </c>
      <c r="AR39" s="43" t="n">
        <f aca="false">0.0348-0.0312</f>
        <v>0.0036</v>
      </c>
    </row>
    <row r="40" customFormat="false" ht="12.75" hidden="false" customHeight="false" outlineLevel="0" collapsed="false">
      <c r="A40" s="391" t="s">
        <v>183</v>
      </c>
      <c r="B40" s="392" t="n">
        <f aca="false">0.0022+0.007+0.0158</f>
        <v>0.025</v>
      </c>
      <c r="C40" s="12"/>
      <c r="D40" s="393" t="s">
        <v>183</v>
      </c>
      <c r="E40" s="394" t="n">
        <f aca="false">0.007+0.0022+0.0158</f>
        <v>0.025</v>
      </c>
      <c r="F40" s="14"/>
      <c r="G40" s="404" t="s">
        <v>183</v>
      </c>
      <c r="H40" s="392" t="n">
        <f aca="false">0.0021+0.007</f>
        <v>0.0091</v>
      </c>
      <c r="I40" s="12"/>
      <c r="J40" s="395" t="s">
        <v>183</v>
      </c>
      <c r="K40" s="392" t="n">
        <f aca="false">0.0022+0.007</f>
        <v>0.0092</v>
      </c>
      <c r="L40" s="12"/>
      <c r="M40" s="396" t="s">
        <v>183</v>
      </c>
      <c r="N40" s="397" t="n">
        <f aca="false">0.0022</f>
        <v>0.0022</v>
      </c>
      <c r="O40" s="12"/>
      <c r="P40" s="11"/>
      <c r="Q40" s="12"/>
      <c r="R40" s="12"/>
      <c r="S40" s="393" t="s">
        <v>183</v>
      </c>
      <c r="T40" s="398" t="n">
        <v>0.0021</v>
      </c>
      <c r="U40" s="12"/>
      <c r="V40" s="393"/>
      <c r="W40" s="397"/>
      <c r="X40" s="12"/>
      <c r="Y40" s="12"/>
      <c r="Z40" s="12"/>
      <c r="AB40" s="407"/>
      <c r="AC40" s="406" t="n">
        <f aca="false">SUM(AC37:AC39)</f>
        <v>0.0236095755381213</v>
      </c>
      <c r="AE40" s="401"/>
      <c r="AF40" s="402"/>
      <c r="AH40" s="401" t="n">
        <v>0.005</v>
      </c>
      <c r="AI40" s="402" t="n">
        <f aca="false">+AI3/(1-AH40)-AI3</f>
        <v>0.00917085427135689</v>
      </c>
      <c r="AK40" s="11"/>
      <c r="AL40" s="14"/>
      <c r="AQ40" s="43" t="s">
        <v>526</v>
      </c>
      <c r="AR40" s="402" t="n">
        <f aca="false">+AN3/(1-0.024)-AN3</f>
        <v>0.0421721311475409</v>
      </c>
    </row>
    <row r="41" customFormat="false" ht="12.75" hidden="false" customHeight="false" outlineLevel="0" collapsed="false">
      <c r="A41" s="399" t="n">
        <v>0.0539</v>
      </c>
      <c r="B41" s="400" t="n">
        <f aca="false">B6/(1-A41)-B6</f>
        <v>0.09143800866716</v>
      </c>
      <c r="C41" s="14"/>
      <c r="D41" s="401" t="n">
        <v>0.0086</v>
      </c>
      <c r="E41" s="402" t="n">
        <f aca="false">+E$5/(1-D41)-E$5</f>
        <v>0.014139600564858</v>
      </c>
      <c r="F41" s="17"/>
      <c r="G41" s="399" t="n">
        <v>0.0788</v>
      </c>
      <c r="H41" s="403" t="n">
        <f aca="false">(H$3)/(1-G41)-H$3</f>
        <v>0.133871037776813</v>
      </c>
      <c r="I41" s="14"/>
      <c r="J41" s="399" t="n">
        <v>0.1125</v>
      </c>
      <c r="K41" s="400" t="n">
        <f aca="false">(K$5)/(1-J41)-K$5</f>
        <v>0.204084507042254</v>
      </c>
      <c r="L41" s="14"/>
      <c r="M41" s="401" t="n">
        <v>0.0232</v>
      </c>
      <c r="N41" s="402" t="n">
        <f aca="false">(N$4)/(1-M41)-N$4</f>
        <v>0.0385954135954136</v>
      </c>
      <c r="O41" s="14"/>
      <c r="P41" s="11"/>
      <c r="Q41" s="14"/>
      <c r="R41" s="14"/>
      <c r="S41" s="393" t="s">
        <v>559</v>
      </c>
      <c r="T41" s="402" t="n">
        <f aca="false">T4/(1-0.02902)-T4</f>
        <v>0.0515692941816242</v>
      </c>
      <c r="U41" s="14"/>
      <c r="V41" s="393"/>
      <c r="W41" s="397"/>
      <c r="X41" s="14"/>
      <c r="Y41" s="14"/>
      <c r="Z41" s="14"/>
      <c r="AE41" s="407"/>
      <c r="AF41" s="406"/>
      <c r="AH41" s="407"/>
      <c r="AI41" s="406" t="n">
        <f aca="false">SUM(AI38:AI40)</f>
        <v>0.0558708542713569</v>
      </c>
      <c r="AK41" s="2"/>
      <c r="AL41" s="17"/>
      <c r="AR41" s="408" t="n">
        <f aca="false">SUM(AR38:AR40)</f>
        <v>0.0599721311475409</v>
      </c>
    </row>
    <row r="42" customFormat="false" ht="12.75" hidden="false" customHeight="false" outlineLevel="0" collapsed="false">
      <c r="A42" s="404"/>
      <c r="B42" s="405" t="n">
        <f aca="false">SUM(B39:B41)</f>
        <v>0.15173800866716</v>
      </c>
      <c r="C42" s="17"/>
      <c r="D42" s="393"/>
      <c r="E42" s="406" t="n">
        <f aca="false">SUM(E39:E41)</f>
        <v>0.175739600564858</v>
      </c>
      <c r="F42" s="384"/>
      <c r="G42" s="404"/>
      <c r="H42" s="405" t="n">
        <f aca="false">SUM(H39:H41)</f>
        <v>0.266071037776813</v>
      </c>
      <c r="I42" s="17"/>
      <c r="J42" s="395"/>
      <c r="K42" s="405" t="n">
        <f aca="false">SUM(K39:K41)</f>
        <v>0.306184507042254</v>
      </c>
      <c r="L42" s="17"/>
      <c r="M42" s="396"/>
      <c r="N42" s="406" t="n">
        <f aca="false">SUM(N39:N41)</f>
        <v>0.113895413595414</v>
      </c>
      <c r="O42" s="17"/>
      <c r="P42" s="2"/>
      <c r="Q42" s="17"/>
      <c r="R42" s="17"/>
      <c r="S42" s="407"/>
      <c r="T42" s="406" t="n">
        <f aca="false">SUM(T39:T41)</f>
        <v>0.174069294181624</v>
      </c>
      <c r="U42" s="17"/>
      <c r="V42" s="393"/>
      <c r="W42" s="402"/>
      <c r="X42" s="17"/>
      <c r="Y42" s="17"/>
      <c r="Z42" s="17"/>
      <c r="AI42" s="422" t="n">
        <f aca="false">+AI41+AI3</f>
        <v>1.88087085427136</v>
      </c>
      <c r="AK42" s="2"/>
      <c r="AL42" s="423"/>
    </row>
    <row r="43" customFormat="false" ht="12.75" hidden="false" customHeight="false" outlineLevel="0" collapsed="false">
      <c r="A43" s="409" t="s">
        <v>155</v>
      </c>
      <c r="B43" s="383" t="s">
        <v>587</v>
      </c>
      <c r="C43" s="384"/>
      <c r="D43" s="43" t="s">
        <v>155</v>
      </c>
      <c r="E43" s="43" t="s">
        <v>588</v>
      </c>
      <c r="F43" s="12"/>
      <c r="G43" s="409" t="s">
        <v>501</v>
      </c>
      <c r="H43" s="417" t="s">
        <v>589</v>
      </c>
      <c r="I43" s="384"/>
      <c r="J43" s="386" t="s">
        <v>503</v>
      </c>
      <c r="K43" s="383" t="s">
        <v>585</v>
      </c>
      <c r="L43" s="384"/>
      <c r="M43" s="387" t="s">
        <v>505</v>
      </c>
      <c r="N43" s="388" t="s">
        <v>590</v>
      </c>
      <c r="O43" s="384"/>
      <c r="P43" s="384"/>
      <c r="Q43" s="384"/>
      <c r="R43" s="384"/>
      <c r="S43" s="384"/>
      <c r="T43" s="384"/>
      <c r="U43" s="384"/>
      <c r="V43" s="393"/>
      <c r="W43" s="402"/>
      <c r="X43" s="384"/>
      <c r="Y43" s="424"/>
      <c r="Z43" s="424"/>
      <c r="AH43" s="43" t="s">
        <v>591</v>
      </c>
    </row>
    <row r="44" customFormat="false" ht="12.75" hidden="false" customHeight="false" outlineLevel="0" collapsed="false">
      <c r="A44" s="391" t="s">
        <v>518</v>
      </c>
      <c r="B44" s="392" t="n">
        <v>0.0029</v>
      </c>
      <c r="C44" s="12"/>
      <c r="D44" s="393" t="s">
        <v>518</v>
      </c>
      <c r="E44" s="394" t="n">
        <v>0.3045</v>
      </c>
      <c r="F44" s="12"/>
      <c r="G44" s="404" t="s">
        <v>518</v>
      </c>
      <c r="H44" s="392" t="n">
        <v>0.1608</v>
      </c>
      <c r="I44" s="12"/>
      <c r="J44" s="395" t="s">
        <v>518</v>
      </c>
      <c r="K44" s="392" t="n">
        <v>0.0127</v>
      </c>
      <c r="L44" s="12"/>
      <c r="M44" s="396" t="s">
        <v>518</v>
      </c>
      <c r="N44" s="397" t="n">
        <v>0.2686</v>
      </c>
      <c r="O44" s="12"/>
      <c r="P44" s="418"/>
      <c r="Q44" s="384"/>
      <c r="R44" s="12"/>
      <c r="S44" s="411" t="s">
        <v>507</v>
      </c>
      <c r="T44" s="412" t="s">
        <v>592</v>
      </c>
      <c r="U44" s="12"/>
      <c r="V44" s="393"/>
      <c r="W44" s="402"/>
      <c r="X44" s="12"/>
      <c r="Y44" s="12"/>
      <c r="Z44" s="12"/>
      <c r="AQ44" s="43" t="s">
        <v>593</v>
      </c>
    </row>
    <row r="45" customFormat="false" ht="12.75" hidden="false" customHeight="false" outlineLevel="0" collapsed="false">
      <c r="A45" s="391" t="s">
        <v>183</v>
      </c>
      <c r="B45" s="392" t="n">
        <f aca="false">0.0022+0.007+0.0158</f>
        <v>0.025</v>
      </c>
      <c r="C45" s="12"/>
      <c r="D45" s="393" t="s">
        <v>183</v>
      </c>
      <c r="E45" s="394" t="n">
        <f aca="false">0.007+0.0022+0.0158</f>
        <v>0.025</v>
      </c>
      <c r="F45" s="14"/>
      <c r="G45" s="404" t="s">
        <v>183</v>
      </c>
      <c r="H45" s="392" t="n">
        <f aca="false">0.0021+0.007</f>
        <v>0.0091</v>
      </c>
      <c r="I45" s="12"/>
      <c r="J45" s="395" t="s">
        <v>183</v>
      </c>
      <c r="K45" s="392" t="n">
        <f aca="false">0.0022</f>
        <v>0.0022</v>
      </c>
      <c r="L45" s="12"/>
      <c r="M45" s="396" t="s">
        <v>183</v>
      </c>
      <c r="N45" s="397" t="n">
        <f aca="false">0.0022+0.007</f>
        <v>0.0092</v>
      </c>
      <c r="O45" s="12"/>
      <c r="P45" s="11"/>
      <c r="Q45" s="12"/>
      <c r="R45" s="12"/>
      <c r="S45" s="393" t="s">
        <v>518</v>
      </c>
      <c r="T45" s="397" t="n">
        <v>0.03</v>
      </c>
      <c r="U45" s="12"/>
      <c r="V45" s="407"/>
      <c r="W45" s="406"/>
      <c r="X45" s="12"/>
      <c r="Y45" s="12"/>
      <c r="Z45" s="12"/>
      <c r="AH45" s="425" t="n">
        <v>37226</v>
      </c>
      <c r="AK45" s="425"/>
      <c r="AQ45" s="43" t="s">
        <v>544</v>
      </c>
      <c r="AR45" s="43" t="n">
        <v>0.0142</v>
      </c>
    </row>
    <row r="46" customFormat="false" ht="12.75" hidden="false" customHeight="false" outlineLevel="0" collapsed="false">
      <c r="A46" s="399" t="n">
        <v>0.0042</v>
      </c>
      <c r="B46" s="400" t="n">
        <f aca="false">B4/(1-A46)-B4</f>
        <v>0.0110504117292627</v>
      </c>
      <c r="C46" s="14"/>
      <c r="D46" s="401" t="n">
        <v>0.0275</v>
      </c>
      <c r="E46" s="402" t="n">
        <f aca="false">+E$5/(1-D46)-E$5</f>
        <v>0.0460925449871465</v>
      </c>
      <c r="F46" s="17"/>
      <c r="G46" s="399" t="n">
        <v>0.0871</v>
      </c>
      <c r="H46" s="403" t="n">
        <f aca="false">(H$3)/(1-G46)-H$3</f>
        <v>0.149317011720889</v>
      </c>
      <c r="I46" s="14"/>
      <c r="J46" s="399" t="n">
        <v>0.0232</v>
      </c>
      <c r="K46" s="426" t="n">
        <f aca="false">(K$4)/(1-J46)-K$4</f>
        <v>0.0385954135954136</v>
      </c>
      <c r="L46" s="14"/>
      <c r="M46" s="401" t="n">
        <v>0.0652</v>
      </c>
      <c r="N46" s="402" t="n">
        <f aca="false">(N$4)/(1-M46)-N$4</f>
        <v>0.113339751818571</v>
      </c>
      <c r="O46" s="14"/>
      <c r="P46" s="11"/>
      <c r="Q46" s="12"/>
      <c r="R46" s="14"/>
      <c r="S46" s="393" t="s">
        <v>183</v>
      </c>
      <c r="T46" s="397" t="n">
        <v>0.0021</v>
      </c>
      <c r="U46" s="14"/>
      <c r="V46" s="407"/>
      <c r="W46" s="406"/>
      <c r="X46" s="14"/>
      <c r="Y46" s="14"/>
      <c r="Z46" s="14"/>
      <c r="AH46" s="427" t="s">
        <v>594</v>
      </c>
      <c r="AI46" s="4" t="n">
        <v>0.005</v>
      </c>
      <c r="AK46" s="427"/>
      <c r="AL46" s="4"/>
      <c r="AQ46" s="43" t="s">
        <v>183</v>
      </c>
      <c r="AR46" s="43" t="n">
        <f aca="false">0.0348-0.0312</f>
        <v>0.0036</v>
      </c>
    </row>
    <row r="47" customFormat="false" ht="12.75" hidden="false" customHeight="false" outlineLevel="0" collapsed="false">
      <c r="A47" s="404"/>
      <c r="B47" s="405" t="n">
        <f aca="false">SUM(B44:B46)</f>
        <v>0.0389504117292627</v>
      </c>
      <c r="C47" s="17"/>
      <c r="D47" s="393"/>
      <c r="E47" s="406" t="n">
        <f aca="false">SUM(E44:E46)</f>
        <v>0.375592544987147</v>
      </c>
      <c r="F47" s="424"/>
      <c r="G47" s="404"/>
      <c r="H47" s="405" t="n">
        <f aca="false">SUM(H44:H46)</f>
        <v>0.319217011720889</v>
      </c>
      <c r="I47" s="17"/>
      <c r="J47" s="395"/>
      <c r="K47" s="405" t="n">
        <f aca="false">SUM(K44:K46)</f>
        <v>0.0534954135954136</v>
      </c>
      <c r="L47" s="17"/>
      <c r="M47" s="396"/>
      <c r="N47" s="406" t="n">
        <f aca="false">SUM(N44:N46)</f>
        <v>0.391139751818571</v>
      </c>
      <c r="O47" s="17"/>
      <c r="P47" s="11"/>
      <c r="Q47" s="14"/>
      <c r="R47" s="17"/>
      <c r="S47" s="393" t="s">
        <v>545</v>
      </c>
      <c r="T47" s="402" t="n">
        <f aca="false">T3/(1-0.00697)-T3</f>
        <v>0.0117566941582834</v>
      </c>
      <c r="U47" s="17"/>
      <c r="V47" s="411"/>
      <c r="W47" s="412"/>
      <c r="X47" s="17"/>
      <c r="Y47" s="17"/>
      <c r="Z47" s="17"/>
      <c r="AH47" s="43" t="s">
        <v>595</v>
      </c>
      <c r="AI47" s="4" t="n">
        <v>0.01</v>
      </c>
      <c r="AL47" s="4"/>
      <c r="AQ47" s="43" t="s">
        <v>526</v>
      </c>
      <c r="AR47" s="402" t="n">
        <f aca="false">+AP3/(1-0.024)-AP3</f>
        <v>0.0420491803278689</v>
      </c>
    </row>
    <row r="48" customFormat="false" ht="12.75" hidden="false" customHeight="false" outlineLevel="0" collapsed="false">
      <c r="A48" s="428"/>
      <c r="B48" s="405"/>
      <c r="C48" s="17"/>
      <c r="D48" s="393"/>
      <c r="E48" s="406"/>
      <c r="F48" s="424"/>
      <c r="G48" s="404"/>
      <c r="H48" s="405"/>
      <c r="I48" s="17"/>
      <c r="J48" s="395"/>
      <c r="K48" s="405"/>
      <c r="L48" s="17"/>
      <c r="M48" s="396"/>
      <c r="N48" s="406"/>
      <c r="O48" s="17"/>
      <c r="P48" s="11"/>
      <c r="Q48" s="14"/>
      <c r="R48" s="17"/>
      <c r="S48" s="393"/>
      <c r="T48" s="402"/>
      <c r="U48" s="17"/>
      <c r="V48" s="393"/>
      <c r="W48" s="397"/>
      <c r="X48" s="17"/>
      <c r="Y48" s="17"/>
      <c r="Z48" s="17"/>
      <c r="AL48" s="4"/>
      <c r="AR48" s="14"/>
    </row>
    <row r="49" customFormat="false" ht="12.75" hidden="false" customHeight="false" outlineLevel="0" collapsed="false">
      <c r="A49" s="428"/>
      <c r="B49" s="405"/>
      <c r="C49" s="17"/>
      <c r="D49" s="393"/>
      <c r="E49" s="406"/>
      <c r="F49" s="424"/>
      <c r="G49" s="404"/>
      <c r="H49" s="405"/>
      <c r="I49" s="17"/>
      <c r="J49" s="395"/>
      <c r="K49" s="405"/>
      <c r="L49" s="17"/>
      <c r="M49" s="396"/>
      <c r="N49" s="406"/>
      <c r="O49" s="17"/>
      <c r="P49" s="11"/>
      <c r="Q49" s="14"/>
      <c r="R49" s="17"/>
      <c r="S49" s="393"/>
      <c r="T49" s="402"/>
      <c r="U49" s="17"/>
      <c r="V49" s="393"/>
      <c r="W49" s="397"/>
      <c r="X49" s="17"/>
      <c r="Y49" s="17" t="n">
        <v>3.5</v>
      </c>
      <c r="Z49" s="17"/>
      <c r="AH49" s="425" t="n">
        <v>37196</v>
      </c>
      <c r="AL49" s="4"/>
      <c r="AR49" s="14"/>
    </row>
    <row r="50" customFormat="false" ht="12.75" hidden="false" customHeight="false" outlineLevel="0" collapsed="false">
      <c r="A50" s="429" t="s">
        <v>155</v>
      </c>
      <c r="B50" s="383" t="s">
        <v>596</v>
      </c>
      <c r="C50" s="384"/>
      <c r="D50" s="387" t="s">
        <v>155</v>
      </c>
      <c r="E50" s="406" t="s">
        <v>597</v>
      </c>
      <c r="F50" s="12"/>
      <c r="G50" s="409" t="s">
        <v>501</v>
      </c>
      <c r="H50" s="410" t="s">
        <v>598</v>
      </c>
      <c r="I50" s="424"/>
      <c r="J50" s="386" t="s">
        <v>503</v>
      </c>
      <c r="K50" s="383" t="s">
        <v>599</v>
      </c>
      <c r="L50" s="424"/>
      <c r="M50" s="387" t="s">
        <v>505</v>
      </c>
      <c r="N50" s="388" t="s">
        <v>600</v>
      </c>
      <c r="O50" s="424"/>
      <c r="P50" s="2"/>
      <c r="Q50" s="17"/>
      <c r="R50" s="384"/>
      <c r="S50" s="407"/>
      <c r="T50" s="406" t="n">
        <f aca="false">SUM(T45:T47)</f>
        <v>0.0438566941582834</v>
      </c>
      <c r="U50" s="384"/>
      <c r="V50" s="393"/>
      <c r="W50" s="402"/>
      <c r="X50" s="384"/>
      <c r="Y50" s="430" t="n">
        <v>3.33</v>
      </c>
      <c r="Z50" s="424"/>
      <c r="AH50" s="427" t="s">
        <v>594</v>
      </c>
      <c r="AI50" s="4" t="n">
        <v>0.003</v>
      </c>
      <c r="AL50" s="4"/>
      <c r="AR50" s="408" t="n">
        <f aca="false">SUM(AR45:AR47)</f>
        <v>0.0598491803278689</v>
      </c>
    </row>
    <row r="51" customFormat="false" ht="12.75" hidden="false" customHeight="false" outlineLevel="0" collapsed="false">
      <c r="A51" s="409" t="s">
        <v>518</v>
      </c>
      <c r="B51" s="392" t="n">
        <v>0.0056</v>
      </c>
      <c r="C51" s="12"/>
      <c r="D51" s="393" t="s">
        <v>518</v>
      </c>
      <c r="E51" s="394" t="n">
        <v>0.1063</v>
      </c>
      <c r="F51" s="12"/>
      <c r="G51" s="391" t="s">
        <v>518</v>
      </c>
      <c r="H51" s="392" t="n">
        <v>0.0286</v>
      </c>
      <c r="I51" s="12"/>
      <c r="J51" s="395" t="s">
        <v>518</v>
      </c>
      <c r="K51" s="392" t="n">
        <v>0.02</v>
      </c>
      <c r="L51" s="12"/>
      <c r="M51" s="396" t="s">
        <v>518</v>
      </c>
      <c r="N51" s="397" t="n">
        <v>0.4165</v>
      </c>
      <c r="O51" s="12"/>
      <c r="P51" s="2"/>
      <c r="Q51" s="17"/>
      <c r="R51" s="12"/>
      <c r="S51" s="407"/>
      <c r="T51" s="406"/>
      <c r="U51" s="12"/>
      <c r="V51" s="407"/>
      <c r="W51" s="406"/>
      <c r="X51" s="12"/>
      <c r="Y51" s="431"/>
      <c r="Z51" s="12"/>
      <c r="AH51" s="43" t="s">
        <v>595</v>
      </c>
      <c r="AI51" s="4" t="n">
        <v>0.006</v>
      </c>
      <c r="AL51" s="4"/>
    </row>
    <row r="52" customFormat="false" ht="12.75" hidden="false" customHeight="false" outlineLevel="0" collapsed="false">
      <c r="A52" s="391" t="s">
        <v>183</v>
      </c>
      <c r="B52" s="392" t="n">
        <v>0.0022</v>
      </c>
      <c r="C52" s="12"/>
      <c r="D52" s="393" t="s">
        <v>183</v>
      </c>
      <c r="E52" s="394" t="n">
        <f aca="false">0.007+0.0022+0.0158</f>
        <v>0.025</v>
      </c>
      <c r="F52" s="14"/>
      <c r="G52" s="391" t="s">
        <v>183</v>
      </c>
      <c r="H52" s="392" t="n">
        <f aca="false">0.0021+0.007+0.0225</f>
        <v>0.0316</v>
      </c>
      <c r="I52" s="12"/>
      <c r="J52" s="395" t="s">
        <v>183</v>
      </c>
      <c r="K52" s="392" t="n">
        <f aca="false">0.0022+0.007</f>
        <v>0.0092</v>
      </c>
      <c r="L52" s="12"/>
      <c r="M52" s="396" t="s">
        <v>183</v>
      </c>
      <c r="N52" s="397" t="n">
        <f aca="false">0.0022+0.007</f>
        <v>0.0092</v>
      </c>
      <c r="O52" s="12"/>
      <c r="P52" s="418"/>
      <c r="Q52" s="384"/>
      <c r="R52" s="12"/>
      <c r="S52" s="411" t="s">
        <v>507</v>
      </c>
      <c r="T52" s="412" t="s">
        <v>601</v>
      </c>
      <c r="U52" s="12"/>
      <c r="V52" s="384"/>
      <c r="W52" s="17"/>
      <c r="X52" s="12"/>
      <c r="Y52" s="430" t="n">
        <f aca="false">+Y50/(1-0.0131)+0.0092</f>
        <v>3.38340204681325</v>
      </c>
      <c r="Z52" s="12"/>
      <c r="AK52" s="425"/>
    </row>
    <row r="53" customFormat="false" ht="12.75" hidden="false" customHeight="false" outlineLevel="0" collapsed="false">
      <c r="A53" s="399" t="n">
        <v>0.0086</v>
      </c>
      <c r="B53" s="400" t="n">
        <f aca="false">B$5/(1-A53)-B$5</f>
        <v>0.014139600564858</v>
      </c>
      <c r="C53" s="14"/>
      <c r="D53" s="401" t="n">
        <v>0.0044</v>
      </c>
      <c r="E53" s="402" t="n">
        <f aca="false">(E$4)/(1-D53)-E$4</f>
        <v>0.0115789473684211</v>
      </c>
      <c r="F53" s="17"/>
      <c r="G53" s="399" t="n">
        <v>0.0101</v>
      </c>
      <c r="H53" s="400" t="n">
        <f aca="false">(H$4)/(1-G53)-H$4</f>
        <v>0.0162738660470754</v>
      </c>
      <c r="I53" s="14"/>
      <c r="J53" s="399" t="n">
        <v>0.0355</v>
      </c>
      <c r="K53" s="426" t="n">
        <f aca="false">(K$4)/(1-J53)-K$4</f>
        <v>0.0598107827890098</v>
      </c>
      <c r="L53" s="14"/>
      <c r="M53" s="401" t="n">
        <v>0.0876</v>
      </c>
      <c r="N53" s="402" t="n">
        <f aca="false">(N$4)/(1-M53)-N$4</f>
        <v>0.156017097764139</v>
      </c>
      <c r="O53" s="14"/>
      <c r="P53" s="11"/>
      <c r="Q53" s="12"/>
      <c r="R53" s="14"/>
      <c r="S53" s="393" t="s">
        <v>518</v>
      </c>
      <c r="T53" s="397" t="n">
        <v>0.03</v>
      </c>
      <c r="U53" s="14"/>
      <c r="V53" s="389"/>
      <c r="W53" s="390"/>
      <c r="X53" s="14"/>
      <c r="Y53" s="430" t="n">
        <f aca="false">+Y49-Y52</f>
        <v>0.116597953186746</v>
      </c>
      <c r="Z53" s="14"/>
      <c r="AH53" s="425" t="n">
        <v>37165</v>
      </c>
      <c r="AK53" s="427"/>
      <c r="AL53" s="4"/>
    </row>
    <row r="54" customFormat="false" ht="12.75" hidden="false" customHeight="false" outlineLevel="0" collapsed="false">
      <c r="A54" s="391"/>
      <c r="B54" s="405" t="n">
        <f aca="false">SUM(B51:B53)</f>
        <v>0.021939600564858</v>
      </c>
      <c r="C54" s="17"/>
      <c r="D54" s="393"/>
      <c r="E54" s="406" t="n">
        <f aca="false">SUM(E51:E53)</f>
        <v>0.142878947368421</v>
      </c>
      <c r="F54" s="424"/>
      <c r="G54" s="404"/>
      <c r="H54" s="405" t="n">
        <f aca="false">SUM(H51:H53)</f>
        <v>0.0764738660470754</v>
      </c>
      <c r="I54" s="17"/>
      <c r="J54" s="395"/>
      <c r="K54" s="405" t="n">
        <f aca="false">SUM(K51:K53)</f>
        <v>0.0890107827890098</v>
      </c>
      <c r="L54" s="17"/>
      <c r="M54" s="396"/>
      <c r="N54" s="406" t="n">
        <f aca="false">SUM(N51:N53)</f>
        <v>0.581717097764139</v>
      </c>
      <c r="O54" s="17"/>
      <c r="P54" s="11"/>
      <c r="Q54" s="12"/>
      <c r="R54" s="17"/>
      <c r="S54" s="393" t="s">
        <v>183</v>
      </c>
      <c r="T54" s="397" t="n">
        <v>0.0022</v>
      </c>
      <c r="U54" s="17"/>
      <c r="V54" s="393"/>
      <c r="W54" s="397"/>
      <c r="X54" s="17"/>
      <c r="Y54" s="430" t="n">
        <f aca="false">+Y52-Y50</f>
        <v>0.0534020468132534</v>
      </c>
      <c r="Z54" s="17"/>
      <c r="AH54" s="427" t="s">
        <v>594</v>
      </c>
      <c r="AI54" s="4" t="n">
        <v>0.003</v>
      </c>
      <c r="AL54" s="4"/>
    </row>
    <row r="55" customFormat="false" ht="12.75" hidden="false" customHeight="false" outlineLevel="0" collapsed="false">
      <c r="A55" s="404" t="s">
        <v>155</v>
      </c>
      <c r="B55" s="383" t="s">
        <v>602</v>
      </c>
      <c r="C55" s="424"/>
      <c r="D55" s="43" t="s">
        <v>155</v>
      </c>
      <c r="E55" s="43" t="s">
        <v>603</v>
      </c>
      <c r="F55" s="12"/>
      <c r="G55" s="409" t="s">
        <v>501</v>
      </c>
      <c r="H55" s="410" t="s">
        <v>604</v>
      </c>
      <c r="I55" s="424"/>
      <c r="J55" s="386" t="s">
        <v>503</v>
      </c>
      <c r="K55" s="383" t="s">
        <v>590</v>
      </c>
      <c r="L55" s="424"/>
      <c r="M55" s="387" t="s">
        <v>505</v>
      </c>
      <c r="N55" s="388" t="s">
        <v>605</v>
      </c>
      <c r="O55" s="424"/>
      <c r="P55" s="11"/>
      <c r="Q55" s="14"/>
      <c r="R55" s="424"/>
      <c r="S55" s="393" t="s">
        <v>559</v>
      </c>
      <c r="T55" s="402" t="n">
        <f aca="false">T4/(1-0.02902)-T4</f>
        <v>0.0515692941816242</v>
      </c>
      <c r="U55" s="424"/>
      <c r="V55" s="393"/>
      <c r="W55" s="397"/>
      <c r="X55" s="424"/>
      <c r="Y55" s="431"/>
      <c r="Z55" s="384"/>
      <c r="AH55" s="43" t="s">
        <v>595</v>
      </c>
      <c r="AI55" s="4" t="n">
        <v>0.006</v>
      </c>
      <c r="AL55" s="4"/>
    </row>
    <row r="56" customFormat="false" ht="12.75" hidden="false" customHeight="false" outlineLevel="0" collapsed="false">
      <c r="A56" s="404" t="s">
        <v>518</v>
      </c>
      <c r="B56" s="392" t="n">
        <v>0.0178</v>
      </c>
      <c r="C56" s="12"/>
      <c r="D56" s="393" t="s">
        <v>518</v>
      </c>
      <c r="E56" s="394" t="n">
        <v>0.2742</v>
      </c>
      <c r="F56" s="12"/>
      <c r="G56" s="391" t="s">
        <v>518</v>
      </c>
      <c r="H56" s="392" t="n">
        <v>0.0572</v>
      </c>
      <c r="I56" s="12"/>
      <c r="J56" s="395" t="s">
        <v>518</v>
      </c>
      <c r="K56" s="392" t="n">
        <v>0.0428</v>
      </c>
      <c r="L56" s="12"/>
      <c r="M56" s="396" t="s">
        <v>518</v>
      </c>
      <c r="N56" s="397" t="n">
        <v>0.5184</v>
      </c>
      <c r="O56" s="12"/>
      <c r="P56" s="2"/>
      <c r="Q56" s="17"/>
      <c r="R56" s="12"/>
      <c r="S56" s="407"/>
      <c r="T56" s="406" t="n">
        <f aca="false">SUM(T53:T55)</f>
        <v>0.0837692941816242</v>
      </c>
      <c r="U56" s="12"/>
      <c r="V56" s="393"/>
      <c r="W56" s="402"/>
      <c r="X56" s="12"/>
      <c r="Y56" s="431"/>
      <c r="Z56" s="12"/>
      <c r="AL56" s="4"/>
    </row>
    <row r="57" customFormat="false" ht="12.75" hidden="false" customHeight="false" outlineLevel="0" collapsed="false">
      <c r="A57" s="409" t="s">
        <v>183</v>
      </c>
      <c r="B57" s="392" t="n">
        <f aca="false">0.0022+0.007+0.0158</f>
        <v>0.025</v>
      </c>
      <c r="C57" s="12"/>
      <c r="D57" s="393" t="s">
        <v>183</v>
      </c>
      <c r="E57" s="394" t="n">
        <f aca="false">0.007+0.0022+0.0158</f>
        <v>0.025</v>
      </c>
      <c r="F57" s="14"/>
      <c r="G57" s="391" t="s">
        <v>183</v>
      </c>
      <c r="H57" s="392" t="n">
        <f aca="false">0.0021+0.007+0.0225</f>
        <v>0.0316</v>
      </c>
      <c r="I57" s="12"/>
      <c r="J57" s="395" t="s">
        <v>183</v>
      </c>
      <c r="K57" s="392" t="n">
        <f aca="false">0.0022+0.007</f>
        <v>0.0092</v>
      </c>
      <c r="L57" s="12"/>
      <c r="M57" s="396" t="s">
        <v>183</v>
      </c>
      <c r="N57" s="397" t="n">
        <f aca="false">0.0022+0.007</f>
        <v>0.0092</v>
      </c>
      <c r="O57" s="12"/>
      <c r="P57" s="384"/>
      <c r="Q57" s="17"/>
      <c r="R57" s="12"/>
      <c r="S57" s="384"/>
      <c r="T57" s="17" t="n">
        <f aca="false">+T56+T50</f>
        <v>0.127625988339908</v>
      </c>
      <c r="U57" s="12"/>
      <c r="V57" s="407"/>
      <c r="W57" s="406"/>
      <c r="X57" s="12"/>
      <c r="Y57" s="431"/>
      <c r="Z57" s="12"/>
      <c r="AH57" s="425" t="n">
        <v>37135</v>
      </c>
      <c r="AK57" s="425"/>
    </row>
    <row r="58" customFormat="false" ht="12.75" hidden="false" customHeight="false" outlineLevel="0" collapsed="false">
      <c r="A58" s="399" t="n">
        <v>0.0275</v>
      </c>
      <c r="B58" s="400" t="n">
        <f aca="false">B$5/(1-A58)-B$5</f>
        <v>0.0460925449871465</v>
      </c>
      <c r="C58" s="14"/>
      <c r="D58" s="401" t="n">
        <v>0.0233</v>
      </c>
      <c r="E58" s="402" t="n">
        <f aca="false">(E$4)/(1-D58)-E$4</f>
        <v>0.0625023036756423</v>
      </c>
      <c r="F58" s="17"/>
      <c r="G58" s="399" t="n">
        <v>0.0191</v>
      </c>
      <c r="H58" s="400" t="n">
        <f aca="false">(H$4)/(1-G58)-H$4</f>
        <v>0.0310577021103069</v>
      </c>
      <c r="I58" s="14"/>
      <c r="J58" s="399" t="n">
        <v>0.0652</v>
      </c>
      <c r="K58" s="426" t="n">
        <f aca="false">(K$4)/(1-J58)-K$4</f>
        <v>0.113339751818571</v>
      </c>
      <c r="L58" s="14"/>
      <c r="M58" s="401" t="n">
        <v>0.1022</v>
      </c>
      <c r="N58" s="402" t="n">
        <f aca="false">(N$4)/(1-M58)-N$4</f>
        <v>0.184979950991312</v>
      </c>
      <c r="O58" s="14"/>
      <c r="P58" s="418"/>
      <c r="Q58" s="384"/>
      <c r="R58" s="14"/>
      <c r="S58" s="389" t="s">
        <v>73</v>
      </c>
      <c r="T58" s="390" t="s">
        <v>73</v>
      </c>
      <c r="U58" s="14"/>
      <c r="V58" s="411"/>
      <c r="W58" s="412"/>
      <c r="X58" s="14"/>
      <c r="Y58" s="14"/>
      <c r="Z58" s="14"/>
      <c r="AH58" s="427" t="s">
        <v>594</v>
      </c>
      <c r="AI58" s="4" t="n">
        <v>0.005</v>
      </c>
      <c r="AK58" s="427"/>
      <c r="AL58" s="4"/>
    </row>
    <row r="59" customFormat="false" ht="12.75" hidden="false" customHeight="false" outlineLevel="0" collapsed="false">
      <c r="A59" s="391"/>
      <c r="B59" s="405" t="n">
        <f aca="false">SUM(B56:B58)</f>
        <v>0.0888925449871466</v>
      </c>
      <c r="C59" s="17"/>
      <c r="D59" s="393"/>
      <c r="E59" s="406" t="n">
        <f aca="false">SUM(E56:E58)</f>
        <v>0.361702303675642</v>
      </c>
      <c r="F59" s="384"/>
      <c r="G59" s="404"/>
      <c r="H59" s="405" t="n">
        <f aca="false">SUM(H56:H58)</f>
        <v>0.119857702110307</v>
      </c>
      <c r="I59" s="17"/>
      <c r="J59" s="395"/>
      <c r="K59" s="405" t="n">
        <f aca="false">SUM(K56:K58)</f>
        <v>0.165339751818571</v>
      </c>
      <c r="L59" s="17"/>
      <c r="M59" s="396"/>
      <c r="N59" s="406" t="n">
        <f aca="false">SUM(N56:N58)</f>
        <v>0.712579950991312</v>
      </c>
      <c r="O59" s="17"/>
      <c r="P59" s="11"/>
      <c r="Q59" s="12"/>
      <c r="R59" s="17"/>
      <c r="S59" s="393"/>
      <c r="T59" s="397" t="s">
        <v>73</v>
      </c>
      <c r="U59" s="17"/>
      <c r="V59" s="393"/>
      <c r="W59" s="397"/>
      <c r="X59" s="17"/>
      <c r="Y59" s="17"/>
      <c r="Z59" s="17"/>
      <c r="AH59" s="43" t="s">
        <v>595</v>
      </c>
      <c r="AI59" s="4" t="n">
        <v>0.01</v>
      </c>
      <c r="AL59" s="4"/>
    </row>
    <row r="60" customFormat="false" ht="12.75" hidden="false" customHeight="false" outlineLevel="0" collapsed="false">
      <c r="A60" s="404" t="s">
        <v>155</v>
      </c>
      <c r="B60" s="383" t="s">
        <v>606</v>
      </c>
      <c r="C60" s="424"/>
      <c r="D60" s="43" t="s">
        <v>155</v>
      </c>
      <c r="E60" s="43" t="s">
        <v>607</v>
      </c>
      <c r="F60" s="12"/>
      <c r="G60" s="409" t="s">
        <v>501</v>
      </c>
      <c r="H60" s="410" t="s">
        <v>608</v>
      </c>
      <c r="I60" s="384"/>
      <c r="J60" s="386" t="s">
        <v>503</v>
      </c>
      <c r="K60" s="383" t="s">
        <v>600</v>
      </c>
      <c r="L60" s="384"/>
      <c r="M60" s="387" t="s">
        <v>505</v>
      </c>
      <c r="N60" s="388" t="s">
        <v>609</v>
      </c>
      <c r="O60" s="384"/>
      <c r="P60" s="11"/>
      <c r="Q60" s="12"/>
      <c r="R60" s="424"/>
      <c r="S60" s="393"/>
      <c r="T60" s="397"/>
      <c r="U60" s="424"/>
      <c r="V60" s="393"/>
      <c r="W60" s="397"/>
      <c r="X60" s="424"/>
      <c r="Y60" s="384"/>
      <c r="Z60" s="384"/>
      <c r="AL60" s="4"/>
    </row>
    <row r="61" customFormat="false" ht="12.75" hidden="false" customHeight="false" outlineLevel="0" collapsed="false">
      <c r="A61" s="404" t="s">
        <v>518</v>
      </c>
      <c r="B61" s="392" t="n">
        <v>0.0277</v>
      </c>
      <c r="C61" s="12"/>
      <c r="D61" s="393" t="s">
        <v>518</v>
      </c>
      <c r="E61" s="394" t="n">
        <v>0.4006</v>
      </c>
      <c r="F61" s="12"/>
      <c r="G61" s="391" t="s">
        <v>518</v>
      </c>
      <c r="H61" s="392" t="n">
        <v>0.0776</v>
      </c>
      <c r="I61" s="12"/>
      <c r="J61" s="395" t="s">
        <v>518</v>
      </c>
      <c r="K61" s="392" t="n">
        <v>0.0685</v>
      </c>
      <c r="L61" s="12"/>
      <c r="M61" s="396" t="s">
        <v>518</v>
      </c>
      <c r="N61" s="397" t="n">
        <v>0.0964</v>
      </c>
      <c r="O61" s="12"/>
      <c r="P61" s="11"/>
      <c r="Q61" s="14"/>
      <c r="R61" s="12"/>
      <c r="S61" s="393"/>
      <c r="T61" s="402"/>
      <c r="U61" s="12"/>
      <c r="V61" s="393"/>
      <c r="W61" s="402"/>
      <c r="X61" s="12"/>
      <c r="Y61" s="12"/>
      <c r="Z61" s="12"/>
      <c r="AH61" s="425" t="n">
        <v>37104</v>
      </c>
      <c r="AL61" s="4"/>
    </row>
    <row r="62" customFormat="false" ht="12.75" hidden="false" customHeight="false" outlineLevel="0" collapsed="false">
      <c r="A62" s="409" t="s">
        <v>183</v>
      </c>
      <c r="B62" s="392" t="n">
        <f aca="false">0.0022+0.007+0.0158</f>
        <v>0.025</v>
      </c>
      <c r="C62" s="12"/>
      <c r="D62" s="393" t="s">
        <v>183</v>
      </c>
      <c r="E62" s="394" t="n">
        <f aca="false">0.007+0.0022+0.0158</f>
        <v>0.025</v>
      </c>
      <c r="F62" s="14"/>
      <c r="G62" s="391" t="s">
        <v>183</v>
      </c>
      <c r="H62" s="392" t="n">
        <f aca="false">0.0021+0.007</f>
        <v>0.0091</v>
      </c>
      <c r="I62" s="12"/>
      <c r="J62" s="395" t="s">
        <v>183</v>
      </c>
      <c r="K62" s="392" t="n">
        <f aca="false">0.0022+0.007</f>
        <v>0.0092</v>
      </c>
      <c r="L62" s="12"/>
      <c r="M62" s="396" t="s">
        <v>183</v>
      </c>
      <c r="N62" s="397" t="n">
        <f aca="false">0.0022+0.007</f>
        <v>0.0092</v>
      </c>
      <c r="O62" s="12"/>
      <c r="P62" s="2"/>
      <c r="Q62" s="17"/>
      <c r="R62" s="12"/>
      <c r="S62" s="407" t="s">
        <v>73</v>
      </c>
      <c r="T62" s="406" t="s">
        <v>73</v>
      </c>
      <c r="U62" s="12"/>
      <c r="V62" s="407"/>
      <c r="W62" s="406"/>
      <c r="X62" s="12"/>
      <c r="Y62" s="12"/>
      <c r="Z62" s="12"/>
      <c r="AH62" s="427" t="s">
        <v>594</v>
      </c>
      <c r="AI62" s="4" t="n">
        <v>0.005</v>
      </c>
      <c r="AK62" s="425"/>
    </row>
    <row r="63" customFormat="false" ht="12.75" hidden="false" customHeight="false" outlineLevel="0" collapsed="false">
      <c r="A63" s="399" t="n">
        <v>0.0423</v>
      </c>
      <c r="B63" s="400" t="n">
        <f aca="false">B$5/(1-A63)-B$5</f>
        <v>0.0719943614910723</v>
      </c>
      <c r="C63" s="14"/>
      <c r="D63" s="401" t="n">
        <v>0.0381</v>
      </c>
      <c r="E63" s="402" t="n">
        <f aca="false">(E$4)/(1-D63)-E$4</f>
        <v>0.103775860276536</v>
      </c>
      <c r="F63" s="17"/>
      <c r="G63" s="399" t="n">
        <v>0.0428</v>
      </c>
      <c r="H63" s="400" t="n">
        <f aca="false">(H$4)/(1-G63)-H$4</f>
        <v>0.0713184287505222</v>
      </c>
      <c r="I63" s="14"/>
      <c r="J63" s="399" t="n">
        <v>0.0876</v>
      </c>
      <c r="K63" s="426" t="n">
        <f aca="false">(K$4)/(1-J63)-K$4</f>
        <v>0.156017097764139</v>
      </c>
      <c r="L63" s="14"/>
      <c r="M63" s="401" t="n">
        <v>0.031</v>
      </c>
      <c r="N63" s="402" t="n">
        <f aca="false">(N$3)/(1-M63)-N$3</f>
        <v>0.0532662538699691</v>
      </c>
      <c r="O63" s="14"/>
      <c r="P63" s="418"/>
      <c r="Q63" s="384"/>
      <c r="R63" s="14"/>
      <c r="S63" s="411" t="s">
        <v>73</v>
      </c>
      <c r="T63" s="412" t="s">
        <v>73</v>
      </c>
      <c r="U63" s="14"/>
      <c r="V63" s="411"/>
      <c r="W63" s="412"/>
      <c r="X63" s="14"/>
      <c r="Y63" s="14"/>
      <c r="Z63" s="14"/>
      <c r="AH63" s="43" t="s">
        <v>595</v>
      </c>
      <c r="AI63" s="4" t="n">
        <v>0.01</v>
      </c>
      <c r="AK63" s="427"/>
      <c r="AL63" s="4"/>
    </row>
    <row r="64" customFormat="false" ht="12.75" hidden="false" customHeight="false" outlineLevel="0" collapsed="false">
      <c r="A64" s="391"/>
      <c r="B64" s="405" t="n">
        <f aca="false">SUM(B61:B63)</f>
        <v>0.124694361491072</v>
      </c>
      <c r="C64" s="17"/>
      <c r="D64" s="393"/>
      <c r="E64" s="406" t="n">
        <f aca="false">SUM(E61:E63)</f>
        <v>0.529375860276536</v>
      </c>
      <c r="F64" s="384"/>
      <c r="G64" s="404"/>
      <c r="H64" s="405" t="n">
        <f aca="false">SUM(H61:H63)</f>
        <v>0.158018428750522</v>
      </c>
      <c r="I64" s="17"/>
      <c r="J64" s="395"/>
      <c r="K64" s="405" t="n">
        <f aca="false">SUM(K61:K63)</f>
        <v>0.233717097764139</v>
      </c>
      <c r="L64" s="17"/>
      <c r="M64" s="396"/>
      <c r="N64" s="406" t="n">
        <f aca="false">SUM(N61:N63)</f>
        <v>0.158866253869969</v>
      </c>
      <c r="O64" s="17"/>
      <c r="P64" s="11"/>
      <c r="Q64" s="12"/>
      <c r="R64" s="17"/>
      <c r="S64" s="393" t="s">
        <v>73</v>
      </c>
      <c r="T64" s="397" t="s">
        <v>73</v>
      </c>
      <c r="U64" s="17"/>
      <c r="V64" s="393"/>
      <c r="W64" s="397"/>
      <c r="X64" s="17"/>
      <c r="Y64" s="17"/>
      <c r="Z64" s="17"/>
      <c r="AL64" s="4"/>
    </row>
    <row r="65" customFormat="false" ht="12.75" hidden="false" customHeight="false" outlineLevel="0" collapsed="false">
      <c r="A65" s="391" t="s">
        <v>155</v>
      </c>
      <c r="B65" s="383" t="s">
        <v>610</v>
      </c>
      <c r="C65" s="384"/>
      <c r="D65" s="43" t="s">
        <v>155</v>
      </c>
      <c r="E65" s="43" t="s">
        <v>611</v>
      </c>
      <c r="F65" s="12"/>
      <c r="G65" s="409" t="s">
        <v>501</v>
      </c>
      <c r="H65" s="410" t="s">
        <v>612</v>
      </c>
      <c r="I65" s="384"/>
      <c r="J65" s="386" t="s">
        <v>503</v>
      </c>
      <c r="K65" s="383" t="s">
        <v>605</v>
      </c>
      <c r="L65" s="384"/>
      <c r="M65" s="387" t="s">
        <v>505</v>
      </c>
      <c r="N65" s="388" t="s">
        <v>613</v>
      </c>
      <c r="O65" s="384"/>
      <c r="P65" s="11"/>
      <c r="Q65" s="12"/>
      <c r="R65" s="384"/>
      <c r="S65" s="393" t="s">
        <v>73</v>
      </c>
      <c r="T65" s="397" t="s">
        <v>73</v>
      </c>
      <c r="U65" s="384"/>
      <c r="V65" s="393"/>
      <c r="W65" s="397"/>
      <c r="X65" s="384"/>
      <c r="Y65" s="375"/>
      <c r="Z65" s="375"/>
      <c r="AH65" s="425" t="n">
        <v>37073</v>
      </c>
      <c r="AL65" s="4"/>
    </row>
    <row r="66" customFormat="false" ht="12.75" hidden="false" customHeight="false" outlineLevel="0" collapsed="false">
      <c r="A66" s="404" t="s">
        <v>518</v>
      </c>
      <c r="B66" s="392" t="n">
        <v>0.0331</v>
      </c>
      <c r="C66" s="12"/>
      <c r="D66" s="393" t="s">
        <v>518</v>
      </c>
      <c r="E66" s="394" t="n">
        <v>0.4701</v>
      </c>
      <c r="F66" s="12"/>
      <c r="G66" s="391" t="s">
        <v>614</v>
      </c>
      <c r="H66" s="392" t="n">
        <v>0.02</v>
      </c>
      <c r="I66" s="12"/>
      <c r="J66" s="395" t="s">
        <v>518</v>
      </c>
      <c r="K66" s="392" t="n">
        <v>0.087</v>
      </c>
      <c r="L66" s="12"/>
      <c r="M66" s="396" t="s">
        <v>518</v>
      </c>
      <c r="N66" s="397" t="n">
        <v>0.0885</v>
      </c>
      <c r="O66" s="12"/>
      <c r="P66" s="11"/>
      <c r="Q66" s="14"/>
      <c r="R66" s="12"/>
      <c r="S66" s="393" t="s">
        <v>73</v>
      </c>
      <c r="T66" s="402" t="s">
        <v>73</v>
      </c>
      <c r="U66" s="12"/>
      <c r="V66" s="393"/>
      <c r="W66" s="402"/>
      <c r="X66" s="12"/>
      <c r="Y66" s="12"/>
      <c r="Z66" s="12"/>
      <c r="AH66" s="427" t="s">
        <v>594</v>
      </c>
      <c r="AI66" s="4" t="n">
        <v>0.001</v>
      </c>
      <c r="AL66" s="4"/>
    </row>
    <row r="67" customFormat="false" ht="12.75" hidden="false" customHeight="false" outlineLevel="0" collapsed="false">
      <c r="A67" s="183" t="s">
        <v>183</v>
      </c>
      <c r="B67" s="392" t="n">
        <f aca="false">0.0022+0.007+0.0158</f>
        <v>0.025</v>
      </c>
      <c r="C67" s="12"/>
      <c r="D67" s="393" t="s">
        <v>183</v>
      </c>
      <c r="E67" s="394" t="n">
        <f aca="false">0.0158+0.007+0.0022</f>
        <v>0.025</v>
      </c>
      <c r="F67" s="14"/>
      <c r="G67" s="391" t="s">
        <v>183</v>
      </c>
      <c r="H67" s="392" t="n">
        <f aca="false">0.0021</f>
        <v>0.0021</v>
      </c>
      <c r="I67" s="12"/>
      <c r="J67" s="395" t="s">
        <v>183</v>
      </c>
      <c r="K67" s="392" t="n">
        <f aca="false">0.0022+0.007</f>
        <v>0.0092</v>
      </c>
      <c r="L67" s="12"/>
      <c r="M67" s="396" t="s">
        <v>183</v>
      </c>
      <c r="N67" s="397" t="n">
        <f aca="false">0.0022+0.007</f>
        <v>0.0092</v>
      </c>
      <c r="O67" s="12"/>
      <c r="P67" s="2"/>
      <c r="Q67" s="17"/>
      <c r="R67" s="12"/>
      <c r="S67" s="407"/>
      <c r="T67" s="406" t="s">
        <v>73</v>
      </c>
      <c r="U67" s="12"/>
      <c r="V67" s="407"/>
      <c r="W67" s="406"/>
      <c r="X67" s="12"/>
      <c r="Y67" s="12"/>
      <c r="Z67" s="12"/>
      <c r="AH67" s="43" t="s">
        <v>595</v>
      </c>
      <c r="AI67" s="4" t="n">
        <v>0.002</v>
      </c>
      <c r="AK67" s="425"/>
    </row>
    <row r="68" customFormat="false" ht="12.75" hidden="false" customHeight="false" outlineLevel="0" collapsed="false">
      <c r="A68" s="399" t="n">
        <v>0.0504</v>
      </c>
      <c r="B68" s="400" t="n">
        <f aca="false">B$5/(1-A68)-B$5</f>
        <v>0.0865122156697558</v>
      </c>
      <c r="C68" s="14"/>
      <c r="D68" s="401" t="n">
        <v>0.0462</v>
      </c>
      <c r="E68" s="402" t="n">
        <f aca="false">(E$4)/(1-D68)-E$4</f>
        <v>0.126907108408472</v>
      </c>
      <c r="F68" s="17"/>
      <c r="G68" s="399" t="n">
        <v>0.0499</v>
      </c>
      <c r="H68" s="400" t="n">
        <f aca="false">(H$4)/(1-G68)-H$4</f>
        <v>0.0837706557204505</v>
      </c>
      <c r="I68" s="14"/>
      <c r="J68" s="399" t="n">
        <v>0.1022</v>
      </c>
      <c r="K68" s="426" t="n">
        <f aca="false">(K$4)/(1-J68)-K$4</f>
        <v>0.184979950991312</v>
      </c>
      <c r="L68" s="14"/>
      <c r="M68" s="401" t="n">
        <v>0.031</v>
      </c>
      <c r="N68" s="402" t="n">
        <f aca="false">(N$3)/(1-M68)-N$3</f>
        <v>0.0532662538699691</v>
      </c>
      <c r="O68" s="14"/>
      <c r="P68" s="418"/>
      <c r="Q68" s="384"/>
      <c r="R68" s="14"/>
      <c r="S68" s="411" t="s">
        <v>73</v>
      </c>
      <c r="T68" s="412" t="s">
        <v>73</v>
      </c>
      <c r="U68" s="14"/>
      <c r="V68" s="384"/>
      <c r="W68" s="384"/>
      <c r="X68" s="14"/>
      <c r="Y68" s="14"/>
      <c r="Z68" s="14"/>
      <c r="AK68" s="427"/>
      <c r="AL68" s="4"/>
    </row>
    <row r="69" customFormat="false" ht="12.75" hidden="false" customHeight="false" outlineLevel="0" collapsed="false">
      <c r="A69" s="391"/>
      <c r="B69" s="405" t="n">
        <f aca="false">SUM(B66:B68)</f>
        <v>0.144612215669756</v>
      </c>
      <c r="C69" s="17"/>
      <c r="D69" s="393"/>
      <c r="E69" s="406" t="n">
        <f aca="false">SUM(E66:E68)</f>
        <v>0.622007108408472</v>
      </c>
      <c r="F69" s="375"/>
      <c r="G69" s="404"/>
      <c r="H69" s="405" t="n">
        <f aca="false">SUM(H66:H68)</f>
        <v>0.105870655720451</v>
      </c>
      <c r="I69" s="17"/>
      <c r="J69" s="395"/>
      <c r="K69" s="405" t="n">
        <f aca="false">SUM(K66:K68)</f>
        <v>0.281179950991312</v>
      </c>
      <c r="L69" s="17"/>
      <c r="M69" s="396"/>
      <c r="N69" s="406" t="n">
        <f aca="false">SUM(N66:N68)</f>
        <v>0.150966253869969</v>
      </c>
      <c r="O69" s="17"/>
      <c r="P69" s="11"/>
      <c r="Q69" s="12"/>
      <c r="R69" s="17"/>
      <c r="S69" s="393"/>
      <c r="T69" s="397"/>
      <c r="U69" s="17"/>
      <c r="V69" s="12"/>
      <c r="W69" s="12"/>
      <c r="X69" s="17"/>
      <c r="Y69" s="17"/>
      <c r="Z69" s="17"/>
      <c r="AH69" s="425" t="n">
        <v>37043</v>
      </c>
      <c r="AL69" s="4"/>
    </row>
    <row r="70" customFormat="false" ht="12.75" hidden="false" customHeight="false" outlineLevel="0" collapsed="false">
      <c r="A70" s="391" t="s">
        <v>155</v>
      </c>
      <c r="B70" s="383" t="s">
        <v>615</v>
      </c>
      <c r="C70" s="384"/>
      <c r="D70" s="43" t="s">
        <v>155</v>
      </c>
      <c r="E70" s="43" t="s">
        <v>616</v>
      </c>
      <c r="F70" s="12"/>
      <c r="G70" s="409" t="s">
        <v>501</v>
      </c>
      <c r="H70" s="410" t="s">
        <v>617</v>
      </c>
      <c r="I70" s="375"/>
      <c r="J70" s="386" t="s">
        <v>503</v>
      </c>
      <c r="K70" s="383" t="s">
        <v>618</v>
      </c>
      <c r="L70" s="375"/>
      <c r="M70" s="387" t="s">
        <v>505</v>
      </c>
      <c r="N70" s="388" t="s">
        <v>619</v>
      </c>
      <c r="O70" s="375"/>
      <c r="P70" s="11"/>
      <c r="Q70" s="12"/>
      <c r="R70" s="384"/>
      <c r="S70" s="393"/>
      <c r="T70" s="397"/>
      <c r="U70" s="384"/>
      <c r="V70" s="14"/>
      <c r="W70" s="14"/>
      <c r="X70" s="384"/>
      <c r="Y70" s="375"/>
      <c r="Z70" s="375"/>
      <c r="AH70" s="427" t="s">
        <v>594</v>
      </c>
      <c r="AI70" s="4" t="n">
        <v>0</v>
      </c>
      <c r="AL70" s="4"/>
    </row>
    <row r="71" customFormat="false" ht="12.75" hidden="false" customHeight="false" outlineLevel="0" collapsed="false">
      <c r="A71" s="391" t="s">
        <v>518</v>
      </c>
      <c r="B71" s="392" t="n">
        <v>0.003</v>
      </c>
      <c r="C71" s="12"/>
      <c r="D71" s="393" t="s">
        <v>518</v>
      </c>
      <c r="E71" s="394" t="n">
        <v>0.2278</v>
      </c>
      <c r="F71" s="12"/>
      <c r="G71" s="391" t="s">
        <v>518</v>
      </c>
      <c r="H71" s="392" t="n">
        <v>0.1014</v>
      </c>
      <c r="I71" s="12"/>
      <c r="J71" s="395" t="s">
        <v>518</v>
      </c>
      <c r="K71" s="392" t="n">
        <v>0.014</v>
      </c>
      <c r="L71" s="12"/>
      <c r="M71" s="396" t="s">
        <v>518</v>
      </c>
      <c r="N71" s="397" t="n">
        <v>0.251</v>
      </c>
      <c r="O71" s="12"/>
      <c r="P71" s="11"/>
      <c r="Q71" s="14"/>
      <c r="R71" s="12"/>
      <c r="S71" s="393"/>
      <c r="T71" s="402"/>
      <c r="U71" s="12"/>
      <c r="V71" s="17"/>
      <c r="W71" s="17"/>
      <c r="X71" s="12"/>
      <c r="Y71" s="12"/>
      <c r="Z71" s="12"/>
      <c r="AH71" s="43" t="s">
        <v>595</v>
      </c>
      <c r="AI71" s="4" t="n">
        <v>0</v>
      </c>
      <c r="AL71" s="4"/>
    </row>
    <row r="72" customFormat="false" ht="12.75" hidden="false" customHeight="false" outlineLevel="0" collapsed="false">
      <c r="A72" s="404" t="s">
        <v>183</v>
      </c>
      <c r="B72" s="392" t="n">
        <f aca="false">0.0022+0.007+0.0158</f>
        <v>0.025</v>
      </c>
      <c r="C72" s="12"/>
      <c r="D72" s="393" t="s">
        <v>183</v>
      </c>
      <c r="E72" s="397" t="n">
        <f aca="false">0.0022+0.007+0.0158</f>
        <v>0.025</v>
      </c>
      <c r="F72" s="14"/>
      <c r="G72" s="391" t="s">
        <v>183</v>
      </c>
      <c r="H72" s="392" t="n">
        <f aca="false">0.0021+0.007</f>
        <v>0.0091</v>
      </c>
      <c r="I72" s="12"/>
      <c r="J72" s="395" t="s">
        <v>183</v>
      </c>
      <c r="K72" s="392" t="n">
        <f aca="false">0.0022+0.007</f>
        <v>0.0092</v>
      </c>
      <c r="L72" s="12"/>
      <c r="M72" s="396" t="s">
        <v>183</v>
      </c>
      <c r="N72" s="397" t="n">
        <f aca="false">0.0022+0.007</f>
        <v>0.0092</v>
      </c>
      <c r="O72" s="12"/>
      <c r="P72" s="407"/>
      <c r="Q72" s="406"/>
      <c r="R72" s="12"/>
      <c r="S72" s="407"/>
      <c r="T72" s="406"/>
      <c r="U72" s="12"/>
      <c r="V72" s="384"/>
      <c r="W72" s="384"/>
      <c r="X72" s="12"/>
      <c r="Y72" s="12"/>
      <c r="Z72" s="12"/>
      <c r="AK72" s="425"/>
    </row>
    <row r="73" customFormat="false" ht="12.75" hidden="false" customHeight="false" outlineLevel="0" collapsed="false">
      <c r="A73" s="399" t="n">
        <v>0.0044</v>
      </c>
      <c r="B73" s="400" t="n">
        <f aca="false">(B$4)/(1-A73)-B$4</f>
        <v>0.0115789473684211</v>
      </c>
      <c r="C73" s="14"/>
      <c r="D73" s="401" t="n">
        <v>0.0189</v>
      </c>
      <c r="E73" s="402" t="n">
        <f aca="false">(E$3)/(1-D73)-E$3</f>
        <v>0.0333268779940883</v>
      </c>
      <c r="F73" s="17"/>
      <c r="G73" s="399" t="n">
        <v>0.059</v>
      </c>
      <c r="H73" s="400" t="n">
        <f aca="false">(H$4)/(1-G73)-H$4</f>
        <v>0.10000531349628</v>
      </c>
      <c r="I73" s="14"/>
      <c r="J73" s="399" t="n">
        <v>0.0314</v>
      </c>
      <c r="K73" s="426" t="n">
        <f aca="false">(K$3)/(1-J73)-K$3</f>
        <v>0.0539758414206071</v>
      </c>
      <c r="L73" s="14"/>
      <c r="M73" s="401" t="n">
        <v>0.0607</v>
      </c>
      <c r="N73" s="402" t="n">
        <f aca="false">(N$3)/(1-M73)-N$3</f>
        <v>0.10759661450016</v>
      </c>
      <c r="O73" s="14"/>
      <c r="P73" s="384"/>
      <c r="Q73" s="384"/>
      <c r="R73" s="14"/>
      <c r="S73" s="384"/>
      <c r="T73" s="384"/>
      <c r="U73" s="14"/>
      <c r="V73" s="12"/>
      <c r="W73" s="12"/>
      <c r="X73" s="14"/>
      <c r="Y73" s="14"/>
      <c r="Z73" s="14"/>
      <c r="AH73" s="425" t="n">
        <v>37012</v>
      </c>
      <c r="AK73" s="427"/>
      <c r="AL73" s="4"/>
    </row>
    <row r="74" customFormat="false" ht="12.75" hidden="false" customHeight="false" outlineLevel="0" collapsed="false">
      <c r="A74" s="391"/>
      <c r="B74" s="405" t="n">
        <f aca="false">SUM(B71:B73)</f>
        <v>0.0395789473684211</v>
      </c>
      <c r="C74" s="17"/>
      <c r="D74" s="393"/>
      <c r="E74" s="406" t="n">
        <f aca="false">SUM(E71:E73)</f>
        <v>0.286126877994088</v>
      </c>
      <c r="F74" s="375"/>
      <c r="G74" s="404"/>
      <c r="H74" s="405" t="n">
        <f aca="false">SUM(H71:H73)</f>
        <v>0.21050531349628</v>
      </c>
      <c r="I74" s="17"/>
      <c r="J74" s="395"/>
      <c r="K74" s="405" t="n">
        <f aca="false">SUM(K71:K73)</f>
        <v>0.0771758414206071</v>
      </c>
      <c r="L74" s="17"/>
      <c r="M74" s="396"/>
      <c r="N74" s="406" t="n">
        <f aca="false">SUM(N71:N73)</f>
        <v>0.36779661450016</v>
      </c>
      <c r="O74" s="17"/>
      <c r="P74" s="12"/>
      <c r="Q74" s="12"/>
      <c r="R74" s="17"/>
      <c r="S74" s="12"/>
      <c r="T74" s="12"/>
      <c r="U74" s="17"/>
      <c r="V74" s="12"/>
      <c r="W74" s="12"/>
      <c r="X74" s="17"/>
      <c r="Y74" s="17"/>
      <c r="Z74" s="17"/>
      <c r="AH74" s="427" t="s">
        <v>594</v>
      </c>
      <c r="AI74" s="4" t="n">
        <v>0</v>
      </c>
      <c r="AL74" s="4"/>
    </row>
    <row r="75" customFormat="false" ht="12.75" hidden="false" customHeight="false" outlineLevel="0" collapsed="false">
      <c r="A75" s="391" t="s">
        <v>155</v>
      </c>
      <c r="B75" s="405" t="s">
        <v>620</v>
      </c>
      <c r="C75" s="375"/>
      <c r="D75" s="43" t="s">
        <v>155</v>
      </c>
      <c r="E75" s="43" t="s">
        <v>621</v>
      </c>
      <c r="F75" s="12"/>
      <c r="G75" s="409" t="s">
        <v>501</v>
      </c>
      <c r="H75" s="410" t="s">
        <v>622</v>
      </c>
      <c r="I75" s="375"/>
      <c r="J75" s="386" t="s">
        <v>503</v>
      </c>
      <c r="K75" s="383" t="s">
        <v>609</v>
      </c>
      <c r="L75" s="375"/>
      <c r="M75" s="387" t="s">
        <v>505</v>
      </c>
      <c r="N75" s="388" t="s">
        <v>623</v>
      </c>
      <c r="O75" s="375"/>
      <c r="P75" s="14"/>
      <c r="Q75" s="14"/>
      <c r="R75" s="375"/>
      <c r="S75" s="14"/>
      <c r="T75" s="14"/>
      <c r="U75" s="375"/>
      <c r="V75" s="14"/>
      <c r="W75" s="14"/>
      <c r="X75" s="375"/>
      <c r="Y75" s="375"/>
      <c r="Z75" s="375"/>
      <c r="AH75" s="43" t="s">
        <v>595</v>
      </c>
      <c r="AI75" s="4" t="n">
        <v>0</v>
      </c>
      <c r="AL75" s="4"/>
    </row>
    <row r="76" customFormat="false" ht="12.75" hidden="false" customHeight="false" outlineLevel="0" collapsed="false">
      <c r="A76" s="391" t="s">
        <v>518</v>
      </c>
      <c r="B76" s="432" t="n">
        <v>0.0152</v>
      </c>
      <c r="C76" s="12"/>
      <c r="D76" s="393" t="s">
        <v>518</v>
      </c>
      <c r="E76" s="394" t="n">
        <v>0.3542</v>
      </c>
      <c r="F76" s="12"/>
      <c r="G76" s="391" t="s">
        <v>518</v>
      </c>
      <c r="H76" s="392" t="n">
        <v>0.1126</v>
      </c>
      <c r="I76" s="12"/>
      <c r="J76" s="395" t="s">
        <v>518</v>
      </c>
      <c r="K76" s="392" t="n">
        <v>0.0103</v>
      </c>
      <c r="L76" s="12"/>
      <c r="M76" s="396" t="s">
        <v>518</v>
      </c>
      <c r="N76" s="397" t="n">
        <v>0.3989</v>
      </c>
      <c r="O76" s="12"/>
      <c r="P76" s="17"/>
      <c r="Q76" s="17"/>
      <c r="R76" s="12"/>
      <c r="S76" s="17"/>
      <c r="T76" s="17"/>
      <c r="U76" s="12"/>
      <c r="V76" s="17"/>
      <c r="W76" s="17"/>
      <c r="X76" s="12"/>
      <c r="Y76" s="12"/>
      <c r="Z76" s="12"/>
      <c r="AH76" s="43" t="s">
        <v>624</v>
      </c>
      <c r="AI76" s="4" t="n">
        <v>0</v>
      </c>
      <c r="AL76" s="4"/>
    </row>
    <row r="77" customFormat="false" ht="12.75" hidden="false" customHeight="false" outlineLevel="0" collapsed="false">
      <c r="A77" s="404" t="s">
        <v>183</v>
      </c>
      <c r="B77" s="432" t="n">
        <f aca="false">0.0022+0.007+0.0158</f>
        <v>0.025</v>
      </c>
      <c r="C77" s="12"/>
      <c r="D77" s="393" t="s">
        <v>183</v>
      </c>
      <c r="E77" s="397" t="n">
        <f aca="false">0.0022+0.007+0.0158</f>
        <v>0.025</v>
      </c>
      <c r="F77" s="14"/>
      <c r="G77" s="391" t="s">
        <v>183</v>
      </c>
      <c r="H77" s="392" t="n">
        <f aca="false">0.0021+0.007</f>
        <v>0.0091</v>
      </c>
      <c r="I77" s="12"/>
      <c r="J77" s="395" t="s">
        <v>183</v>
      </c>
      <c r="K77" s="392" t="n">
        <f aca="false">0.0022</f>
        <v>0.0022</v>
      </c>
      <c r="L77" s="12"/>
      <c r="M77" s="396" t="s">
        <v>183</v>
      </c>
      <c r="N77" s="397" t="n">
        <f aca="false">0.0022+0.007</f>
        <v>0.0092</v>
      </c>
      <c r="O77" s="12"/>
      <c r="P77" s="384"/>
      <c r="Q77" s="384"/>
      <c r="R77" s="12"/>
      <c r="S77" s="384"/>
      <c r="T77" s="384"/>
      <c r="U77" s="12"/>
      <c r="V77" s="375"/>
      <c r="W77" s="375"/>
      <c r="X77" s="12"/>
      <c r="Y77" s="12"/>
      <c r="Z77" s="12"/>
      <c r="AK77" s="425"/>
    </row>
    <row r="78" customFormat="false" ht="12.75" hidden="false" customHeight="false" outlineLevel="0" collapsed="false">
      <c r="A78" s="399" t="n">
        <v>0.0233</v>
      </c>
      <c r="B78" s="400" t="n">
        <f aca="false">(B$4)/(1-A78)-B$4</f>
        <v>0.0625023036756423</v>
      </c>
      <c r="C78" s="14"/>
      <c r="D78" s="401" t="n">
        <v>0.0337</v>
      </c>
      <c r="E78" s="402" t="n">
        <f aca="false">(E$3)/(1-D78)-E$3</f>
        <v>0.0603342647211009</v>
      </c>
      <c r="F78" s="17"/>
      <c r="G78" s="399" t="n">
        <v>0.0699</v>
      </c>
      <c r="H78" s="400" t="n">
        <f aca="false">(H$4)/(1-G78)-H$4</f>
        <v>0.119869368885066</v>
      </c>
      <c r="I78" s="14"/>
      <c r="J78" s="399" t="n">
        <v>0.031</v>
      </c>
      <c r="K78" s="426" t="n">
        <f aca="false">(K$3)/(1-J78)-K$3</f>
        <v>0.0532662538699691</v>
      </c>
      <c r="L78" s="14"/>
      <c r="M78" s="401" t="n">
        <v>0.0831</v>
      </c>
      <c r="N78" s="402" t="n">
        <f aca="false">(N$3)/(1-M78)-N$3</f>
        <v>0.150901406914604</v>
      </c>
      <c r="O78" s="14"/>
      <c r="P78" s="12"/>
      <c r="Q78" s="12"/>
      <c r="R78" s="14"/>
      <c r="S78" s="12"/>
      <c r="T78" s="12"/>
      <c r="U78" s="14"/>
      <c r="V78" s="12"/>
      <c r="W78" s="12"/>
      <c r="X78" s="14"/>
      <c r="Y78" s="14"/>
      <c r="Z78" s="14"/>
      <c r="AH78" s="425" t="n">
        <v>36982</v>
      </c>
      <c r="AK78" s="427"/>
      <c r="AL78" s="4"/>
    </row>
    <row r="79" customFormat="false" ht="12.75" hidden="false" customHeight="false" outlineLevel="0" collapsed="false">
      <c r="A79" s="391"/>
      <c r="B79" s="405" t="n">
        <f aca="false">SUM(B76:B78)</f>
        <v>0.102702303675642</v>
      </c>
      <c r="C79" s="17"/>
      <c r="D79" s="401"/>
      <c r="E79" s="406" t="n">
        <f aca="false">SUM(E76:E78)</f>
        <v>0.439534264721101</v>
      </c>
      <c r="F79" s="375"/>
      <c r="G79" s="404"/>
      <c r="H79" s="405" t="n">
        <f aca="false">SUM(H76:H78)</f>
        <v>0.241569368885066</v>
      </c>
      <c r="I79" s="17"/>
      <c r="J79" s="395"/>
      <c r="K79" s="405" t="n">
        <f aca="false">SUM(K76:K78)</f>
        <v>0.0657662538699691</v>
      </c>
      <c r="L79" s="17"/>
      <c r="M79" s="396"/>
      <c r="N79" s="406" t="n">
        <f aca="false">SUM(N76:N78)</f>
        <v>0.559001406914603</v>
      </c>
      <c r="O79" s="17"/>
      <c r="P79" s="12"/>
      <c r="Q79" s="12"/>
      <c r="R79" s="17"/>
      <c r="S79" s="12"/>
      <c r="T79" s="12"/>
      <c r="U79" s="17"/>
      <c r="V79" s="12"/>
      <c r="W79" s="12"/>
      <c r="X79" s="17"/>
      <c r="Y79" s="17"/>
      <c r="Z79" s="17"/>
      <c r="AH79" s="427" t="s">
        <v>594</v>
      </c>
      <c r="AI79" s="4" t="n">
        <v>0.004</v>
      </c>
      <c r="AL79" s="4"/>
    </row>
    <row r="80" customFormat="false" ht="12.75" hidden="false" customHeight="false" outlineLevel="0" collapsed="false">
      <c r="A80" s="391" t="s">
        <v>155</v>
      </c>
      <c r="B80" s="383" t="s">
        <v>625</v>
      </c>
      <c r="C80" s="375"/>
      <c r="D80" s="43" t="s">
        <v>626</v>
      </c>
      <c r="E80" s="43" t="s">
        <v>627</v>
      </c>
      <c r="F80" s="12"/>
      <c r="G80" s="409" t="s">
        <v>501</v>
      </c>
      <c r="H80" s="410" t="s">
        <v>628</v>
      </c>
      <c r="I80" s="375"/>
      <c r="J80" s="386" t="s">
        <v>503</v>
      </c>
      <c r="K80" s="383" t="s">
        <v>629</v>
      </c>
      <c r="L80" s="375"/>
      <c r="M80" s="387" t="s">
        <v>505</v>
      </c>
      <c r="N80" s="388" t="s">
        <v>630</v>
      </c>
      <c r="O80" s="375"/>
      <c r="P80" s="14"/>
      <c r="Q80" s="14"/>
      <c r="R80" s="375"/>
      <c r="S80" s="14"/>
      <c r="T80" s="14"/>
      <c r="U80" s="375"/>
      <c r="V80" s="14"/>
      <c r="W80" s="14"/>
      <c r="X80" s="375"/>
      <c r="Y80" s="375"/>
      <c r="Z80" s="375"/>
      <c r="AH80" s="43" t="s">
        <v>595</v>
      </c>
      <c r="AI80" s="4" t="n">
        <v>0.008</v>
      </c>
      <c r="AL80" s="4"/>
    </row>
    <row r="81" customFormat="false" ht="12.75" hidden="false" customHeight="false" outlineLevel="0" collapsed="false">
      <c r="A81" s="391" t="s">
        <v>518</v>
      </c>
      <c r="B81" s="392" t="n">
        <v>0.0251</v>
      </c>
      <c r="C81" s="12"/>
      <c r="D81" s="393" t="s">
        <v>518</v>
      </c>
      <c r="E81" s="394" t="n">
        <v>0.1018</v>
      </c>
      <c r="F81" s="12"/>
      <c r="G81" s="391" t="s">
        <v>518</v>
      </c>
      <c r="H81" s="392" t="n">
        <v>0.1503</v>
      </c>
      <c r="I81" s="12"/>
      <c r="J81" s="395" t="s">
        <v>518</v>
      </c>
      <c r="K81" s="392" t="n">
        <v>0.0173</v>
      </c>
      <c r="L81" s="12"/>
      <c r="M81" s="396" t="s">
        <v>518</v>
      </c>
      <c r="N81" s="397" t="n">
        <v>0.5008</v>
      </c>
      <c r="O81" s="12"/>
      <c r="P81" s="17"/>
      <c r="Q81" s="17"/>
      <c r="R81" s="12"/>
      <c r="S81" s="17"/>
      <c r="T81" s="17"/>
      <c r="U81" s="12"/>
      <c r="V81" s="433"/>
      <c r="W81" s="434"/>
      <c r="X81" s="12"/>
      <c r="Y81" s="12"/>
      <c r="Z81" s="12"/>
      <c r="AH81" s="43" t="s">
        <v>624</v>
      </c>
      <c r="AI81" s="4" t="n">
        <v>0.004</v>
      </c>
      <c r="AL81" s="4"/>
    </row>
    <row r="82" customFormat="false" ht="12.75" hidden="false" customHeight="false" outlineLevel="0" collapsed="false">
      <c r="A82" s="404" t="s">
        <v>183</v>
      </c>
      <c r="B82" s="432" t="n">
        <f aca="false">0.0022+0.007+0.0158</f>
        <v>0.025</v>
      </c>
      <c r="C82" s="12"/>
      <c r="D82" s="393" t="s">
        <v>183</v>
      </c>
      <c r="E82" s="394" t="n">
        <v>0</v>
      </c>
      <c r="F82" s="14"/>
      <c r="G82" s="391" t="s">
        <v>183</v>
      </c>
      <c r="H82" s="392" t="n">
        <f aca="false">0.0021+0.007</f>
        <v>0.0091</v>
      </c>
      <c r="I82" s="12"/>
      <c r="J82" s="395" t="s">
        <v>183</v>
      </c>
      <c r="K82" s="392" t="n">
        <f aca="false">0.0022+0.007</f>
        <v>0.0092</v>
      </c>
      <c r="L82" s="12"/>
      <c r="M82" s="396" t="s">
        <v>183</v>
      </c>
      <c r="N82" s="397" t="n">
        <f aca="false">0.0022+0.007</f>
        <v>0.0092</v>
      </c>
      <c r="O82" s="12"/>
      <c r="P82" s="375"/>
      <c r="Q82" s="375"/>
      <c r="R82" s="12"/>
      <c r="S82" s="375"/>
      <c r="T82" s="375"/>
      <c r="U82" s="12"/>
      <c r="V82" s="375"/>
      <c r="W82" s="375"/>
      <c r="X82" s="12"/>
      <c r="Y82" s="12"/>
      <c r="Z82" s="12"/>
      <c r="AK82" s="425"/>
    </row>
    <row r="83" customFormat="false" ht="12.75" hidden="false" customHeight="false" outlineLevel="0" collapsed="false">
      <c r="A83" s="399" t="n">
        <v>0.0381</v>
      </c>
      <c r="B83" s="400" t="n">
        <f aca="false">(B$4)/(1-A83)-B$4</f>
        <v>0.103775860276536</v>
      </c>
      <c r="C83" s="14"/>
      <c r="D83" s="401" t="n">
        <v>0.0057</v>
      </c>
      <c r="E83" s="402" t="n">
        <f aca="false">(E$3)/(1-D83)-E$3</f>
        <v>0.00991752992054718</v>
      </c>
      <c r="F83" s="17"/>
      <c r="G83" s="399" t="n">
        <v>0.0782</v>
      </c>
      <c r="H83" s="400" t="n">
        <f aca="false">(H$4)/(1-G83)-H$4</f>
        <v>0.135310262529833</v>
      </c>
      <c r="I83" s="14"/>
      <c r="J83" s="399" t="n">
        <v>0.031</v>
      </c>
      <c r="K83" s="426" t="n">
        <f aca="false">(K$3)/(1-J83)-K$3</f>
        <v>0.0532662538699691</v>
      </c>
      <c r="L83" s="14"/>
      <c r="M83" s="401" t="n">
        <v>0.0977</v>
      </c>
      <c r="N83" s="402" t="n">
        <f aca="false">(N$3)/(1-M83)-N$3</f>
        <v>0.180284273523218</v>
      </c>
      <c r="O83" s="14"/>
      <c r="P83" s="12"/>
      <c r="Q83" s="12"/>
      <c r="R83" s="14"/>
      <c r="S83" s="12"/>
      <c r="T83" s="12"/>
      <c r="U83" s="14"/>
      <c r="V83" s="12"/>
      <c r="W83" s="12"/>
      <c r="X83" s="14"/>
      <c r="Y83" s="14"/>
      <c r="Z83" s="14"/>
      <c r="AH83" s="425" t="n">
        <v>36951</v>
      </c>
      <c r="AK83" s="427"/>
      <c r="AL83" s="4"/>
    </row>
    <row r="84" customFormat="false" ht="12.75" hidden="false" customHeight="false" outlineLevel="0" collapsed="false">
      <c r="A84" s="435"/>
      <c r="B84" s="405" t="n">
        <f aca="false">SUM(B81:B83)</f>
        <v>0.153875860276536</v>
      </c>
      <c r="C84" s="17"/>
      <c r="D84" s="393"/>
      <c r="E84" s="406" t="n">
        <f aca="false">SUM(E81:E83)</f>
        <v>0.111717529920547</v>
      </c>
      <c r="F84" s="375"/>
      <c r="G84" s="404"/>
      <c r="H84" s="405" t="n">
        <f aca="false">SUM(H81:H83)</f>
        <v>0.294710262529833</v>
      </c>
      <c r="I84" s="17"/>
      <c r="J84" s="395"/>
      <c r="K84" s="405" t="n">
        <f aca="false">SUM(K81:K83)</f>
        <v>0.0797662538699691</v>
      </c>
      <c r="L84" s="17"/>
      <c r="M84" s="396"/>
      <c r="N84" s="406" t="n">
        <f aca="false">SUM(N81:N83)</f>
        <v>0.690284273523218</v>
      </c>
      <c r="O84" s="17"/>
      <c r="P84" s="12"/>
      <c r="Q84" s="12"/>
      <c r="R84" s="17"/>
      <c r="S84" s="12"/>
      <c r="T84" s="12"/>
      <c r="U84" s="17"/>
      <c r="V84" s="12"/>
      <c r="W84" s="12"/>
      <c r="X84" s="17"/>
      <c r="Y84" s="17"/>
      <c r="Z84" s="17"/>
      <c r="AH84" s="427" t="s">
        <v>594</v>
      </c>
      <c r="AI84" s="4" t="n">
        <v>0.005</v>
      </c>
      <c r="AL84" s="4"/>
    </row>
    <row r="85" customFormat="false" ht="14.1" hidden="false" customHeight="true" outlineLevel="0" collapsed="false">
      <c r="A85" s="436" t="s">
        <v>155</v>
      </c>
      <c r="B85" s="383" t="s">
        <v>631</v>
      </c>
      <c r="C85" s="375"/>
      <c r="D85" s="387" t="s">
        <v>632</v>
      </c>
      <c r="E85" s="406" t="s">
        <v>633</v>
      </c>
      <c r="F85" s="12"/>
      <c r="G85" s="409" t="s">
        <v>501</v>
      </c>
      <c r="H85" s="410" t="s">
        <v>634</v>
      </c>
      <c r="I85" s="375"/>
      <c r="J85" s="386" t="s">
        <v>503</v>
      </c>
      <c r="K85" s="383" t="s">
        <v>635</v>
      </c>
      <c r="L85" s="375"/>
      <c r="M85" s="387" t="s">
        <v>505</v>
      </c>
      <c r="N85" s="388" t="s">
        <v>636</v>
      </c>
      <c r="O85" s="375"/>
      <c r="P85" s="14"/>
      <c r="Q85" s="14"/>
      <c r="R85" s="375"/>
      <c r="S85" s="14"/>
      <c r="T85" s="14"/>
      <c r="U85" s="375"/>
      <c r="V85" s="14"/>
      <c r="W85" s="14"/>
      <c r="X85" s="375"/>
      <c r="Y85" s="375"/>
      <c r="Z85" s="375"/>
      <c r="AH85" s="43" t="s">
        <v>595</v>
      </c>
      <c r="AI85" s="4" t="n">
        <v>0.01</v>
      </c>
      <c r="AL85" s="4"/>
    </row>
    <row r="86" customFormat="false" ht="12.75" hidden="false" customHeight="false" outlineLevel="0" collapsed="false">
      <c r="A86" s="437" t="s">
        <v>518</v>
      </c>
      <c r="B86" s="392" t="n">
        <v>0.0305</v>
      </c>
      <c r="C86" s="12"/>
      <c r="D86" s="393" t="s">
        <v>518</v>
      </c>
      <c r="E86" s="394" t="n">
        <v>0.2428</v>
      </c>
      <c r="F86" s="12"/>
      <c r="G86" s="391" t="s">
        <v>518</v>
      </c>
      <c r="H86" s="392" t="n">
        <v>0.0783</v>
      </c>
      <c r="I86" s="12"/>
      <c r="J86" s="395" t="s">
        <v>518</v>
      </c>
      <c r="K86" s="392" t="n">
        <v>0.0087</v>
      </c>
      <c r="L86" s="12"/>
      <c r="M86" s="396" t="s">
        <v>518</v>
      </c>
      <c r="N86" s="397" t="n">
        <v>0.3104</v>
      </c>
      <c r="O86" s="12"/>
      <c r="P86" s="433"/>
      <c r="Q86" s="434"/>
      <c r="R86" s="12"/>
      <c r="S86" s="433"/>
      <c r="T86" s="434"/>
      <c r="U86" s="12"/>
      <c r="V86" s="17"/>
      <c r="W86" s="17"/>
      <c r="X86" s="12"/>
      <c r="Y86" s="12"/>
      <c r="Z86" s="12"/>
      <c r="AH86" s="43" t="s">
        <v>624</v>
      </c>
      <c r="AI86" s="4" t="n">
        <v>0.005</v>
      </c>
      <c r="AL86" s="4"/>
    </row>
    <row r="87" customFormat="false" ht="12.75" hidden="false" customHeight="false" outlineLevel="0" collapsed="false">
      <c r="A87" s="429" t="s">
        <v>183</v>
      </c>
      <c r="B87" s="432" t="n">
        <f aca="false">0.0022+0.007+0.0158</f>
        <v>0.025</v>
      </c>
      <c r="C87" s="12"/>
      <c r="D87" s="393" t="s">
        <v>183</v>
      </c>
      <c r="E87" s="394" t="n">
        <f aca="false">0.007+0.0022+0.0158</f>
        <v>0.025</v>
      </c>
      <c r="F87" s="14"/>
      <c r="G87" s="391" t="s">
        <v>183</v>
      </c>
      <c r="H87" s="392" t="n">
        <f aca="false">0.0021+0.007</f>
        <v>0.0091</v>
      </c>
      <c r="I87" s="12"/>
      <c r="J87" s="395" t="s">
        <v>183</v>
      </c>
      <c r="K87" s="392" t="n">
        <f aca="false">0.0022+0.007</f>
        <v>0.0092</v>
      </c>
      <c r="L87" s="12"/>
      <c r="M87" s="396" t="s">
        <v>183</v>
      </c>
      <c r="N87" s="397" t="n">
        <f aca="false">0.0022+0.007</f>
        <v>0.0092</v>
      </c>
      <c r="O87" s="12"/>
      <c r="P87" s="375"/>
      <c r="Q87" s="375"/>
      <c r="R87" s="12"/>
      <c r="S87" s="375"/>
      <c r="T87" s="375"/>
      <c r="U87" s="12"/>
      <c r="V87" s="375"/>
      <c r="W87" s="375"/>
      <c r="X87" s="12"/>
      <c r="Y87" s="12"/>
      <c r="Z87" s="12"/>
      <c r="AK87" s="425"/>
    </row>
    <row r="88" customFormat="false" ht="12.75" hidden="false" customHeight="false" outlineLevel="0" collapsed="false">
      <c r="A88" s="399" t="n">
        <v>0.0462</v>
      </c>
      <c r="B88" s="400" t="n">
        <f aca="false">(B$4)/(1-A88)-B$4</f>
        <v>0.126907108408472</v>
      </c>
      <c r="C88" s="14"/>
      <c r="D88" s="401" t="n">
        <v>0.0229</v>
      </c>
      <c r="E88" s="402" t="n">
        <f aca="false">(E$7)/(1-D88)-E$7</f>
        <v>0.0467562173779554</v>
      </c>
      <c r="F88" s="17"/>
      <c r="G88" s="399" t="n">
        <v>0.0415</v>
      </c>
      <c r="H88" s="426" t="n">
        <f aca="false">(H4)/(1-G88)-H4</f>
        <v>0.0690584246218049</v>
      </c>
      <c r="I88" s="14"/>
      <c r="J88" s="399" t="n">
        <v>0.031</v>
      </c>
      <c r="K88" s="426" t="n">
        <f aca="false">(K$3)/(1-J88)-K$3</f>
        <v>0.0532662538699691</v>
      </c>
      <c r="L88" s="14"/>
      <c r="M88" s="401" t="n">
        <v>0.0521</v>
      </c>
      <c r="N88" s="402" t="n">
        <f aca="false">(N$6)/(1-M88)-(N$6)</f>
        <v>0.0956366705348666</v>
      </c>
      <c r="O88" s="14"/>
      <c r="P88" s="12"/>
      <c r="Q88" s="12"/>
      <c r="R88" s="14"/>
      <c r="S88" s="12"/>
      <c r="T88" s="12"/>
      <c r="U88" s="14"/>
      <c r="V88" s="12"/>
      <c r="W88" s="12"/>
      <c r="X88" s="14"/>
      <c r="Y88" s="14"/>
      <c r="Z88" s="14"/>
      <c r="AH88" s="425" t="n">
        <v>36923</v>
      </c>
      <c r="AK88" s="427"/>
      <c r="AL88" s="4"/>
    </row>
    <row r="89" customFormat="false" ht="12.75" hidden="false" customHeight="false" outlineLevel="0" collapsed="false">
      <c r="A89" s="435"/>
      <c r="B89" s="405" t="n">
        <f aca="false">SUM(B86:B88)</f>
        <v>0.182407108408472</v>
      </c>
      <c r="C89" s="17"/>
      <c r="D89" s="393"/>
      <c r="E89" s="406" t="n">
        <f aca="false">SUM(E86:E88)</f>
        <v>0.314556217377955</v>
      </c>
      <c r="F89" s="375"/>
      <c r="G89" s="404"/>
      <c r="H89" s="405" t="n">
        <f aca="false">SUM(H86:H88)</f>
        <v>0.156458424621805</v>
      </c>
      <c r="I89" s="17"/>
      <c r="J89" s="395"/>
      <c r="K89" s="405" t="n">
        <f aca="false">SUM(K86:K88)</f>
        <v>0.0711662538699691</v>
      </c>
      <c r="L89" s="17"/>
      <c r="M89" s="396"/>
      <c r="N89" s="406" t="n">
        <f aca="false">SUM(N86:N88)</f>
        <v>0.415236670534867</v>
      </c>
      <c r="O89" s="17"/>
      <c r="P89" s="12"/>
      <c r="Q89" s="12"/>
      <c r="R89" s="17"/>
      <c r="S89" s="12"/>
      <c r="T89" s="12"/>
      <c r="U89" s="17"/>
      <c r="V89" s="12"/>
      <c r="W89" s="12"/>
      <c r="X89" s="17"/>
      <c r="Y89" s="17"/>
      <c r="Z89" s="17"/>
      <c r="AH89" s="427" t="s">
        <v>594</v>
      </c>
      <c r="AI89" s="4" t="n">
        <v>0.005</v>
      </c>
      <c r="AL89" s="4"/>
    </row>
    <row r="90" customFormat="false" ht="12.75" hidden="false" customHeight="false" outlineLevel="0" collapsed="false">
      <c r="A90" s="436" t="s">
        <v>155</v>
      </c>
      <c r="B90" s="405" t="s">
        <v>637</v>
      </c>
      <c r="C90" s="375"/>
      <c r="D90" s="387" t="s">
        <v>632</v>
      </c>
      <c r="E90" s="406" t="s">
        <v>638</v>
      </c>
      <c r="F90" s="12"/>
      <c r="G90" s="409" t="s">
        <v>501</v>
      </c>
      <c r="H90" s="410" t="s">
        <v>639</v>
      </c>
      <c r="I90" s="375"/>
      <c r="J90" s="386" t="s">
        <v>503</v>
      </c>
      <c r="K90" s="383" t="s">
        <v>613</v>
      </c>
      <c r="L90" s="375"/>
      <c r="M90" s="387" t="s">
        <v>505</v>
      </c>
      <c r="N90" s="388" t="s">
        <v>640</v>
      </c>
      <c r="O90" s="375"/>
      <c r="P90" s="14"/>
      <c r="Q90" s="14"/>
      <c r="R90" s="375"/>
      <c r="S90" s="14"/>
      <c r="T90" s="14"/>
      <c r="U90" s="375"/>
      <c r="V90" s="14"/>
      <c r="W90" s="14"/>
      <c r="X90" s="375"/>
      <c r="Y90" s="17"/>
      <c r="Z90" s="17"/>
      <c r="AH90" s="43" t="s">
        <v>595</v>
      </c>
      <c r="AI90" s="4" t="n">
        <v>0.01</v>
      </c>
      <c r="AL90" s="4"/>
    </row>
    <row r="91" customFormat="false" ht="12.75" hidden="false" customHeight="false" outlineLevel="0" collapsed="false">
      <c r="A91" s="437" t="s">
        <v>518</v>
      </c>
      <c r="B91" s="432" t="n">
        <v>0.0125</v>
      </c>
      <c r="C91" s="12"/>
      <c r="D91" s="393" t="s">
        <v>518</v>
      </c>
      <c r="E91" s="394" t="n">
        <v>0.1294</v>
      </c>
      <c r="F91" s="12"/>
      <c r="G91" s="391" t="s">
        <v>518</v>
      </c>
      <c r="H91" s="392" t="n">
        <f aca="false">0.0511-0.0022-0.0088</f>
        <v>0.0401</v>
      </c>
      <c r="I91" s="12"/>
      <c r="J91" s="395" t="s">
        <v>518</v>
      </c>
      <c r="K91" s="392" t="n">
        <v>0.0173</v>
      </c>
      <c r="L91" s="12"/>
      <c r="M91" s="396" t="s">
        <v>518</v>
      </c>
      <c r="N91" s="397" t="n">
        <v>0.4123</v>
      </c>
      <c r="O91" s="12"/>
      <c r="P91" s="17"/>
      <c r="Q91" s="17"/>
      <c r="R91" s="12"/>
      <c r="S91" s="17"/>
      <c r="T91" s="17"/>
      <c r="U91" s="12"/>
      <c r="V91" s="433"/>
      <c r="W91" s="434"/>
      <c r="X91" s="12"/>
      <c r="Y91" s="10"/>
      <c r="Z91" s="10"/>
      <c r="AH91" s="43" t="s">
        <v>624</v>
      </c>
      <c r="AI91" s="4" t="n">
        <v>0.005</v>
      </c>
      <c r="AL91" s="4"/>
    </row>
    <row r="92" customFormat="false" ht="12.75" hidden="false" customHeight="false" outlineLevel="0" collapsed="false">
      <c r="A92" s="438" t="s">
        <v>183</v>
      </c>
      <c r="B92" s="432" t="n">
        <f aca="false">0.0022+0.007+0.0158</f>
        <v>0.025</v>
      </c>
      <c r="C92" s="12"/>
      <c r="D92" s="393" t="s">
        <v>183</v>
      </c>
      <c r="E92" s="394" t="n">
        <f aca="false">0.007+0.0022+0.0158</f>
        <v>0.025</v>
      </c>
      <c r="F92" s="14"/>
      <c r="G92" s="391" t="s">
        <v>183</v>
      </c>
      <c r="H92" s="392" t="n">
        <f aca="false">0.0021+0.007</f>
        <v>0.0091</v>
      </c>
      <c r="I92" s="12"/>
      <c r="J92" s="395" t="s">
        <v>183</v>
      </c>
      <c r="K92" s="392" t="n">
        <f aca="false">0.0022+0.007</f>
        <v>0.0092</v>
      </c>
      <c r="L92" s="12"/>
      <c r="M92" s="396" t="s">
        <v>183</v>
      </c>
      <c r="N92" s="397" t="n">
        <f aca="false">0.0022+0.007</f>
        <v>0.0092</v>
      </c>
      <c r="O92" s="12"/>
      <c r="P92" s="375"/>
      <c r="Q92" s="375"/>
      <c r="R92" s="12"/>
      <c r="S92" s="375"/>
      <c r="T92" s="375"/>
      <c r="U92" s="12"/>
      <c r="V92" s="375"/>
      <c r="W92" s="375"/>
      <c r="X92" s="12"/>
      <c r="Y92" s="10"/>
      <c r="Z92" s="10"/>
      <c r="AK92" s="425"/>
    </row>
    <row r="93" customFormat="false" ht="12.75" hidden="false" customHeight="false" outlineLevel="0" collapsed="false">
      <c r="A93" s="399" t="n">
        <v>0.0189</v>
      </c>
      <c r="B93" s="400" t="n">
        <f aca="false">(B3)/(1-A93)-B3</f>
        <v>0.0333268779940883</v>
      </c>
      <c r="C93" s="14"/>
      <c r="D93" s="401" t="n">
        <v>0.0081</v>
      </c>
      <c r="E93" s="402" t="n">
        <f aca="false">(E$7)/(1-D93)-E$7</f>
        <v>0.0162914608327451</v>
      </c>
      <c r="F93" s="17"/>
      <c r="G93" s="399" t="n">
        <v>0.0109</v>
      </c>
      <c r="H93" s="426" t="n">
        <f aca="false">(H5)/(1-G93)-H5</f>
        <v>0.020442321302194</v>
      </c>
      <c r="I93" s="14"/>
      <c r="J93" s="399" t="n">
        <v>0.031</v>
      </c>
      <c r="K93" s="426" t="n">
        <f aca="false">(K$3)/(1-J93)-K$3</f>
        <v>0.0532662538699691</v>
      </c>
      <c r="L93" s="14"/>
      <c r="M93" s="401" t="n">
        <v>0.0667</v>
      </c>
      <c r="N93" s="402" t="n">
        <f aca="false">(N$6)/(1-M93)-(N$6)</f>
        <v>0.124352298296368</v>
      </c>
      <c r="O93" s="14"/>
      <c r="P93" s="12"/>
      <c r="Q93" s="12"/>
      <c r="R93" s="14"/>
      <c r="S93" s="12"/>
      <c r="T93" s="12"/>
      <c r="U93" s="14"/>
      <c r="V93" s="12"/>
      <c r="W93" s="12"/>
      <c r="X93" s="14"/>
      <c r="Y93" s="10"/>
      <c r="Z93" s="10"/>
      <c r="AH93" s="425" t="n">
        <v>36892</v>
      </c>
      <c r="AK93" s="427"/>
      <c r="AL93" s="4"/>
    </row>
    <row r="94" customFormat="false" ht="12.75" hidden="false" customHeight="false" outlineLevel="0" collapsed="false">
      <c r="A94" s="435"/>
      <c r="B94" s="405" t="n">
        <f aca="false">SUM(B91:B93)</f>
        <v>0.0708268779940883</v>
      </c>
      <c r="C94" s="17"/>
      <c r="D94" s="393"/>
      <c r="E94" s="406" t="n">
        <f aca="false">SUM(E91:E93)</f>
        <v>0.170691460832745</v>
      </c>
      <c r="F94" s="17"/>
      <c r="G94" s="404"/>
      <c r="H94" s="405" t="n">
        <f aca="false">SUM(H91:H93)</f>
        <v>0.069642321302194</v>
      </c>
      <c r="I94" s="17"/>
      <c r="J94" s="395"/>
      <c r="K94" s="405" t="n">
        <f aca="false">SUM(K91:K93)</f>
        <v>0.0797662538699691</v>
      </c>
      <c r="L94" s="17"/>
      <c r="M94" s="396"/>
      <c r="N94" s="406" t="n">
        <f aca="false">SUM(N91:N93)</f>
        <v>0.545852298296368</v>
      </c>
      <c r="O94" s="17"/>
      <c r="P94" s="12"/>
      <c r="Q94" s="12"/>
      <c r="R94" s="17"/>
      <c r="S94" s="12"/>
      <c r="T94" s="12"/>
      <c r="U94" s="17"/>
      <c r="V94" s="12"/>
      <c r="W94" s="12"/>
      <c r="X94" s="17"/>
      <c r="Y94" s="14"/>
      <c r="Z94" s="14"/>
      <c r="AH94" s="427" t="s">
        <v>594</v>
      </c>
      <c r="AI94" s="4" t="n">
        <v>0.005</v>
      </c>
      <c r="AL94" s="4"/>
    </row>
    <row r="95" customFormat="false" ht="12.75" hidden="false" customHeight="false" outlineLevel="0" collapsed="false">
      <c r="A95" s="436" t="s">
        <v>155</v>
      </c>
      <c r="B95" s="405" t="s">
        <v>641</v>
      </c>
      <c r="C95" s="375"/>
      <c r="D95" s="387" t="s">
        <v>632</v>
      </c>
      <c r="E95" s="406" t="s">
        <v>642</v>
      </c>
      <c r="F95" s="10"/>
      <c r="G95" s="409" t="s">
        <v>501</v>
      </c>
      <c r="H95" s="410" t="s">
        <v>643</v>
      </c>
      <c r="I95" s="17"/>
      <c r="J95" s="386" t="s">
        <v>503</v>
      </c>
      <c r="K95" s="383" t="s">
        <v>619</v>
      </c>
      <c r="L95" s="17"/>
      <c r="M95" s="387" t="s">
        <v>505</v>
      </c>
      <c r="N95" s="406" t="s">
        <v>644</v>
      </c>
      <c r="O95" s="17"/>
      <c r="P95" s="14"/>
      <c r="Q95" s="14"/>
      <c r="R95" s="375"/>
      <c r="S95" s="14"/>
      <c r="T95" s="14"/>
      <c r="U95" s="375"/>
      <c r="V95" s="14"/>
      <c r="W95" s="14"/>
      <c r="X95" s="375"/>
      <c r="Y95" s="17"/>
      <c r="Z95" s="17"/>
      <c r="AH95" s="43" t="s">
        <v>595</v>
      </c>
      <c r="AI95" s="4" t="n">
        <v>0.01</v>
      </c>
      <c r="AL95" s="4"/>
    </row>
    <row r="96" customFormat="false" ht="12.75" hidden="false" customHeight="false" outlineLevel="0" collapsed="false">
      <c r="A96" s="439" t="s">
        <v>518</v>
      </c>
      <c r="B96" s="432" t="n">
        <v>0.0224</v>
      </c>
      <c r="C96" s="12"/>
      <c r="D96" s="393" t="s">
        <v>518</v>
      </c>
      <c r="E96" s="394" t="n">
        <v>0.2558</v>
      </c>
      <c r="F96" s="10"/>
      <c r="G96" s="391" t="s">
        <v>518</v>
      </c>
      <c r="H96" s="392" t="n">
        <v>0.0834</v>
      </c>
      <c r="I96" s="10"/>
      <c r="J96" s="395" t="s">
        <v>518</v>
      </c>
      <c r="K96" s="392" t="n">
        <v>0.0401</v>
      </c>
      <c r="L96" s="10"/>
      <c r="M96" s="396" t="s">
        <v>518</v>
      </c>
      <c r="N96" s="394" t="n">
        <v>0.2386</v>
      </c>
      <c r="O96" s="10"/>
      <c r="P96" s="433"/>
      <c r="Q96" s="434"/>
      <c r="R96" s="12"/>
      <c r="S96" s="433"/>
      <c r="T96" s="434"/>
      <c r="U96" s="12"/>
      <c r="V96" s="17"/>
      <c r="W96" s="17"/>
      <c r="X96" s="12"/>
      <c r="Y96" s="375"/>
      <c r="Z96" s="375"/>
      <c r="AH96" s="43" t="s">
        <v>624</v>
      </c>
      <c r="AI96" s="4" t="n">
        <v>0.005</v>
      </c>
      <c r="AL96" s="4"/>
    </row>
    <row r="97" customFormat="false" ht="12.75" hidden="false" customHeight="false" outlineLevel="0" collapsed="false">
      <c r="A97" s="438" t="s">
        <v>183</v>
      </c>
      <c r="B97" s="432" t="n">
        <f aca="false">0.0022+0.007+0.0158</f>
        <v>0.025</v>
      </c>
      <c r="C97" s="12"/>
      <c r="D97" s="393" t="s">
        <v>183</v>
      </c>
      <c r="E97" s="394" t="n">
        <f aca="false">0.0022+0.0158</f>
        <v>0.018</v>
      </c>
      <c r="F97" s="14"/>
      <c r="G97" s="391" t="s">
        <v>183</v>
      </c>
      <c r="H97" s="392" t="n">
        <f aca="false">0.0021+0.007</f>
        <v>0.0091</v>
      </c>
      <c r="I97" s="10" t="s">
        <v>73</v>
      </c>
      <c r="J97" s="395" t="s">
        <v>183</v>
      </c>
      <c r="K97" s="392" t="n">
        <f aca="false">0.0022+0.007</f>
        <v>0.0092</v>
      </c>
      <c r="L97" s="10"/>
      <c r="M97" s="396" t="s">
        <v>183</v>
      </c>
      <c r="N97" s="397" t="n">
        <f aca="false">0.0022+0.007</f>
        <v>0.0092</v>
      </c>
      <c r="O97" s="10"/>
      <c r="P97" s="375"/>
      <c r="Q97" s="375"/>
      <c r="R97" s="12"/>
      <c r="S97" s="375"/>
      <c r="T97" s="375"/>
      <c r="U97" s="12"/>
      <c r="V97" s="375"/>
      <c r="W97" s="375"/>
      <c r="X97" s="12"/>
      <c r="Y97" s="12"/>
      <c r="Z97" s="12"/>
      <c r="AK97" s="425"/>
    </row>
    <row r="98" customFormat="false" ht="12.75" hidden="false" customHeight="false" outlineLevel="0" collapsed="false">
      <c r="A98" s="399" t="n">
        <v>0.0337</v>
      </c>
      <c r="B98" s="400" t="n">
        <f aca="false">(B3)/(1-A98)-B3</f>
        <v>0.0603342647211009</v>
      </c>
      <c r="C98" s="14"/>
      <c r="D98" s="401" t="n">
        <v>0.0229</v>
      </c>
      <c r="E98" s="402" t="n">
        <f aca="false">(E$7)/(1-D98)-E$7</f>
        <v>0.0467562173779554</v>
      </c>
      <c r="F98" s="17"/>
      <c r="G98" s="399" t="n">
        <v>0.0217</v>
      </c>
      <c r="H98" s="426" t="n">
        <f aca="false">(H5)/(1-G98)-H5</f>
        <v>0.0411463763671676</v>
      </c>
      <c r="I98" s="14"/>
      <c r="J98" s="399" t="n">
        <v>0.0607</v>
      </c>
      <c r="K98" s="426" t="n">
        <f aca="false">(K$3)/(1-J98)-K$3</f>
        <v>0.10759661450016</v>
      </c>
      <c r="L98" s="14"/>
      <c r="M98" s="401" t="n">
        <v>0.0413</v>
      </c>
      <c r="N98" s="402" t="n">
        <f aca="false">(N$6)/(1-M98)-(N$6)</f>
        <v>0.0749577552936267</v>
      </c>
      <c r="O98" s="14"/>
      <c r="P98" s="12"/>
      <c r="Q98" s="12"/>
      <c r="R98" s="14"/>
      <c r="S98" s="12"/>
      <c r="T98" s="12"/>
      <c r="U98" s="14"/>
      <c r="V98" s="12"/>
      <c r="W98" s="12"/>
      <c r="X98" s="14"/>
      <c r="Y98" s="12"/>
      <c r="Z98" s="12"/>
      <c r="AH98" s="425" t="n">
        <v>36861</v>
      </c>
      <c r="AK98" s="427"/>
      <c r="AL98" s="4"/>
    </row>
    <row r="99" customFormat="false" ht="12.75" hidden="false" customHeight="false" outlineLevel="0" collapsed="false">
      <c r="A99" s="435"/>
      <c r="B99" s="405" t="n">
        <f aca="false">SUM(B96:B98)</f>
        <v>0.107734264721101</v>
      </c>
      <c r="C99" s="17"/>
      <c r="D99" s="393"/>
      <c r="E99" s="406" t="n">
        <f aca="false">SUM(E96:E98)</f>
        <v>0.320556217377956</v>
      </c>
      <c r="F99" s="375"/>
      <c r="G99" s="404"/>
      <c r="H99" s="405" t="n">
        <f aca="false">SUM(H96:H98)</f>
        <v>0.133646376367168</v>
      </c>
      <c r="I99" s="17"/>
      <c r="J99" s="395"/>
      <c r="K99" s="405" t="n">
        <f aca="false">SUM(K96:K98)</f>
        <v>0.15689661450016</v>
      </c>
      <c r="L99" s="17"/>
      <c r="M99" s="396"/>
      <c r="N99" s="406" t="n">
        <f aca="false">SUM(N96:N98)</f>
        <v>0.322757755293627</v>
      </c>
      <c r="O99" s="17"/>
      <c r="P99" s="12"/>
      <c r="Q99" s="12"/>
      <c r="R99" s="17"/>
      <c r="S99" s="12"/>
      <c r="T99" s="12"/>
      <c r="U99" s="17"/>
      <c r="V99" s="12"/>
      <c r="W99" s="12"/>
      <c r="X99" s="17"/>
      <c r="Y99" s="14"/>
      <c r="Z99" s="14"/>
      <c r="AH99" s="427" t="s">
        <v>594</v>
      </c>
      <c r="AI99" s="4" t="n">
        <v>0.005</v>
      </c>
      <c r="AL99" s="4"/>
    </row>
    <row r="100" customFormat="false" ht="12.75" hidden="false" customHeight="false" outlineLevel="0" collapsed="false">
      <c r="A100" s="436" t="s">
        <v>155</v>
      </c>
      <c r="B100" s="405" t="s">
        <v>645</v>
      </c>
      <c r="C100" s="17"/>
      <c r="D100" s="387" t="s">
        <v>632</v>
      </c>
      <c r="E100" s="406" t="s">
        <v>646</v>
      </c>
      <c r="F100" s="12"/>
      <c r="G100" s="409" t="s">
        <v>501</v>
      </c>
      <c r="H100" s="410" t="s">
        <v>647</v>
      </c>
      <c r="I100" s="375"/>
      <c r="J100" s="386" t="s">
        <v>503</v>
      </c>
      <c r="K100" s="383" t="s">
        <v>623</v>
      </c>
      <c r="L100" s="375"/>
      <c r="M100" s="387" t="s">
        <v>505</v>
      </c>
      <c r="N100" s="406" t="s">
        <v>648</v>
      </c>
      <c r="O100" s="375"/>
      <c r="P100" s="14"/>
      <c r="Q100" s="14"/>
      <c r="R100" s="17"/>
      <c r="S100" s="14"/>
      <c r="T100" s="14"/>
      <c r="U100" s="17"/>
      <c r="V100" s="14"/>
      <c r="W100" s="14"/>
      <c r="X100" s="17"/>
      <c r="Y100" s="17"/>
      <c r="Z100" s="17"/>
      <c r="AH100" s="43" t="s">
        <v>595</v>
      </c>
      <c r="AI100" s="4" t="n">
        <v>0.01</v>
      </c>
      <c r="AL100" s="4"/>
    </row>
    <row r="101" customFormat="false" ht="12.75" hidden="false" customHeight="false" outlineLevel="0" collapsed="false">
      <c r="A101" s="439" t="s">
        <v>518</v>
      </c>
      <c r="B101" s="432" t="n">
        <v>0.0278</v>
      </c>
      <c r="C101" s="10"/>
      <c r="D101" s="393" t="s">
        <v>518</v>
      </c>
      <c r="E101" s="394" t="n">
        <v>0.4956</v>
      </c>
      <c r="F101" s="12"/>
      <c r="G101" s="391" t="s">
        <v>518</v>
      </c>
      <c r="H101" s="392" t="n">
        <v>0.0459</v>
      </c>
      <c r="I101" s="12"/>
      <c r="J101" s="395" t="s">
        <v>518</v>
      </c>
      <c r="K101" s="392" t="n">
        <v>0.0658</v>
      </c>
      <c r="L101" s="12"/>
      <c r="M101" s="396" t="s">
        <v>518</v>
      </c>
      <c r="N101" s="394" t="n">
        <v>0.345</v>
      </c>
      <c r="O101" s="12"/>
      <c r="P101" s="17"/>
      <c r="Q101" s="17"/>
      <c r="R101" s="10"/>
      <c r="S101" s="17"/>
      <c r="T101" s="17"/>
      <c r="U101" s="10"/>
      <c r="V101" s="17"/>
      <c r="W101" s="17"/>
      <c r="X101" s="10"/>
      <c r="AH101" s="43" t="s">
        <v>624</v>
      </c>
      <c r="AI101" s="4" t="n">
        <v>0.005</v>
      </c>
      <c r="AL101" s="4"/>
    </row>
    <row r="102" customFormat="false" ht="12.75" hidden="false" customHeight="false" outlineLevel="0" collapsed="false">
      <c r="A102" s="438" t="s">
        <v>183</v>
      </c>
      <c r="B102" s="432" t="n">
        <f aca="false">0.0022+0.007+0.0158</f>
        <v>0.025</v>
      </c>
      <c r="C102" s="10"/>
      <c r="D102" s="393" t="s">
        <v>183</v>
      </c>
      <c r="E102" s="394" t="n">
        <f aca="false">0.007+0.0022+0.0158</f>
        <v>0.025</v>
      </c>
      <c r="F102" s="12"/>
      <c r="G102" s="391" t="s">
        <v>183</v>
      </c>
      <c r="H102" s="392" t="n">
        <f aca="false">0.0021+0.007</f>
        <v>0.0091</v>
      </c>
      <c r="I102" s="12"/>
      <c r="J102" s="395" t="s">
        <v>183</v>
      </c>
      <c r="K102" s="392" t="n">
        <f aca="false">0.0022+0.007</f>
        <v>0.0092</v>
      </c>
      <c r="L102" s="12"/>
      <c r="M102" s="396" t="s">
        <v>183</v>
      </c>
      <c r="N102" s="397" t="n">
        <f aca="false">0.0022+0.007</f>
        <v>0.0092</v>
      </c>
      <c r="O102" s="12"/>
      <c r="P102" s="375"/>
      <c r="Q102" s="375"/>
      <c r="R102" s="10"/>
      <c r="S102" s="375"/>
      <c r="T102" s="375"/>
      <c r="U102" s="10"/>
      <c r="V102" s="17"/>
      <c r="W102" s="17"/>
      <c r="X102" s="10"/>
      <c r="Y102" s="375"/>
      <c r="Z102" s="375"/>
      <c r="AK102" s="425"/>
    </row>
    <row r="103" customFormat="false" ht="12.75" hidden="false" customHeight="false" outlineLevel="0" collapsed="false">
      <c r="A103" s="399" t="n">
        <v>0.0418</v>
      </c>
      <c r="B103" s="400" t="n">
        <f aca="false">(B3)/(1-A103)-B3</f>
        <v>0.0754685869338341</v>
      </c>
      <c r="C103" s="10"/>
      <c r="D103" s="401" t="n">
        <v>0.0081</v>
      </c>
      <c r="E103" s="402" t="n">
        <f aca="false">(E$7)/(1-D103)-E$7</f>
        <v>0.0162914608327451</v>
      </c>
      <c r="F103" s="14"/>
      <c r="G103" s="440" t="n">
        <v>0.0116</v>
      </c>
      <c r="H103" s="400" t="n">
        <f aca="false">(+H5)/(1-G103)-H5</f>
        <v>0.0217705382436262</v>
      </c>
      <c r="I103" s="12"/>
      <c r="J103" s="399" t="n">
        <v>0.0831</v>
      </c>
      <c r="K103" s="426" t="n">
        <f aca="false">(K$3)/(1-J103)-K$3</f>
        <v>0.150901406914604</v>
      </c>
      <c r="L103" s="12"/>
      <c r="M103" s="401" t="n">
        <v>0.0563</v>
      </c>
      <c r="N103" s="402" t="n">
        <f aca="false">(N$6)/(1-M103)-(N$6)</f>
        <v>0.103806294373212</v>
      </c>
      <c r="O103" s="12"/>
      <c r="P103" s="12"/>
      <c r="Q103" s="12"/>
      <c r="R103" s="10"/>
      <c r="S103" s="12"/>
      <c r="T103" s="12"/>
      <c r="U103" s="10"/>
      <c r="V103" s="10"/>
      <c r="W103" s="10"/>
      <c r="X103" s="10"/>
      <c r="Y103" s="12"/>
      <c r="Z103" s="12"/>
      <c r="AH103" s="425" t="n">
        <v>36831</v>
      </c>
      <c r="AK103" s="427"/>
      <c r="AL103" s="4"/>
    </row>
    <row r="104" customFormat="false" ht="12.75" hidden="false" customHeight="false" outlineLevel="0" collapsed="false">
      <c r="A104" s="435"/>
      <c r="B104" s="405" t="n">
        <f aca="false">SUM(B101:B103)</f>
        <v>0.128268586933834</v>
      </c>
      <c r="C104" s="14"/>
      <c r="D104" s="393"/>
      <c r="E104" s="406" t="n">
        <f aca="false">SUM(E101:E103)</f>
        <v>0.536891460832745</v>
      </c>
      <c r="F104" s="17"/>
      <c r="G104" s="404"/>
      <c r="H104" s="405" t="n">
        <f aca="false">SUM(H101:H103)</f>
        <v>0.0767705382436262</v>
      </c>
      <c r="I104" s="14"/>
      <c r="J104" s="395"/>
      <c r="K104" s="405" t="n">
        <f aca="false">SUM(K101:K103)</f>
        <v>0.225901406914604</v>
      </c>
      <c r="L104" s="14"/>
      <c r="M104" s="396"/>
      <c r="N104" s="406" t="n">
        <f aca="false">SUM(N101:N103)</f>
        <v>0.458006294373212</v>
      </c>
      <c r="O104" s="14"/>
      <c r="P104" s="12" t="n">
        <f aca="false">+'Offseason Rate'!B102+'Offseason Rate'!B3</f>
        <v>2.7391</v>
      </c>
      <c r="Q104" s="12" t="n">
        <f aca="false">+P104*0.6</f>
        <v>1.64346</v>
      </c>
      <c r="R104" s="14"/>
      <c r="S104" s="12" t="e">
        <f aca="false">+#REF!+'Offseason Rate'!E3</f>
        <v>#REF!</v>
      </c>
      <c r="T104" s="12" t="e">
        <f aca="false">+S104*0.6</f>
        <v>#REF!</v>
      </c>
      <c r="U104" s="14"/>
      <c r="V104" s="10"/>
      <c r="W104" s="10"/>
      <c r="X104" s="14"/>
      <c r="Y104" s="12"/>
      <c r="Z104" s="12"/>
      <c r="AH104" s="427" t="s">
        <v>594</v>
      </c>
      <c r="AI104" s="4" t="n">
        <v>0.003</v>
      </c>
      <c r="AL104" s="4"/>
    </row>
    <row r="105" customFormat="false" ht="12.75" hidden="false" customHeight="false" outlineLevel="0" collapsed="false">
      <c r="A105" s="436" t="s">
        <v>155</v>
      </c>
      <c r="B105" s="405" t="s">
        <v>649</v>
      </c>
      <c r="C105" s="17"/>
      <c r="D105" s="387" t="s">
        <v>632</v>
      </c>
      <c r="E105" s="406" t="s">
        <v>650</v>
      </c>
      <c r="G105" s="409" t="s">
        <v>501</v>
      </c>
      <c r="H105" s="417" t="s">
        <v>651</v>
      </c>
      <c r="I105" s="17"/>
      <c r="J105" s="386" t="s">
        <v>503</v>
      </c>
      <c r="K105" s="383" t="s">
        <v>630</v>
      </c>
      <c r="L105" s="17"/>
      <c r="M105" s="387" t="s">
        <v>505</v>
      </c>
      <c r="N105" s="406" t="s">
        <v>652</v>
      </c>
      <c r="O105" s="17"/>
      <c r="P105" s="14"/>
      <c r="Q105" s="14"/>
      <c r="R105" s="17"/>
      <c r="S105" s="14"/>
      <c r="T105" s="14"/>
      <c r="U105" s="17"/>
      <c r="V105" s="10"/>
      <c r="W105" s="10"/>
      <c r="X105" s="17"/>
      <c r="Y105" s="14"/>
      <c r="Z105" s="14"/>
      <c r="AH105" s="43" t="s">
        <v>595</v>
      </c>
      <c r="AI105" s="4" t="n">
        <v>0.006</v>
      </c>
      <c r="AL105" s="4"/>
    </row>
    <row r="106" customFormat="false" ht="12.75" hidden="false" customHeight="false" outlineLevel="0" collapsed="false">
      <c r="A106" s="437" t="s">
        <v>518</v>
      </c>
      <c r="B106" s="432" t="n">
        <v>0.0038</v>
      </c>
      <c r="C106" s="375"/>
      <c r="D106" s="393" t="s">
        <v>518</v>
      </c>
      <c r="E106" s="394" t="n">
        <v>0.4956</v>
      </c>
      <c r="F106" s="375"/>
      <c r="G106" s="404" t="s">
        <v>518</v>
      </c>
      <c r="H106" s="392" t="n">
        <v>0.0427</v>
      </c>
      <c r="J106" s="395" t="s">
        <v>518</v>
      </c>
      <c r="K106" s="392" t="n">
        <v>0.0843</v>
      </c>
      <c r="M106" s="396" t="s">
        <v>518</v>
      </c>
      <c r="N106" s="394" t="n">
        <v>0.192</v>
      </c>
      <c r="P106" s="17"/>
      <c r="Q106" s="17"/>
      <c r="R106" s="375"/>
      <c r="S106" s="17"/>
      <c r="T106" s="17"/>
      <c r="U106" s="375"/>
      <c r="V106" s="14"/>
      <c r="W106" s="14"/>
      <c r="X106" s="375"/>
      <c r="Y106" s="17"/>
      <c r="Z106" s="17"/>
      <c r="AH106" s="43" t="s">
        <v>624</v>
      </c>
      <c r="AI106" s="4" t="n">
        <v>0.003</v>
      </c>
      <c r="AL106" s="4"/>
    </row>
    <row r="107" customFormat="false" ht="12.75" hidden="false" customHeight="false" outlineLevel="0" collapsed="false">
      <c r="A107" s="438" t="s">
        <v>183</v>
      </c>
      <c r="B107" s="432" t="n">
        <v>0</v>
      </c>
      <c r="C107" s="12"/>
      <c r="D107" s="393" t="s">
        <v>183</v>
      </c>
      <c r="E107" s="394" t="n">
        <f aca="false">0.007+0.0022+0.0158</f>
        <v>0.025</v>
      </c>
      <c r="F107" s="12"/>
      <c r="G107" s="404" t="s">
        <v>183</v>
      </c>
      <c r="H107" s="392" t="n">
        <f aca="false">0.0021+0.007</f>
        <v>0.0091</v>
      </c>
      <c r="I107" s="375"/>
      <c r="J107" s="395" t="s">
        <v>183</v>
      </c>
      <c r="K107" s="392" t="n">
        <f aca="false">0.0022+0.007</f>
        <v>0.0092</v>
      </c>
      <c r="L107" s="375"/>
      <c r="M107" s="396" t="s">
        <v>183</v>
      </c>
      <c r="N107" s="397" t="n">
        <f aca="false">0.0022+0.007</f>
        <v>0.0092</v>
      </c>
      <c r="O107" s="375"/>
      <c r="P107" s="17"/>
      <c r="Q107" s="17"/>
      <c r="R107" s="12"/>
      <c r="S107" s="17"/>
      <c r="T107" s="17"/>
      <c r="U107" s="12"/>
      <c r="V107" s="17"/>
      <c r="W107" s="17"/>
      <c r="X107" s="12"/>
      <c r="Y107" s="375"/>
      <c r="Z107" s="375"/>
      <c r="AK107" s="425"/>
    </row>
    <row r="108" customFormat="false" ht="12.75" hidden="false" customHeight="false" outlineLevel="0" collapsed="false">
      <c r="A108" s="399" t="n">
        <v>0.0057</v>
      </c>
      <c r="B108" s="400" t="n">
        <f aca="false">B3/(1-A108)-B3</f>
        <v>0.00991752992054718</v>
      </c>
      <c r="C108" s="12"/>
      <c r="D108" s="401" t="n">
        <v>0.027</v>
      </c>
      <c r="E108" s="402" t="n">
        <f aca="false">(E$7)/(1-D108)-E$7</f>
        <v>0.0553597122302159</v>
      </c>
      <c r="F108" s="12"/>
      <c r="G108" s="399" t="n">
        <v>0.0128</v>
      </c>
      <c r="H108" s="403" t="n">
        <f aca="false">(+H5)/(1-G108)-H5</f>
        <v>0.0240518638573746</v>
      </c>
      <c r="I108" s="12"/>
      <c r="J108" s="399" t="n">
        <v>0.0977</v>
      </c>
      <c r="K108" s="426" t="n">
        <f aca="false">(K$3)/(1-J108)-K$3</f>
        <v>0.180284273523218</v>
      </c>
      <c r="L108" s="12"/>
      <c r="M108" s="401" t="n">
        <v>0.0342</v>
      </c>
      <c r="N108" s="402" t="n">
        <f aca="false">(N$7)/(1-M108)-N$7</f>
        <v>0.0679892317249948</v>
      </c>
      <c r="O108" s="12"/>
      <c r="P108" s="10"/>
      <c r="Q108" s="10"/>
      <c r="R108" s="12"/>
      <c r="S108" s="10"/>
      <c r="T108" s="10"/>
      <c r="U108" s="12"/>
      <c r="V108" s="375"/>
      <c r="W108" s="375"/>
      <c r="X108" s="12"/>
      <c r="Y108" s="12"/>
      <c r="Z108" s="12"/>
      <c r="AH108" s="425" t="n">
        <v>36800</v>
      </c>
      <c r="AK108" s="427"/>
      <c r="AL108" s="4"/>
    </row>
    <row r="109" customFormat="false" ht="12.75" hidden="false" customHeight="false" outlineLevel="0" collapsed="false">
      <c r="A109" s="435"/>
      <c r="B109" s="405" t="n">
        <f aca="false">SUM(B106:B108)</f>
        <v>0.0137175299205472</v>
      </c>
      <c r="C109" s="14"/>
      <c r="D109" s="393"/>
      <c r="E109" s="406" t="n">
        <f aca="false">SUM(E106:E108)</f>
        <v>0.575959712230216</v>
      </c>
      <c r="F109" s="14"/>
      <c r="G109" s="404"/>
      <c r="H109" s="405" t="n">
        <f aca="false">SUM(H106:H108)</f>
        <v>0.0758518638573746</v>
      </c>
      <c r="I109" s="12"/>
      <c r="J109" s="395"/>
      <c r="K109" s="405" t="n">
        <f aca="false">SUM(K106:K108)</f>
        <v>0.273784273523218</v>
      </c>
      <c r="L109" s="12"/>
      <c r="M109" s="396"/>
      <c r="N109" s="406" t="n">
        <f aca="false">SUM(N106:N108)</f>
        <v>0.269189231724995</v>
      </c>
      <c r="O109" s="12"/>
      <c r="P109" s="10" t="n">
        <f aca="false">+'Offseason Rate'!B107+'Offseason Rate'!B3</f>
        <v>2.7391</v>
      </c>
      <c r="Q109" s="10" t="n">
        <f aca="false">+P109*0.4</f>
        <v>1.09564</v>
      </c>
      <c r="R109" s="14"/>
      <c r="S109" s="10" t="n">
        <f aca="false">+'Offseason Rate'!E92+'Offseason Rate'!E3</f>
        <v>5.1920908884766</v>
      </c>
      <c r="T109" s="10" t="n">
        <f aca="false">+S109*0.4</f>
        <v>2.07683635539064</v>
      </c>
      <c r="U109" s="14"/>
      <c r="V109" s="12"/>
      <c r="W109" s="12"/>
      <c r="X109" s="14"/>
      <c r="Y109" s="12"/>
      <c r="Z109" s="12"/>
      <c r="AH109" s="427" t="s">
        <v>594</v>
      </c>
      <c r="AI109" s="4" t="n">
        <v>0.001</v>
      </c>
      <c r="AL109" s="4"/>
    </row>
    <row r="110" customFormat="false" ht="12.75" hidden="false" customHeight="false" outlineLevel="0" collapsed="false">
      <c r="A110" s="436" t="s">
        <v>155</v>
      </c>
      <c r="B110" s="405" t="s">
        <v>653</v>
      </c>
      <c r="C110" s="17"/>
      <c r="D110" s="387" t="s">
        <v>632</v>
      </c>
      <c r="E110" s="406" t="s">
        <v>654</v>
      </c>
      <c r="F110" s="17"/>
      <c r="G110" s="441" t="s">
        <v>655</v>
      </c>
      <c r="H110" s="417" t="s">
        <v>656</v>
      </c>
      <c r="I110" s="14"/>
      <c r="J110" s="386" t="s">
        <v>503</v>
      </c>
      <c r="K110" s="383" t="s">
        <v>657</v>
      </c>
      <c r="L110" s="14"/>
      <c r="M110" s="442"/>
      <c r="N110" s="17"/>
      <c r="O110" s="14"/>
      <c r="P110" s="10"/>
      <c r="Q110" s="10" t="n">
        <f aca="false">SUM(Q104:Q109)</f>
        <v>2.7391</v>
      </c>
      <c r="R110" s="17"/>
      <c r="S110" s="10"/>
      <c r="T110" s="10" t="e">
        <f aca="false">SUM(T104:T109)</f>
        <v>#REF!</v>
      </c>
      <c r="U110" s="17"/>
      <c r="V110" s="12"/>
      <c r="W110" s="12"/>
      <c r="X110" s="17"/>
      <c r="Y110" s="14"/>
      <c r="Z110" s="14"/>
      <c r="AH110" s="43" t="s">
        <v>595</v>
      </c>
      <c r="AI110" s="4" t="n">
        <v>0.002</v>
      </c>
      <c r="AL110" s="4"/>
    </row>
    <row r="111" customFormat="false" ht="12.75" hidden="false" customHeight="false" outlineLevel="0" collapsed="false">
      <c r="A111" s="439" t="s">
        <v>518</v>
      </c>
      <c r="B111" s="432" t="n">
        <v>0.0102</v>
      </c>
      <c r="D111" s="393" t="s">
        <v>518</v>
      </c>
      <c r="E111" s="394" t="n">
        <v>0.4956</v>
      </c>
      <c r="F111" s="375"/>
      <c r="G111" s="404" t="s">
        <v>518</v>
      </c>
      <c r="H111" s="392" t="n">
        <v>0.0427</v>
      </c>
      <c r="I111" s="17"/>
      <c r="J111" s="395" t="s">
        <v>518</v>
      </c>
      <c r="K111" s="392" t="n">
        <v>0.0228</v>
      </c>
      <c r="L111" s="17"/>
      <c r="M111" s="12"/>
      <c r="N111" s="10"/>
      <c r="O111" s="17"/>
      <c r="P111" s="14"/>
      <c r="Q111" s="14"/>
      <c r="S111" s="14"/>
      <c r="T111" s="14"/>
      <c r="V111" s="14"/>
      <c r="W111" s="14"/>
      <c r="Y111" s="17"/>
      <c r="Z111" s="17"/>
      <c r="AH111" s="43" t="s">
        <v>624</v>
      </c>
      <c r="AI111" s="4" t="n">
        <v>0.001</v>
      </c>
      <c r="AL111" s="4"/>
    </row>
    <row r="112" customFormat="false" ht="12.75" hidden="false" customHeight="false" outlineLevel="0" collapsed="false">
      <c r="A112" s="438" t="s">
        <v>183</v>
      </c>
      <c r="B112" s="432" t="n">
        <f aca="false">0.0022+0.007+0.0158</f>
        <v>0.025</v>
      </c>
      <c r="C112" s="375"/>
      <c r="D112" s="393" t="s">
        <v>183</v>
      </c>
      <c r="E112" s="394" t="n">
        <f aca="false">0.007+0.0022+0.0158</f>
        <v>0.025</v>
      </c>
      <c r="F112" s="12"/>
      <c r="G112" s="404" t="s">
        <v>183</v>
      </c>
      <c r="H112" s="392" t="n">
        <f aca="false">0.0021+0.007</f>
        <v>0.0091</v>
      </c>
      <c r="I112" s="375"/>
      <c r="J112" s="395" t="s">
        <v>183</v>
      </c>
      <c r="K112" s="392" t="n">
        <f aca="false">0.0022+0.007</f>
        <v>0.0092</v>
      </c>
      <c r="L112" s="375"/>
      <c r="M112" s="12"/>
      <c r="N112" s="12"/>
      <c r="O112" s="375"/>
      <c r="P112" s="17"/>
      <c r="Q112" s="17"/>
      <c r="R112" s="375"/>
      <c r="S112" s="17"/>
      <c r="T112" s="17"/>
      <c r="U112" s="375"/>
      <c r="V112" s="17"/>
      <c r="W112" s="17"/>
      <c r="X112" s="375"/>
      <c r="AK112" s="425"/>
    </row>
    <row r="113" customFormat="false" ht="12.75" hidden="false" customHeight="false" outlineLevel="0" collapsed="false">
      <c r="A113" s="399" t="n">
        <v>0.0148</v>
      </c>
      <c r="B113" s="400" t="n">
        <f aca="false">B7/(1-A113)-B7</f>
        <v>0.0299695493300853</v>
      </c>
      <c r="C113" s="12"/>
      <c r="D113" s="401" t="n">
        <v>0.0189</v>
      </c>
      <c r="E113" s="402" t="n">
        <f aca="false">(E$7)/(1-D113)-E$7</f>
        <v>0.0384318621954951</v>
      </c>
      <c r="F113" s="12"/>
      <c r="G113" s="399" t="n">
        <v>0.005</v>
      </c>
      <c r="H113" s="426" t="n">
        <f aca="false">(+H$5)/(1-G113)-H$5</f>
        <v>0.00932160804020099</v>
      </c>
      <c r="I113" s="12"/>
      <c r="J113" s="443" t="n">
        <v>0.0297</v>
      </c>
      <c r="K113" s="426" t="n">
        <f aca="false">(K$6)/(1-J113)-(K$6)</f>
        <v>0.0532598165515819</v>
      </c>
      <c r="L113" s="12"/>
      <c r="M113" s="12"/>
      <c r="N113" s="14"/>
      <c r="O113" s="12"/>
      <c r="P113" s="375"/>
      <c r="Q113" s="375"/>
      <c r="R113" s="12"/>
      <c r="S113" s="375"/>
      <c r="T113" s="375"/>
      <c r="U113" s="12"/>
      <c r="X113" s="12"/>
      <c r="AH113" s="425" t="n">
        <v>36770</v>
      </c>
      <c r="AK113" s="427"/>
      <c r="AL113" s="4"/>
    </row>
    <row r="114" customFormat="false" ht="12.75" hidden="false" customHeight="false" outlineLevel="0" collapsed="false">
      <c r="A114" s="435"/>
      <c r="B114" s="405" t="n">
        <f aca="false">SUM(B111:B113)</f>
        <v>0.0651695493300853</v>
      </c>
      <c r="C114" s="12"/>
      <c r="D114" s="393"/>
      <c r="E114" s="406" t="n">
        <f aca="false">SUM(E111:E113)</f>
        <v>0.559031862195495</v>
      </c>
      <c r="F114" s="14"/>
      <c r="G114" s="404"/>
      <c r="H114" s="405" t="n">
        <f aca="false">SUM(H111:H113)</f>
        <v>0.061121608040201</v>
      </c>
      <c r="I114" s="12"/>
      <c r="J114" s="395"/>
      <c r="K114" s="405" t="n">
        <f aca="false">SUM(K111:K113)</f>
        <v>0.0852598165515819</v>
      </c>
      <c r="L114" s="12"/>
      <c r="M114" s="12"/>
      <c r="N114" s="17"/>
      <c r="O114" s="12"/>
      <c r="P114" s="12"/>
      <c r="Q114" s="12"/>
      <c r="R114" s="12"/>
      <c r="S114" s="12"/>
      <c r="T114" s="12"/>
      <c r="U114" s="12"/>
      <c r="V114" s="375"/>
      <c r="W114" s="375"/>
      <c r="X114" s="12"/>
      <c r="AH114" s="427" t="s">
        <v>594</v>
      </c>
      <c r="AI114" s="4" t="n">
        <v>0.001</v>
      </c>
      <c r="AL114" s="4"/>
    </row>
    <row r="115" customFormat="false" ht="12.75" hidden="false" customHeight="false" outlineLevel="0" collapsed="false">
      <c r="A115" s="436" t="s">
        <v>155</v>
      </c>
      <c r="B115" s="405" t="s">
        <v>658</v>
      </c>
      <c r="C115" s="14"/>
      <c r="D115" s="387"/>
      <c r="E115" s="406"/>
      <c r="F115" s="17"/>
      <c r="G115" s="409" t="s">
        <v>501</v>
      </c>
      <c r="H115" s="417" t="s">
        <v>659</v>
      </c>
      <c r="I115" s="14"/>
      <c r="J115" s="386" t="s">
        <v>503</v>
      </c>
      <c r="K115" s="383" t="s">
        <v>636</v>
      </c>
      <c r="L115" s="14"/>
      <c r="M115" s="12"/>
      <c r="N115" s="12"/>
      <c r="O115" s="14"/>
      <c r="P115" s="12"/>
      <c r="Q115" s="12"/>
      <c r="R115" s="14"/>
      <c r="S115" s="12"/>
      <c r="T115" s="12"/>
      <c r="U115" s="14"/>
      <c r="V115" s="12"/>
      <c r="W115" s="12"/>
      <c r="X115" s="14"/>
      <c r="AH115" s="43" t="s">
        <v>595</v>
      </c>
      <c r="AI115" s="4" t="n">
        <v>0.002</v>
      </c>
      <c r="AL115" s="4"/>
    </row>
    <row r="116" customFormat="false" ht="12.75" hidden="false" customHeight="false" outlineLevel="0" collapsed="false">
      <c r="A116" s="439" t="s">
        <v>518</v>
      </c>
      <c r="B116" s="432" t="n">
        <v>0.0156</v>
      </c>
      <c r="C116" s="17"/>
      <c r="D116" s="393"/>
      <c r="E116" s="394"/>
      <c r="G116" s="404" t="s">
        <v>518</v>
      </c>
      <c r="H116" s="392" t="n">
        <v>0.0765</v>
      </c>
      <c r="I116" s="17"/>
      <c r="J116" s="395" t="s">
        <v>518</v>
      </c>
      <c r="K116" s="392" t="n">
        <v>0.0485</v>
      </c>
      <c r="L116" s="17"/>
      <c r="M116" s="12"/>
      <c r="N116" s="12"/>
      <c r="O116" s="17"/>
      <c r="P116" s="14"/>
      <c r="Q116" s="14"/>
      <c r="R116" s="17"/>
      <c r="S116" s="14"/>
      <c r="T116" s="14"/>
      <c r="U116" s="17"/>
      <c r="V116" s="12"/>
      <c r="W116" s="12"/>
      <c r="X116" s="17"/>
      <c r="AH116" s="43" t="s">
        <v>624</v>
      </c>
      <c r="AI116" s="4" t="n">
        <v>0.001</v>
      </c>
    </row>
    <row r="117" customFormat="false" ht="12.75" hidden="false" customHeight="false" outlineLevel="0" collapsed="false">
      <c r="A117" s="438" t="s">
        <v>183</v>
      </c>
      <c r="B117" s="432" t="n">
        <f aca="false">0.0022+0.007+0.0158</f>
        <v>0.025</v>
      </c>
      <c r="C117" s="375"/>
      <c r="D117" s="393"/>
      <c r="E117" s="394"/>
      <c r="G117" s="404" t="s">
        <v>183</v>
      </c>
      <c r="H117" s="392" t="n">
        <f aca="false">0.0021+0.007</f>
        <v>0.0091</v>
      </c>
      <c r="J117" s="395" t="s">
        <v>183</v>
      </c>
      <c r="K117" s="392" t="n">
        <f aca="false">0.0022+0.007</f>
        <v>0.0092</v>
      </c>
      <c r="M117" s="14"/>
      <c r="N117" s="14"/>
      <c r="P117" s="17"/>
      <c r="Q117" s="17"/>
      <c r="R117" s="375"/>
      <c r="S117" s="17"/>
      <c r="T117" s="17"/>
      <c r="U117" s="375"/>
      <c r="V117" s="14"/>
      <c r="W117" s="14"/>
      <c r="X117" s="375"/>
      <c r="AK117" s="425"/>
    </row>
    <row r="118" customFormat="false" ht="12.75" hidden="false" customHeight="false" outlineLevel="0" collapsed="false">
      <c r="A118" s="399" t="n">
        <v>0.0229</v>
      </c>
      <c r="B118" s="400" t="n">
        <f aca="false">B7/(1-A118)-B7</f>
        <v>0.0467562173779554</v>
      </c>
      <c r="C118" s="12"/>
      <c r="D118" s="393"/>
      <c r="E118" s="402"/>
      <c r="G118" s="440" t="n">
        <v>0.000209</v>
      </c>
      <c r="H118" s="400" t="n">
        <f aca="false">(+H5)/(1-G118)-H5</f>
        <v>0.000387776045193577</v>
      </c>
      <c r="J118" s="443" t="n">
        <v>0.0521</v>
      </c>
      <c r="K118" s="426" t="n">
        <f aca="false">(K$6)/(1-J118)-(K$6)</f>
        <v>0.0956366705348666</v>
      </c>
      <c r="M118" s="17"/>
      <c r="N118" s="17"/>
      <c r="R118" s="12"/>
      <c r="U118" s="12"/>
      <c r="V118" s="17"/>
      <c r="W118" s="17"/>
      <c r="X118" s="12"/>
      <c r="AH118" s="425" t="n">
        <v>36739</v>
      </c>
      <c r="AK118" s="427"/>
      <c r="AL118" s="4"/>
    </row>
    <row r="119" customFormat="false" ht="12.75" hidden="false" customHeight="false" outlineLevel="0" collapsed="false">
      <c r="A119" s="435"/>
      <c r="B119" s="405" t="n">
        <f aca="false">SUM(B116:B118)</f>
        <v>0.0873562173779554</v>
      </c>
      <c r="C119" s="12"/>
      <c r="D119" s="393"/>
      <c r="E119" s="406"/>
      <c r="G119" s="404"/>
      <c r="H119" s="405" t="n">
        <f aca="false">SUM(H116:H118)</f>
        <v>0.0859877760451936</v>
      </c>
      <c r="J119" s="395"/>
      <c r="K119" s="405" t="n">
        <f aca="false">SUM(K116:K118)</f>
        <v>0.153336670534867</v>
      </c>
      <c r="M119" s="375"/>
      <c r="N119" s="375"/>
      <c r="P119" s="375"/>
      <c r="Q119" s="375"/>
      <c r="R119" s="12"/>
      <c r="S119" s="375"/>
      <c r="T119" s="375"/>
      <c r="U119" s="12"/>
      <c r="V119" s="375"/>
      <c r="W119" s="375"/>
      <c r="X119" s="12"/>
      <c r="AH119" s="427" t="s">
        <v>594</v>
      </c>
      <c r="AI119" s="4" t="n">
        <v>0.002</v>
      </c>
      <c r="AL119" s="4"/>
    </row>
    <row r="120" customFormat="false" ht="12.75" hidden="false" customHeight="false" outlineLevel="0" collapsed="false">
      <c r="A120" s="436" t="s">
        <v>155</v>
      </c>
      <c r="B120" s="405" t="s">
        <v>660</v>
      </c>
      <c r="C120" s="14"/>
      <c r="G120" s="409" t="s">
        <v>501</v>
      </c>
      <c r="H120" s="417" t="s">
        <v>661</v>
      </c>
      <c r="J120" s="386" t="s">
        <v>503</v>
      </c>
      <c r="K120" s="383" t="s">
        <v>640</v>
      </c>
      <c r="M120" s="12"/>
      <c r="N120" s="12"/>
      <c r="P120" s="12"/>
      <c r="Q120" s="12"/>
      <c r="R120" s="14"/>
      <c r="S120" s="12"/>
      <c r="T120" s="12"/>
      <c r="U120" s="14"/>
      <c r="V120" s="12"/>
      <c r="W120" s="12"/>
      <c r="X120" s="14"/>
      <c r="AH120" s="43" t="s">
        <v>595</v>
      </c>
      <c r="AI120" s="4" t="n">
        <v>0.004</v>
      </c>
      <c r="AL120" s="4"/>
    </row>
    <row r="121" customFormat="false" ht="12.75" hidden="false" customHeight="false" outlineLevel="0" collapsed="false">
      <c r="A121" s="437" t="s">
        <v>518</v>
      </c>
      <c r="B121" s="432" t="n">
        <v>0.0057</v>
      </c>
      <c r="C121" s="17"/>
      <c r="G121" s="404" t="s">
        <v>518</v>
      </c>
      <c r="H121" s="392" t="n">
        <v>0.0834</v>
      </c>
      <c r="J121" s="395" t="s">
        <v>518</v>
      </c>
      <c r="K121" s="392" t="n">
        <v>0.067</v>
      </c>
      <c r="M121" s="12"/>
      <c r="N121" s="12"/>
      <c r="P121" s="12"/>
      <c r="Q121" s="12"/>
      <c r="R121" s="17"/>
      <c r="S121" s="12"/>
      <c r="T121" s="12"/>
      <c r="U121" s="17"/>
      <c r="V121" s="12"/>
      <c r="W121" s="12"/>
      <c r="X121" s="17"/>
      <c r="AH121" s="43" t="s">
        <v>624</v>
      </c>
      <c r="AI121" s="4" t="n">
        <v>0.002</v>
      </c>
    </row>
    <row r="122" customFormat="false" ht="12.75" hidden="false" customHeight="false" outlineLevel="0" collapsed="false">
      <c r="A122" s="438" t="s">
        <v>183</v>
      </c>
      <c r="B122" s="432" t="n">
        <f aca="false">0.0022+0.007+0.0158</f>
        <v>0.025</v>
      </c>
      <c r="G122" s="404" t="s">
        <v>183</v>
      </c>
      <c r="H122" s="392" t="n">
        <f aca="false">0.0021+0.007</f>
        <v>0.0091</v>
      </c>
      <c r="J122" s="395" t="s">
        <v>183</v>
      </c>
      <c r="K122" s="392" t="n">
        <f aca="false">0.0022+0.007</f>
        <v>0.0092</v>
      </c>
      <c r="M122" s="14"/>
      <c r="N122" s="14"/>
      <c r="P122" s="14"/>
      <c r="Q122" s="14"/>
      <c r="S122" s="14"/>
      <c r="T122" s="14"/>
      <c r="V122" s="14"/>
      <c r="W122" s="14"/>
      <c r="AK122" s="425"/>
    </row>
    <row r="123" customFormat="false" ht="12.75" hidden="false" customHeight="false" outlineLevel="0" collapsed="false">
      <c r="A123" s="444" t="n">
        <v>0.0081</v>
      </c>
      <c r="B123" s="400" t="n">
        <f aca="false">B$7/(1-A123)-B$7</f>
        <v>0.0162914608327451</v>
      </c>
      <c r="G123" s="444" t="n">
        <v>0.025</v>
      </c>
      <c r="H123" s="400" t="n">
        <f aca="false">(+H$5)/(1-G123)-H$5</f>
        <v>0.0475641025641027</v>
      </c>
      <c r="J123" s="443" t="n">
        <v>0.0667</v>
      </c>
      <c r="K123" s="426" t="n">
        <f aca="false">(K$6)/(1-J123)-(K$6)</f>
        <v>0.124352298296368</v>
      </c>
      <c r="M123" s="17"/>
      <c r="N123" s="17"/>
      <c r="P123" s="17"/>
      <c r="Q123" s="17"/>
      <c r="S123" s="17"/>
      <c r="T123" s="17"/>
      <c r="V123" s="17"/>
      <c r="W123" s="17"/>
      <c r="AH123" s="425" t="n">
        <v>36708</v>
      </c>
      <c r="AK123" s="427"/>
      <c r="AL123" s="4"/>
    </row>
    <row r="124" customFormat="false" ht="12.75" hidden="false" customHeight="false" outlineLevel="0" collapsed="false">
      <c r="A124" s="435" t="s">
        <v>662</v>
      </c>
      <c r="B124" s="405" t="n">
        <f aca="false">SUM(B121:B123)</f>
        <v>0.0469914608327451</v>
      </c>
      <c r="G124" s="404"/>
      <c r="H124" s="405" t="n">
        <f aca="false">SUM(H121:H123)</f>
        <v>0.140064102564103</v>
      </c>
      <c r="J124" s="395"/>
      <c r="K124" s="405" t="n">
        <f aca="false">SUM(K121:K123)</f>
        <v>0.200552298296368</v>
      </c>
      <c r="M124" s="17"/>
      <c r="N124" s="17"/>
      <c r="P124" s="375"/>
      <c r="Q124" s="375"/>
      <c r="S124" s="375"/>
      <c r="T124" s="375"/>
      <c r="AH124" s="427" t="s">
        <v>594</v>
      </c>
      <c r="AI124" s="4" t="n">
        <v>0.002</v>
      </c>
      <c r="AL124" s="4"/>
    </row>
    <row r="125" customFormat="false" ht="12.75" hidden="false" customHeight="false" outlineLevel="0" collapsed="false">
      <c r="A125" s="436" t="s">
        <v>155</v>
      </c>
      <c r="B125" s="405" t="s">
        <v>663</v>
      </c>
      <c r="G125" s="409" t="s">
        <v>501</v>
      </c>
      <c r="H125" s="417" t="s">
        <v>664</v>
      </c>
      <c r="J125" s="386" t="s">
        <v>503</v>
      </c>
      <c r="K125" s="405" t="s">
        <v>644</v>
      </c>
      <c r="M125" s="10"/>
      <c r="N125" s="10"/>
      <c r="P125" s="12"/>
      <c r="Q125" s="12"/>
      <c r="S125" s="12"/>
      <c r="T125" s="12"/>
      <c r="AH125" s="43" t="s">
        <v>595</v>
      </c>
      <c r="AI125" s="4" t="n">
        <v>0.004</v>
      </c>
      <c r="AL125" s="4"/>
    </row>
    <row r="126" customFormat="false" ht="12.75" hidden="false" customHeight="false" outlineLevel="0" collapsed="false">
      <c r="A126" s="437" t="s">
        <v>518</v>
      </c>
      <c r="B126" s="432" t="n">
        <v>0.0156</v>
      </c>
      <c r="G126" s="404" t="s">
        <v>518</v>
      </c>
      <c r="H126" s="392" t="n">
        <v>0.0765</v>
      </c>
      <c r="J126" s="395" t="s">
        <v>518</v>
      </c>
      <c r="K126" s="432" t="n">
        <v>0.0361</v>
      </c>
      <c r="M126" s="10"/>
      <c r="N126" s="10"/>
      <c r="P126" s="12"/>
      <c r="Q126" s="12"/>
      <c r="S126" s="12"/>
      <c r="T126" s="12"/>
      <c r="AH126" s="43" t="s">
        <v>624</v>
      </c>
      <c r="AI126" s="4" t="n">
        <v>0.002</v>
      </c>
    </row>
    <row r="127" customFormat="false" ht="12.75" hidden="false" customHeight="false" outlineLevel="0" collapsed="false">
      <c r="A127" s="438" t="s">
        <v>183</v>
      </c>
      <c r="B127" s="432" t="n">
        <f aca="false">0.0022+0.0158</f>
        <v>0.018</v>
      </c>
      <c r="G127" s="404" t="s">
        <v>183</v>
      </c>
      <c r="H127" s="392" t="n">
        <f aca="false">0.0021+0.007</f>
        <v>0.0091</v>
      </c>
      <c r="J127" s="395" t="s">
        <v>183</v>
      </c>
      <c r="K127" s="392" t="n">
        <f aca="false">0.0022</f>
        <v>0.0022</v>
      </c>
      <c r="M127" s="10"/>
      <c r="N127" s="10"/>
      <c r="P127" s="14"/>
      <c r="Q127" s="14"/>
      <c r="S127" s="14"/>
      <c r="T127" s="14"/>
      <c r="AK127" s="425"/>
    </row>
    <row r="128" customFormat="false" ht="12.75" hidden="false" customHeight="false" outlineLevel="0" collapsed="false">
      <c r="A128" s="444" t="n">
        <v>0.0229</v>
      </c>
      <c r="B128" s="400" t="n">
        <f aca="false">B$7/(1-A128)-B$7</f>
        <v>0.0467562173779554</v>
      </c>
      <c r="G128" s="444" t="n">
        <v>0.014</v>
      </c>
      <c r="H128" s="400" t="n">
        <f aca="false">(+H$5)/(1-G128)-H$5</f>
        <v>0.0263387423935091</v>
      </c>
      <c r="J128" s="399" t="n">
        <v>0.0413</v>
      </c>
      <c r="K128" s="400" t="n">
        <f aca="false">(K$6)/(1-J128)-K$6</f>
        <v>0.0749577552936267</v>
      </c>
      <c r="M128" s="14"/>
      <c r="N128" s="14"/>
      <c r="P128" s="17"/>
      <c r="Q128" s="17"/>
      <c r="S128" s="17"/>
      <c r="T128" s="17"/>
      <c r="AH128" s="425" t="n">
        <v>36678</v>
      </c>
      <c r="AK128" s="427"/>
      <c r="AL128" s="4"/>
    </row>
    <row r="129" customFormat="false" ht="12.75" hidden="false" customHeight="false" outlineLevel="0" collapsed="false">
      <c r="A129" s="435" t="s">
        <v>662</v>
      </c>
      <c r="B129" s="405" t="n">
        <f aca="false">SUM(B126:B128)</f>
        <v>0.0803562173779554</v>
      </c>
      <c r="G129" s="404"/>
      <c r="H129" s="405" t="n">
        <f aca="false">SUM(H126:H128)</f>
        <v>0.111938742393509</v>
      </c>
      <c r="J129" s="395"/>
      <c r="K129" s="405" t="n">
        <f aca="false">SUM(K126:K128)</f>
        <v>0.113257755293627</v>
      </c>
      <c r="M129" s="17"/>
      <c r="N129" s="17"/>
      <c r="AH129" s="427" t="s">
        <v>594</v>
      </c>
      <c r="AI129" s="4" t="n">
        <v>0.0001</v>
      </c>
      <c r="AL129" s="4"/>
    </row>
    <row r="130" customFormat="false" ht="12.75" hidden="false" customHeight="false" outlineLevel="0" collapsed="false">
      <c r="A130" s="436" t="s">
        <v>155</v>
      </c>
      <c r="B130" s="405" t="s">
        <v>665</v>
      </c>
      <c r="G130" s="409" t="s">
        <v>501</v>
      </c>
      <c r="H130" s="417" t="s">
        <v>666</v>
      </c>
      <c r="J130" s="386" t="s">
        <v>503</v>
      </c>
      <c r="K130" s="405" t="s">
        <v>648</v>
      </c>
      <c r="M130" s="375"/>
      <c r="N130" s="375"/>
      <c r="AH130" s="43" t="s">
        <v>595</v>
      </c>
      <c r="AI130" s="4" t="n">
        <v>0.0002</v>
      </c>
      <c r="AL130" s="4"/>
    </row>
    <row r="131" customFormat="false" ht="12.75" hidden="false" customHeight="false" outlineLevel="0" collapsed="false">
      <c r="A131" s="437" t="s">
        <v>518</v>
      </c>
      <c r="B131" s="432" t="n">
        <v>0.0278</v>
      </c>
      <c r="G131" s="404" t="s">
        <v>518</v>
      </c>
      <c r="H131" s="392" t="n">
        <v>0.0642</v>
      </c>
      <c r="J131" s="395" t="s">
        <v>518</v>
      </c>
      <c r="K131" s="432" t="n">
        <v>0.0545</v>
      </c>
      <c r="M131" s="12"/>
      <c r="N131" s="12"/>
      <c r="AH131" s="43" t="s">
        <v>624</v>
      </c>
      <c r="AI131" s="4" t="n">
        <v>0.0001</v>
      </c>
    </row>
    <row r="132" customFormat="false" ht="12.75" hidden="false" customHeight="false" outlineLevel="0" collapsed="false">
      <c r="A132" s="438" t="s">
        <v>183</v>
      </c>
      <c r="B132" s="432" t="n">
        <f aca="false">0.007+0.0022+0.0158</f>
        <v>0.025</v>
      </c>
      <c r="G132" s="404" t="s">
        <v>183</v>
      </c>
      <c r="H132" s="392" t="n">
        <f aca="false">0.0021+0.007</f>
        <v>0.0091</v>
      </c>
      <c r="J132" s="395" t="s">
        <v>183</v>
      </c>
      <c r="K132" s="392" t="n">
        <f aca="false">0.0022+0.007</f>
        <v>0.0092</v>
      </c>
      <c r="M132" s="12"/>
      <c r="N132" s="12"/>
    </row>
    <row r="133" customFormat="false" ht="12.75" hidden="false" customHeight="false" outlineLevel="0" collapsed="false">
      <c r="A133" s="444" t="n">
        <v>0.0189</v>
      </c>
      <c r="B133" s="400" t="n">
        <f aca="false">B$7/(1-A133)-B$7</f>
        <v>0.0384318621954951</v>
      </c>
      <c r="G133" s="399" t="n">
        <v>0.0089</v>
      </c>
      <c r="H133" s="400" t="n">
        <f aca="false">(+H4)/(1-G133)-H4</f>
        <v>0.0143229744728079</v>
      </c>
      <c r="J133" s="399" t="n">
        <v>0.0563</v>
      </c>
      <c r="K133" s="400" t="n">
        <f aca="false">(K$6)/(1-J133)-K$6</f>
        <v>0.103806294373212</v>
      </c>
      <c r="M133" s="14"/>
      <c r="N133" s="14"/>
      <c r="AH133" s="425" t="n">
        <v>36647</v>
      </c>
    </row>
    <row r="134" customFormat="false" ht="12.75" hidden="false" customHeight="false" outlineLevel="0" collapsed="false">
      <c r="A134" s="435" t="s">
        <v>662</v>
      </c>
      <c r="B134" s="405" t="n">
        <f aca="false">SUM(B131:B133)</f>
        <v>0.0912318621954951</v>
      </c>
      <c r="G134" s="404"/>
      <c r="H134" s="405" t="n">
        <f aca="false">SUM(H131:H133)</f>
        <v>0.0876229744728079</v>
      </c>
      <c r="J134" s="395"/>
      <c r="K134" s="405" t="n">
        <f aca="false">SUM(K131:K133)</f>
        <v>0.167506294373212</v>
      </c>
      <c r="M134" s="17"/>
      <c r="N134" s="17"/>
      <c r="AH134" s="427" t="s">
        <v>594</v>
      </c>
      <c r="AI134" s="4" t="n">
        <v>0</v>
      </c>
    </row>
    <row r="135" customFormat="false" ht="12.75" hidden="false" customHeight="false" outlineLevel="0" collapsed="false">
      <c r="A135" s="436" t="s">
        <v>155</v>
      </c>
      <c r="B135" s="405" t="s">
        <v>667</v>
      </c>
      <c r="G135" s="409" t="s">
        <v>668</v>
      </c>
      <c r="H135" s="410"/>
      <c r="J135" s="386" t="s">
        <v>503</v>
      </c>
      <c r="K135" s="405" t="s">
        <v>652</v>
      </c>
      <c r="AH135" s="43" t="s">
        <v>595</v>
      </c>
      <c r="AI135" s="4" t="n">
        <v>0</v>
      </c>
    </row>
    <row r="136" customFormat="false" ht="12.75" hidden="false" customHeight="false" outlineLevel="0" collapsed="false">
      <c r="A136" s="437" t="s">
        <v>518</v>
      </c>
      <c r="B136" s="432" t="n">
        <v>0.0278</v>
      </c>
      <c r="G136" s="391" t="s">
        <v>518</v>
      </c>
      <c r="H136" s="392" t="n">
        <v>0</v>
      </c>
      <c r="J136" s="395" t="s">
        <v>518</v>
      </c>
      <c r="K136" s="432" t="n">
        <v>0.0283</v>
      </c>
      <c r="M136" s="375"/>
      <c r="N136" s="375"/>
      <c r="AH136" s="43" t="s">
        <v>624</v>
      </c>
      <c r="AI136" s="4" t="n">
        <v>0</v>
      </c>
    </row>
    <row r="137" customFormat="false" ht="12.75" hidden="false" customHeight="false" outlineLevel="0" collapsed="false">
      <c r="A137" s="438" t="s">
        <v>183</v>
      </c>
      <c r="B137" s="432" t="n">
        <f aca="false">0.007+0.0022+0.0158</f>
        <v>0.025</v>
      </c>
      <c r="G137" s="391" t="s">
        <v>183</v>
      </c>
      <c r="H137" s="392" t="n">
        <f aca="false">0.0021+0.007</f>
        <v>0.0091</v>
      </c>
      <c r="J137" s="395" t="s">
        <v>183</v>
      </c>
      <c r="K137" s="392" t="n">
        <f aca="false">0.0022+0.007</f>
        <v>0.0092</v>
      </c>
      <c r="M137" s="12"/>
      <c r="N137" s="12"/>
    </row>
    <row r="138" customFormat="false" ht="12.75" hidden="false" customHeight="false" outlineLevel="0" collapsed="false">
      <c r="A138" s="444" t="n">
        <v>0.027</v>
      </c>
      <c r="B138" s="400" t="n">
        <f aca="false">B$7/(1-A138)-B$7</f>
        <v>0.0553597122302159</v>
      </c>
      <c r="G138" s="391" t="s">
        <v>669</v>
      </c>
      <c r="H138" s="400" t="n">
        <f aca="false">(+AI3+AI17)/(1-0.0131)-(+AI3+AI17)</f>
        <v>0.0244209121399885</v>
      </c>
      <c r="J138" s="399" t="n">
        <v>0.0342</v>
      </c>
      <c r="K138" s="445" t="n">
        <f aca="false">(K$7)/(1-J138)-K$7</f>
        <v>0.0679892317249948</v>
      </c>
      <c r="M138" s="12"/>
      <c r="N138" s="12"/>
      <c r="AH138" s="425" t="n">
        <v>36617</v>
      </c>
    </row>
    <row r="139" customFormat="false" ht="12.75" hidden="false" customHeight="false" outlineLevel="0" collapsed="false">
      <c r="A139" s="435" t="s">
        <v>662</v>
      </c>
      <c r="B139" s="405" t="n">
        <f aca="false">SUM(B136:B138)</f>
        <v>0.108159712230216</v>
      </c>
      <c r="G139" s="404"/>
      <c r="H139" s="405" t="n">
        <f aca="false">SUM(H136:H138)</f>
        <v>0.0335209121399885</v>
      </c>
      <c r="J139" s="446"/>
      <c r="K139" s="447" t="n">
        <f aca="false">SUM(K136:K138)</f>
        <v>0.105489231724995</v>
      </c>
      <c r="M139" s="14"/>
      <c r="N139" s="14"/>
      <c r="AH139" s="427" t="s">
        <v>594</v>
      </c>
      <c r="AI139" s="4" t="n">
        <v>0.004</v>
      </c>
    </row>
    <row r="140" customFormat="false" ht="12.75" hidden="false" customHeight="false" outlineLevel="0" collapsed="false">
      <c r="A140" s="436" t="s">
        <v>155</v>
      </c>
      <c r="B140" s="405" t="s">
        <v>670</v>
      </c>
      <c r="F140" s="2"/>
      <c r="G140" s="411" t="s">
        <v>501</v>
      </c>
      <c r="H140" s="412" t="s">
        <v>671</v>
      </c>
      <c r="I140" s="2"/>
      <c r="J140" s="387"/>
      <c r="K140" s="406"/>
      <c r="M140" s="17"/>
      <c r="N140" s="17"/>
      <c r="AH140" s="43" t="s">
        <v>595</v>
      </c>
      <c r="AI140" s="4" t="n">
        <v>0.008</v>
      </c>
    </row>
    <row r="141" customFormat="false" ht="12.75" hidden="false" customHeight="false" outlineLevel="0" collapsed="false">
      <c r="A141" s="437" t="s">
        <v>518</v>
      </c>
      <c r="B141" s="432" t="n">
        <v>0.0278</v>
      </c>
      <c r="F141" s="2"/>
      <c r="G141" s="393" t="s">
        <v>518</v>
      </c>
      <c r="H141" s="398" t="n">
        <f aca="false">0.1599-0.0022</f>
        <v>0.1577</v>
      </c>
      <c r="I141" s="2"/>
      <c r="J141" s="12"/>
      <c r="K141" s="12"/>
      <c r="M141" s="375"/>
      <c r="N141" s="375"/>
      <c r="AH141" s="43" t="s">
        <v>624</v>
      </c>
      <c r="AI141" s="4" t="n">
        <v>0.004</v>
      </c>
    </row>
    <row r="142" customFormat="false" ht="12.75" hidden="false" customHeight="false" outlineLevel="0" collapsed="false">
      <c r="A142" s="438" t="s">
        <v>183</v>
      </c>
      <c r="B142" s="432" t="n">
        <f aca="false">0.0022+0.0158+0.007</f>
        <v>0.025</v>
      </c>
      <c r="F142" s="2"/>
      <c r="G142" s="393" t="s">
        <v>183</v>
      </c>
      <c r="H142" s="397" t="n">
        <f aca="false">0.0021+0+0.0225+0.007</f>
        <v>0.0316</v>
      </c>
      <c r="I142" s="2"/>
      <c r="J142" s="14"/>
      <c r="K142" s="14"/>
      <c r="M142" s="12"/>
      <c r="N142" s="12"/>
      <c r="AI142" s="4"/>
    </row>
    <row r="143" customFormat="false" ht="12.75" hidden="false" customHeight="false" outlineLevel="0" collapsed="false">
      <c r="A143" s="444" t="n">
        <v>0.0081</v>
      </c>
      <c r="B143" s="400" t="n">
        <f aca="false">B$7/(1-A143)-B$7</f>
        <v>0.0162914608327451</v>
      </c>
      <c r="F143" s="2"/>
      <c r="G143" s="448" t="n">
        <v>0.0101</v>
      </c>
      <c r="H143" s="449" t="n">
        <f aca="false">(H4)/(1-G143)-H4</f>
        <v>0.0162738660470754</v>
      </c>
      <c r="I143" s="2"/>
      <c r="J143" s="17"/>
      <c r="K143" s="17"/>
      <c r="M143" s="12"/>
      <c r="N143" s="12"/>
      <c r="AH143" s="425" t="n">
        <v>36586</v>
      </c>
    </row>
    <row r="144" customFormat="false" ht="12.75" hidden="false" customHeight="false" outlineLevel="0" collapsed="false">
      <c r="A144" s="435" t="s">
        <v>662</v>
      </c>
      <c r="B144" s="405" t="n">
        <f aca="false">SUM(B141:B143)</f>
        <v>0.0690914608327451</v>
      </c>
      <c r="F144" s="2"/>
      <c r="G144" s="407"/>
      <c r="H144" s="406" t="n">
        <f aca="false">SUM(H141:H143)</f>
        <v>0.205573866047075</v>
      </c>
      <c r="I144" s="2"/>
      <c r="J144" s="375"/>
      <c r="K144" s="375"/>
      <c r="M144" s="14"/>
      <c r="N144" s="14"/>
      <c r="AH144" s="427" t="s">
        <v>594</v>
      </c>
      <c r="AI144" s="4" t="n">
        <v>0.005</v>
      </c>
    </row>
    <row r="145" customFormat="false" ht="12.75" hidden="false" customHeight="false" outlineLevel="0" collapsed="false">
      <c r="F145" s="2"/>
      <c r="G145" s="411" t="s">
        <v>501</v>
      </c>
      <c r="H145" s="412" t="s">
        <v>672</v>
      </c>
      <c r="I145" s="2"/>
      <c r="J145" s="12"/>
      <c r="K145" s="12"/>
      <c r="M145" s="17"/>
      <c r="N145" s="17"/>
      <c r="AH145" s="43" t="s">
        <v>595</v>
      </c>
      <c r="AI145" s="4" t="n">
        <v>0.01</v>
      </c>
    </row>
    <row r="146" customFormat="false" ht="12.75" hidden="false" customHeight="false" outlineLevel="0" collapsed="false">
      <c r="F146" s="2"/>
      <c r="G146" s="393" t="s">
        <v>518</v>
      </c>
      <c r="H146" s="398" t="n">
        <f aca="false">0.3212-0.0022</f>
        <v>0.319</v>
      </c>
      <c r="I146" s="2"/>
      <c r="J146" s="12"/>
      <c r="K146" s="12"/>
      <c r="AH146" s="43" t="s">
        <v>624</v>
      </c>
      <c r="AI146" s="4" t="n">
        <v>0.005</v>
      </c>
    </row>
    <row r="147" customFormat="false" ht="12.75" hidden="false" customHeight="false" outlineLevel="0" collapsed="false">
      <c r="F147" s="2"/>
      <c r="G147" s="393" t="s">
        <v>183</v>
      </c>
      <c r="H147" s="397" t="n">
        <f aca="false">0.0021+0+0.0225+0.007</f>
        <v>0.0316</v>
      </c>
      <c r="I147" s="2"/>
      <c r="J147" s="14"/>
      <c r="K147" s="14"/>
      <c r="AI147" s="4"/>
    </row>
    <row r="148" customFormat="false" ht="12.75" hidden="false" customHeight="false" outlineLevel="0" collapsed="false">
      <c r="G148" s="448" t="n">
        <v>0.0279</v>
      </c>
      <c r="H148" s="402" t="n">
        <f aca="false">(H3)/(1-G148)-H3</f>
        <v>0.044916675239173</v>
      </c>
      <c r="J148" s="17"/>
      <c r="K148" s="17"/>
      <c r="AH148" s="425" t="n">
        <v>36465</v>
      </c>
    </row>
    <row r="149" customFormat="false" ht="12.75" hidden="false" customHeight="false" outlineLevel="0" collapsed="false">
      <c r="G149" s="407"/>
      <c r="H149" s="406" t="n">
        <f aca="false">SUM(H146:H148)</f>
        <v>0.395516675239173</v>
      </c>
      <c r="J149" s="375"/>
      <c r="K149" s="375"/>
      <c r="AH149" s="427" t="s">
        <v>594</v>
      </c>
      <c r="AI149" s="4" t="n">
        <v>0</v>
      </c>
    </row>
    <row r="150" customFormat="false" ht="12.75" hidden="false" customHeight="false" outlineLevel="0" collapsed="false">
      <c r="G150" s="411" t="s">
        <v>501</v>
      </c>
      <c r="H150" s="412" t="s">
        <v>673</v>
      </c>
      <c r="J150" s="12"/>
      <c r="K150" s="12"/>
      <c r="AH150" s="43" t="s">
        <v>595</v>
      </c>
      <c r="AI150" s="4" t="n">
        <v>0.007</v>
      </c>
    </row>
    <row r="151" customFormat="false" ht="12.75" hidden="false" customHeight="false" outlineLevel="0" collapsed="false">
      <c r="D151" s="358"/>
      <c r="G151" s="393" t="s">
        <v>518</v>
      </c>
      <c r="H151" s="398" t="n">
        <v>0.484</v>
      </c>
      <c r="J151" s="12"/>
      <c r="K151" s="12"/>
      <c r="AH151" s="43" t="s">
        <v>624</v>
      </c>
      <c r="AI151" s="4" t="n">
        <v>0</v>
      </c>
    </row>
    <row r="152" customFormat="false" ht="12.75" hidden="false" customHeight="false" outlineLevel="0" collapsed="false">
      <c r="D152" s="358"/>
      <c r="G152" s="393" t="s">
        <v>183</v>
      </c>
      <c r="H152" s="397" t="n">
        <f aca="false">0.0021</f>
        <v>0.0021</v>
      </c>
      <c r="J152" s="14"/>
      <c r="K152" s="14"/>
      <c r="AI152" s="4"/>
    </row>
    <row r="153" customFormat="false" ht="12.75" hidden="false" customHeight="false" outlineLevel="0" collapsed="false">
      <c r="G153" s="448" t="n">
        <v>0.0588</v>
      </c>
      <c r="H153" s="450" t="n">
        <f aca="false">(H3)/(1-G153)-H3</f>
        <v>0.0977709307267318</v>
      </c>
      <c r="J153" s="17"/>
      <c r="K153" s="17"/>
      <c r="AH153" s="425" t="n">
        <v>36434</v>
      </c>
    </row>
    <row r="154" customFormat="false" ht="12.75" hidden="false" customHeight="false" outlineLevel="0" collapsed="false">
      <c r="G154" s="407"/>
      <c r="H154" s="406" t="n">
        <f aca="false">SUM(H151:H153)</f>
        <v>0.583870930726732</v>
      </c>
      <c r="J154" s="17"/>
      <c r="K154" s="17"/>
      <c r="AH154" s="427" t="s">
        <v>594</v>
      </c>
      <c r="AI154" s="4" t="n">
        <v>0</v>
      </c>
    </row>
    <row r="155" customFormat="false" ht="12.75" hidden="false" customHeight="false" outlineLevel="0" collapsed="false">
      <c r="G155" s="411" t="s">
        <v>501</v>
      </c>
      <c r="H155" s="412" t="s">
        <v>674</v>
      </c>
      <c r="J155" s="10"/>
      <c r="K155" s="10"/>
      <c r="AH155" s="43" t="s">
        <v>595</v>
      </c>
      <c r="AI155" s="4" t="n">
        <v>0.007</v>
      </c>
    </row>
    <row r="156" customFormat="false" ht="12.75" hidden="false" customHeight="false" outlineLevel="0" collapsed="false">
      <c r="G156" s="393" t="s">
        <v>518</v>
      </c>
      <c r="H156" s="398" t="n">
        <v>0.5536</v>
      </c>
      <c r="J156" s="10"/>
      <c r="K156" s="10"/>
      <c r="AH156" s="43" t="s">
        <v>624</v>
      </c>
      <c r="AI156" s="4" t="n">
        <v>0</v>
      </c>
    </row>
    <row r="157" customFormat="false" ht="12.75" hidden="false" customHeight="false" outlineLevel="0" collapsed="false">
      <c r="G157" s="393" t="s">
        <v>183</v>
      </c>
      <c r="H157" s="397" t="n">
        <f aca="false">0.0021</f>
        <v>0.0021</v>
      </c>
      <c r="J157" s="10"/>
      <c r="K157" s="10"/>
      <c r="AI157" s="4"/>
    </row>
    <row r="158" customFormat="false" ht="12.75" hidden="false" customHeight="false" outlineLevel="0" collapsed="false">
      <c r="G158" s="448" t="n">
        <v>0.0679</v>
      </c>
      <c r="H158" s="450" t="n">
        <f aca="false">(H3)/(1-G158)-H3</f>
        <v>0.114004398669671</v>
      </c>
      <c r="J158" s="14"/>
      <c r="K158" s="14"/>
      <c r="AH158" s="425" t="n">
        <v>36404</v>
      </c>
    </row>
    <row r="159" customFormat="false" ht="12.75" hidden="false" customHeight="false" outlineLevel="0" collapsed="false">
      <c r="G159" s="407"/>
      <c r="H159" s="406" t="n">
        <f aca="false">SUM(H156:H158)</f>
        <v>0.669704398669671</v>
      </c>
      <c r="J159" s="17"/>
      <c r="K159" s="17"/>
      <c r="AH159" s="427" t="s">
        <v>594</v>
      </c>
      <c r="AI159" s="4" t="n">
        <v>0</v>
      </c>
    </row>
    <row r="160" customFormat="false" ht="12.75" hidden="false" customHeight="false" outlineLevel="0" collapsed="false">
      <c r="G160" s="411" t="s">
        <v>501</v>
      </c>
      <c r="H160" s="412" t="s">
        <v>675</v>
      </c>
      <c r="J160" s="375"/>
      <c r="K160" s="375"/>
      <c r="AH160" s="43" t="s">
        <v>595</v>
      </c>
      <c r="AI160" s="4" t="n">
        <v>0.004</v>
      </c>
    </row>
    <row r="161" customFormat="false" ht="12.75" hidden="false" customHeight="false" outlineLevel="0" collapsed="false">
      <c r="G161" s="393" t="s">
        <v>518</v>
      </c>
      <c r="H161" s="398" t="n">
        <v>0.7462</v>
      </c>
      <c r="J161" s="12"/>
      <c r="K161" s="12"/>
      <c r="AH161" s="43" t="s">
        <v>624</v>
      </c>
      <c r="AI161" s="4" t="n">
        <v>0</v>
      </c>
    </row>
    <row r="162" customFormat="false" ht="12.75" hidden="false" customHeight="false" outlineLevel="0" collapsed="false">
      <c r="G162" s="393" t="s">
        <v>183</v>
      </c>
      <c r="H162" s="397" t="n">
        <f aca="false">0.0021+0.007</f>
        <v>0.0091</v>
      </c>
      <c r="J162" s="12"/>
      <c r="K162" s="12"/>
      <c r="AI162" s="4"/>
    </row>
    <row r="163" customFormat="false" ht="12.75" hidden="false" customHeight="false" outlineLevel="0" collapsed="false">
      <c r="G163" s="448" t="n">
        <v>0.0871</v>
      </c>
      <c r="H163" s="450" t="n">
        <f aca="false">(H3)/(1-G163)-H3</f>
        <v>0.149317011720889</v>
      </c>
      <c r="J163" s="14"/>
      <c r="K163" s="14"/>
      <c r="AH163" s="425" t="n">
        <v>36312</v>
      </c>
    </row>
    <row r="164" customFormat="false" ht="12.75" hidden="false" customHeight="false" outlineLevel="0" collapsed="false">
      <c r="G164" s="407"/>
      <c r="H164" s="406" t="n">
        <f aca="false">SUM(H161:H163)</f>
        <v>0.904617011720889</v>
      </c>
      <c r="J164" s="17"/>
      <c r="K164" s="17"/>
      <c r="AH164" s="427" t="s">
        <v>594</v>
      </c>
      <c r="AI164" s="4" t="n">
        <v>0.002</v>
      </c>
    </row>
    <row r="165" customFormat="false" ht="12.75" hidden="false" customHeight="false" outlineLevel="0" collapsed="false">
      <c r="G165" s="411" t="s">
        <v>501</v>
      </c>
      <c r="H165" s="412" t="s">
        <v>676</v>
      </c>
      <c r="AH165" s="43" t="s">
        <v>595</v>
      </c>
      <c r="AI165" s="4" t="n">
        <v>0.005</v>
      </c>
    </row>
    <row r="166" customFormat="false" ht="12.75" hidden="false" customHeight="false" outlineLevel="0" collapsed="false">
      <c r="G166" s="393" t="s">
        <v>518</v>
      </c>
      <c r="H166" s="398" t="n">
        <f aca="false">0.3703-0.0022</f>
        <v>0.3681</v>
      </c>
      <c r="J166" s="375"/>
      <c r="K166" s="375"/>
      <c r="AH166" s="43" t="s">
        <v>624</v>
      </c>
      <c r="AI166" s="4" t="n">
        <v>0.002</v>
      </c>
    </row>
    <row r="167" customFormat="false" ht="12.75" hidden="false" customHeight="false" outlineLevel="0" collapsed="false">
      <c r="G167" s="393" t="s">
        <v>183</v>
      </c>
      <c r="H167" s="397" t="n">
        <f aca="false">0.0021+0+0.0225+0.007</f>
        <v>0.0316</v>
      </c>
      <c r="J167" s="12"/>
      <c r="K167" s="12"/>
      <c r="AI167" s="4"/>
    </row>
    <row r="168" customFormat="false" ht="12.75" hidden="false" customHeight="false" outlineLevel="0" collapsed="false">
      <c r="G168" s="448" t="n">
        <v>0.0428</v>
      </c>
      <c r="H168" s="450" t="n">
        <f aca="false">(H4)/(1-G168)-H4</f>
        <v>0.0713184287505222</v>
      </c>
      <c r="J168" s="12"/>
      <c r="K168" s="12"/>
      <c r="AH168" s="425" t="n">
        <v>36281</v>
      </c>
    </row>
    <row r="169" customFormat="false" ht="12.75" hidden="false" customHeight="false" outlineLevel="0" collapsed="false">
      <c r="G169" s="407"/>
      <c r="H169" s="406" t="n">
        <f aca="false">SUM(H166:H168)</f>
        <v>0.471018428750522</v>
      </c>
      <c r="J169" s="14"/>
      <c r="K169" s="14"/>
      <c r="AH169" s="427" t="s">
        <v>594</v>
      </c>
      <c r="AI169" s="4" t="n">
        <v>0.002</v>
      </c>
    </row>
    <row r="170" customFormat="false" ht="12.75" hidden="false" customHeight="false" outlineLevel="0" collapsed="false">
      <c r="G170" s="411" t="s">
        <v>501</v>
      </c>
      <c r="H170" s="451" t="s">
        <v>677</v>
      </c>
      <c r="J170" s="17"/>
      <c r="K170" s="17"/>
      <c r="AH170" s="43" t="s">
        <v>595</v>
      </c>
      <c r="AI170" s="4" t="n">
        <v>0.005</v>
      </c>
    </row>
    <row r="171" customFormat="false" ht="12.75" hidden="false" customHeight="false" outlineLevel="0" collapsed="false">
      <c r="G171" s="407" t="s">
        <v>518</v>
      </c>
      <c r="H171" s="398" t="n">
        <v>0.4259</v>
      </c>
      <c r="J171" s="375"/>
      <c r="K171" s="375"/>
      <c r="AH171" s="43" t="s">
        <v>624</v>
      </c>
      <c r="AI171" s="4" t="n">
        <v>0.002</v>
      </c>
    </row>
    <row r="172" customFormat="false" ht="12.75" hidden="false" customHeight="false" outlineLevel="0" collapsed="false">
      <c r="G172" s="407" t="s">
        <v>183</v>
      </c>
      <c r="H172" s="397" t="n">
        <f aca="false">0.0021</f>
        <v>0.0021</v>
      </c>
      <c r="J172" s="12"/>
      <c r="K172" s="12"/>
      <c r="AI172" s="4"/>
    </row>
    <row r="173" customFormat="false" ht="12.75" hidden="false" customHeight="false" outlineLevel="0" collapsed="false">
      <c r="E173" s="2"/>
      <c r="G173" s="401" t="n">
        <v>0.0499</v>
      </c>
      <c r="H173" s="402" t="n">
        <f aca="false">(H4)/(1-G173)-H4</f>
        <v>0.0837706557204505</v>
      </c>
      <c r="J173" s="12"/>
      <c r="K173" s="12"/>
      <c r="AH173" s="425" t="n">
        <v>36251</v>
      </c>
    </row>
    <row r="174" customFormat="false" ht="12.75" hidden="false" customHeight="false" outlineLevel="0" collapsed="false">
      <c r="E174" s="2"/>
      <c r="G174" s="407"/>
      <c r="H174" s="406" t="n">
        <f aca="false">SUM(H171:H173)</f>
        <v>0.51177065572045</v>
      </c>
      <c r="J174" s="14"/>
      <c r="K174" s="14"/>
      <c r="AH174" s="427" t="s">
        <v>594</v>
      </c>
      <c r="AI174" s="4" t="n">
        <v>0.002</v>
      </c>
    </row>
    <row r="175" customFormat="false" ht="12.75" hidden="false" customHeight="false" outlineLevel="0" collapsed="false">
      <c r="E175" s="2"/>
      <c r="G175" s="411" t="s">
        <v>501</v>
      </c>
      <c r="H175" s="451" t="s">
        <v>678</v>
      </c>
      <c r="J175" s="17"/>
      <c r="K175" s="17"/>
      <c r="AH175" s="43" t="s">
        <v>595</v>
      </c>
      <c r="AI175" s="4" t="n">
        <v>0.007</v>
      </c>
    </row>
    <row r="176" customFormat="false" ht="12.75" hidden="false" customHeight="false" outlineLevel="0" collapsed="false">
      <c r="E176" s="2"/>
      <c r="G176" s="407" t="s">
        <v>518</v>
      </c>
      <c r="H176" s="398" t="n">
        <v>0.4955</v>
      </c>
      <c r="AH176" s="43" t="s">
        <v>624</v>
      </c>
      <c r="AI176" s="4" t="n">
        <v>0.002</v>
      </c>
    </row>
    <row r="177" customFormat="false" ht="12.75" hidden="false" customHeight="false" outlineLevel="0" collapsed="false">
      <c r="E177" s="2"/>
      <c r="G177" s="407" t="s">
        <v>183</v>
      </c>
      <c r="H177" s="397" t="n">
        <f aca="false">0.0021</f>
        <v>0.0021</v>
      </c>
      <c r="AI177" s="4"/>
    </row>
    <row r="178" customFormat="false" ht="12.75" hidden="false" customHeight="false" outlineLevel="0" collapsed="false">
      <c r="E178" s="2"/>
      <c r="G178" s="401" t="n">
        <v>0.059</v>
      </c>
      <c r="H178" s="402" t="n">
        <f aca="false">(H4)/(1-G178)-H4</f>
        <v>0.10000531349628</v>
      </c>
      <c r="AH178" s="425" t="n">
        <v>36220</v>
      </c>
    </row>
    <row r="179" customFormat="false" ht="12.75" hidden="false" customHeight="false" outlineLevel="0" collapsed="false">
      <c r="E179" s="2"/>
      <c r="G179" s="407"/>
      <c r="H179" s="406" t="n">
        <f aca="false">SUM(H176:H178)</f>
        <v>0.59760531349628</v>
      </c>
      <c r="AH179" s="427" t="s">
        <v>594</v>
      </c>
      <c r="AI179" s="4" t="n">
        <v>0.001</v>
      </c>
    </row>
    <row r="180" customFormat="false" ht="12.75" hidden="false" customHeight="false" outlineLevel="0" collapsed="false">
      <c r="E180" s="2"/>
      <c r="G180" s="411" t="s">
        <v>501</v>
      </c>
      <c r="H180" s="451" t="s">
        <v>679</v>
      </c>
      <c r="AH180" s="43" t="s">
        <v>595</v>
      </c>
      <c r="AI180" s="4" t="n">
        <v>0.003</v>
      </c>
    </row>
    <row r="181" customFormat="false" ht="12.75" hidden="false" customHeight="false" outlineLevel="0" collapsed="false">
      <c r="G181" s="407" t="s">
        <v>518</v>
      </c>
      <c r="H181" s="398" t="n">
        <v>0.5682</v>
      </c>
      <c r="AH181" s="43" t="s">
        <v>624</v>
      </c>
      <c r="AI181" s="4" t="n">
        <v>0.001</v>
      </c>
    </row>
    <row r="182" customFormat="false" ht="12.75" hidden="false" customHeight="false" outlineLevel="0" collapsed="false">
      <c r="G182" s="407" t="s">
        <v>183</v>
      </c>
      <c r="H182" s="397" t="n">
        <f aca="false">0.0021+0.007</f>
        <v>0.0091</v>
      </c>
      <c r="AI182" s="4"/>
    </row>
    <row r="183" customFormat="false" ht="12.75" hidden="false" customHeight="false" outlineLevel="0" collapsed="false">
      <c r="G183" s="401" t="n">
        <v>0.0699</v>
      </c>
      <c r="H183" s="402" t="n">
        <f aca="false">(H4)/(1-G183)-H4</f>
        <v>0.119869368885066</v>
      </c>
      <c r="AH183" s="425" t="n">
        <v>36192</v>
      </c>
    </row>
    <row r="184" customFormat="false" ht="12.75" hidden="false" customHeight="false" outlineLevel="0" collapsed="false">
      <c r="G184" s="407"/>
      <c r="H184" s="406" t="n">
        <f aca="false">SUM(H181:H183)</f>
        <v>0.697169368885066</v>
      </c>
      <c r="AH184" s="427" t="s">
        <v>594</v>
      </c>
      <c r="AI184" s="4" t="n">
        <v>0.004</v>
      </c>
    </row>
    <row r="185" customFormat="false" ht="12.75" hidden="false" customHeight="false" outlineLevel="0" collapsed="false">
      <c r="G185" s="411" t="s">
        <v>501</v>
      </c>
      <c r="H185" s="451" t="s">
        <v>680</v>
      </c>
      <c r="AH185" s="43" t="s">
        <v>595</v>
      </c>
      <c r="AI185" s="4" t="n">
        <v>0.01</v>
      </c>
    </row>
    <row r="186" customFormat="false" ht="12.75" hidden="false" customHeight="false" outlineLevel="0" collapsed="false">
      <c r="B186" s="452"/>
      <c r="G186" s="407" t="s">
        <v>518</v>
      </c>
      <c r="H186" s="398" t="n">
        <v>0.6884</v>
      </c>
      <c r="AH186" s="43" t="s">
        <v>624</v>
      </c>
      <c r="AI186" s="4" t="n">
        <v>0.004</v>
      </c>
    </row>
    <row r="187" customFormat="false" ht="12.75" hidden="false" customHeight="false" outlineLevel="0" collapsed="false">
      <c r="B187" s="452"/>
      <c r="G187" s="407" t="s">
        <v>183</v>
      </c>
      <c r="H187" s="397" t="n">
        <f aca="false">0.0021+0.007</f>
        <v>0.0091</v>
      </c>
      <c r="AI187" s="4"/>
    </row>
    <row r="188" customFormat="false" ht="12.75" hidden="false" customHeight="false" outlineLevel="0" collapsed="false">
      <c r="G188" s="401" t="n">
        <v>0.0782</v>
      </c>
      <c r="H188" s="402" t="n">
        <f aca="false">(H3)/(1-G188)-H3</f>
        <v>0.132765241917987</v>
      </c>
      <c r="AH188" s="425" t="n">
        <v>36161</v>
      </c>
    </row>
    <row r="189" customFormat="false" ht="12.75" hidden="false" customHeight="false" outlineLevel="0" collapsed="false">
      <c r="G189" s="407"/>
      <c r="H189" s="406" t="n">
        <f aca="false">SUM(H186:H188)</f>
        <v>0.830265241917987</v>
      </c>
      <c r="AH189" s="427" t="s">
        <v>594</v>
      </c>
      <c r="AI189" s="4" t="n">
        <v>0.003</v>
      </c>
    </row>
    <row r="190" customFormat="false" ht="12.75" hidden="false" customHeight="false" outlineLevel="0" collapsed="false">
      <c r="G190" s="411" t="s">
        <v>501</v>
      </c>
      <c r="H190" s="451" t="s">
        <v>681</v>
      </c>
      <c r="AH190" s="43" t="s">
        <v>595</v>
      </c>
      <c r="AI190" s="4" t="n">
        <v>0.008</v>
      </c>
    </row>
    <row r="191" customFormat="false" ht="12.75" hidden="false" customHeight="false" outlineLevel="0" collapsed="false">
      <c r="G191" s="407" t="s">
        <v>518</v>
      </c>
      <c r="H191" s="398" t="n">
        <v>0.317</v>
      </c>
      <c r="AH191" s="43" t="s">
        <v>624</v>
      </c>
      <c r="AI191" s="4" t="n">
        <v>0.003</v>
      </c>
    </row>
    <row r="192" customFormat="false" ht="12.75" hidden="false" customHeight="false" outlineLevel="0" collapsed="false">
      <c r="G192" s="407" t="s">
        <v>183</v>
      </c>
      <c r="H192" s="397" t="n">
        <f aca="false">0.0021+0.007</f>
        <v>0.0091</v>
      </c>
      <c r="AI192" s="4"/>
    </row>
    <row r="193" customFormat="false" ht="12.75" hidden="false" customHeight="false" outlineLevel="0" collapsed="false">
      <c r="G193" s="401" t="n">
        <v>0.0217</v>
      </c>
      <c r="H193" s="402" t="n">
        <f aca="false">(H5)/(1-G193)-H5</f>
        <v>0.0411463763671676</v>
      </c>
      <c r="AH193" s="425" t="n">
        <v>36130</v>
      </c>
    </row>
    <row r="194" customFormat="false" ht="12.75" hidden="false" customHeight="false" outlineLevel="0" collapsed="false">
      <c r="G194" s="407"/>
      <c r="H194" s="406" t="n">
        <f aca="false">SUM(H191:H193)</f>
        <v>0.367246376367168</v>
      </c>
      <c r="AH194" s="427" t="s">
        <v>594</v>
      </c>
      <c r="AI194" s="4" t="n">
        <v>0.002</v>
      </c>
    </row>
    <row r="195" customFormat="false" ht="12.75" hidden="false" customHeight="false" outlineLevel="0" collapsed="false">
      <c r="G195" s="411" t="s">
        <v>501</v>
      </c>
      <c r="H195" s="451" t="s">
        <v>682</v>
      </c>
      <c r="AH195" s="43" t="s">
        <v>595</v>
      </c>
      <c r="AI195" s="4" t="n">
        <v>0.008</v>
      </c>
    </row>
    <row r="196" customFormat="false" ht="12.75" hidden="false" customHeight="false" outlineLevel="0" collapsed="false">
      <c r="G196" s="407" t="s">
        <v>518</v>
      </c>
      <c r="H196" s="398" t="n">
        <v>0.3677</v>
      </c>
      <c r="AH196" s="43" t="s">
        <v>624</v>
      </c>
      <c r="AI196" s="4" t="n">
        <v>0.002</v>
      </c>
    </row>
    <row r="197" customFormat="false" ht="12.75" hidden="false" customHeight="false" outlineLevel="0" collapsed="false">
      <c r="G197" s="407" t="s">
        <v>183</v>
      </c>
      <c r="H197" s="397" t="n">
        <f aca="false">0.0021+0.007</f>
        <v>0.0091</v>
      </c>
      <c r="AI197" s="4"/>
    </row>
    <row r="198" customFormat="false" ht="12.75" hidden="false" customHeight="false" outlineLevel="0" collapsed="false">
      <c r="G198" s="401" t="n">
        <v>0.0314</v>
      </c>
      <c r="H198" s="402" t="n">
        <f aca="false">(E5)/(1-G198)-E5</f>
        <v>0.0528412141234771</v>
      </c>
      <c r="AH198" s="425" t="n">
        <v>36100</v>
      </c>
    </row>
    <row r="199" customFormat="false" ht="12.75" hidden="false" customHeight="false" outlineLevel="0" collapsed="false">
      <c r="G199" s="407"/>
      <c r="H199" s="406" t="n">
        <f aca="false">SUM(H196:H198)</f>
        <v>0.429641214123477</v>
      </c>
      <c r="AH199" s="427" t="s">
        <v>594</v>
      </c>
      <c r="AI199" s="4" t="n">
        <v>0.003</v>
      </c>
    </row>
    <row r="200" customFormat="false" ht="12.75" hidden="false" customHeight="false" outlineLevel="0" collapsed="false">
      <c r="G200" s="411" t="s">
        <v>501</v>
      </c>
      <c r="H200" s="451" t="s">
        <v>683</v>
      </c>
      <c r="AH200" s="43" t="s">
        <v>595</v>
      </c>
      <c r="AI200" s="4" t="n">
        <v>0.006</v>
      </c>
    </row>
    <row r="201" customFormat="false" ht="12.75" hidden="false" customHeight="false" outlineLevel="0" collapsed="false">
      <c r="G201" s="407" t="s">
        <v>518</v>
      </c>
      <c r="H201" s="398" t="n">
        <v>0.197</v>
      </c>
      <c r="AH201" s="43" t="s">
        <v>624</v>
      </c>
      <c r="AI201" s="4" t="n">
        <v>0.003</v>
      </c>
    </row>
    <row r="202" customFormat="false" ht="12.75" hidden="false" customHeight="false" outlineLevel="0" collapsed="false">
      <c r="G202" s="407" t="s">
        <v>183</v>
      </c>
      <c r="H202" s="397" t="n">
        <f aca="false">0.0021+0.007</f>
        <v>0.0091</v>
      </c>
      <c r="AI202" s="4"/>
    </row>
    <row r="203" customFormat="false" ht="12.75" hidden="false" customHeight="false" outlineLevel="0" collapsed="false">
      <c r="G203" s="401" t="n">
        <v>0.0116</v>
      </c>
      <c r="H203" s="402" t="n">
        <f aca="false">(H5)/(1-G203)-H5</f>
        <v>0.0217705382436262</v>
      </c>
      <c r="AH203" s="425" t="n">
        <v>36069</v>
      </c>
    </row>
    <row r="204" customFormat="false" ht="12.75" hidden="false" customHeight="false" outlineLevel="0" collapsed="false">
      <c r="G204" s="407"/>
      <c r="H204" s="406" t="n">
        <f aca="false">SUM(H201:H203)</f>
        <v>0.227870538243626</v>
      </c>
      <c r="AH204" s="427" t="s">
        <v>594</v>
      </c>
      <c r="AI204" s="4" t="n">
        <v>0</v>
      </c>
    </row>
    <row r="205" customFormat="false" ht="12.75" hidden="false" customHeight="false" outlineLevel="0" collapsed="false">
      <c r="G205" s="411" t="s">
        <v>501</v>
      </c>
      <c r="H205" s="451" t="s">
        <v>684</v>
      </c>
      <c r="AH205" s="43" t="s">
        <v>595</v>
      </c>
      <c r="AI205" s="4" t="n">
        <v>0</v>
      </c>
    </row>
    <row r="206" customFormat="false" ht="12.75" hidden="false" customHeight="false" outlineLevel="0" collapsed="false">
      <c r="G206" s="407" t="s">
        <v>518</v>
      </c>
      <c r="H206" s="398" t="n">
        <v>0.1764</v>
      </c>
      <c r="AH206" s="43" t="s">
        <v>624</v>
      </c>
      <c r="AI206" s="4" t="n">
        <v>0</v>
      </c>
    </row>
    <row r="207" customFormat="false" ht="12.75" hidden="false" customHeight="false" outlineLevel="0" collapsed="false">
      <c r="G207" s="407" t="s">
        <v>183</v>
      </c>
      <c r="H207" s="397" t="n">
        <f aca="false">0.0021+0.007</f>
        <v>0.0091</v>
      </c>
    </row>
    <row r="208" customFormat="false" ht="12.75" hidden="false" customHeight="false" outlineLevel="0" collapsed="false">
      <c r="G208" s="401" t="n">
        <v>0.0128</v>
      </c>
      <c r="H208" s="402" t="n">
        <f aca="false">(H5)/(1-G208)-H5</f>
        <v>0.0240518638573746</v>
      </c>
      <c r="AH208" s="425" t="n">
        <v>36039</v>
      </c>
    </row>
    <row r="209" customFormat="false" ht="12.75" hidden="false" customHeight="false" outlineLevel="0" collapsed="false">
      <c r="G209" s="407"/>
      <c r="H209" s="406" t="n">
        <f aca="false">SUM(H206:H208)</f>
        <v>0.209551863857375</v>
      </c>
      <c r="AH209" s="427" t="s">
        <v>594</v>
      </c>
      <c r="AI209" s="4" t="n">
        <v>0</v>
      </c>
    </row>
    <row r="210" customFormat="false" ht="12.75" hidden="false" customHeight="false" outlineLevel="0" collapsed="false">
      <c r="G210" s="411" t="s">
        <v>501</v>
      </c>
      <c r="H210" s="451" t="s">
        <v>685</v>
      </c>
      <c r="AH210" s="43" t="s">
        <v>595</v>
      </c>
      <c r="AI210" s="4" t="n">
        <v>0</v>
      </c>
    </row>
    <row r="211" customFormat="false" ht="12.75" hidden="false" customHeight="false" outlineLevel="0" collapsed="false">
      <c r="G211" s="407" t="s">
        <v>518</v>
      </c>
      <c r="H211" s="398" t="n">
        <v>0.2786</v>
      </c>
      <c r="AH211" s="43" t="s">
        <v>624</v>
      </c>
      <c r="AI211" s="4" t="n">
        <v>0</v>
      </c>
    </row>
    <row r="212" customFormat="false" ht="12.75" hidden="false" customHeight="false" outlineLevel="0" collapsed="false">
      <c r="G212" s="407" t="s">
        <v>183</v>
      </c>
      <c r="H212" s="397" t="n">
        <f aca="false">0.0021+0.007</f>
        <v>0.0091</v>
      </c>
    </row>
    <row r="213" customFormat="false" ht="12.75" hidden="false" customHeight="false" outlineLevel="0" collapsed="false">
      <c r="G213" s="401" t="n">
        <v>0.0209</v>
      </c>
      <c r="H213" s="402" t="n">
        <f aca="false">(H5)/(1-G213)-H5</f>
        <v>0.0395970789500562</v>
      </c>
      <c r="AH213" s="425" t="n">
        <v>36008</v>
      </c>
    </row>
    <row r="214" customFormat="false" ht="12.75" hidden="false" customHeight="false" outlineLevel="0" collapsed="false">
      <c r="G214" s="407"/>
      <c r="H214" s="406" t="n">
        <f aca="false">SUM(H211:H213)</f>
        <v>0.327297078950056</v>
      </c>
      <c r="AH214" s="427" t="s">
        <v>594</v>
      </c>
      <c r="AI214" s="4" t="n">
        <v>0</v>
      </c>
    </row>
    <row r="215" customFormat="false" ht="12.75" hidden="false" customHeight="false" outlineLevel="0" collapsed="false">
      <c r="G215" s="411" t="s">
        <v>501</v>
      </c>
      <c r="H215" s="451" t="s">
        <v>686</v>
      </c>
      <c r="AH215" s="43" t="s">
        <v>595</v>
      </c>
      <c r="AI215" s="4" t="n">
        <v>0</v>
      </c>
    </row>
    <row r="216" customFormat="false" ht="12.75" hidden="false" customHeight="false" outlineLevel="0" collapsed="false">
      <c r="G216" s="407" t="s">
        <v>518</v>
      </c>
      <c r="H216" s="398" t="n">
        <v>0.4876</v>
      </c>
      <c r="AH216" s="43" t="s">
        <v>624</v>
      </c>
      <c r="AI216" s="4" t="n">
        <v>0</v>
      </c>
    </row>
    <row r="217" customFormat="false" ht="12.75" hidden="false" customHeight="false" outlineLevel="0" collapsed="false">
      <c r="G217" s="407" t="s">
        <v>183</v>
      </c>
      <c r="H217" s="397" t="n">
        <f aca="false">0.0021+0.007</f>
        <v>0.0091</v>
      </c>
    </row>
    <row r="218" customFormat="false" ht="12.75" hidden="false" customHeight="false" outlineLevel="0" collapsed="false">
      <c r="G218" s="401" t="n">
        <v>0.0456</v>
      </c>
      <c r="H218" s="402" t="n">
        <f aca="false">(H5)/(1-G218)-H5</f>
        <v>0.0886295054484492</v>
      </c>
      <c r="AH218" s="425" t="n">
        <v>35977</v>
      </c>
    </row>
    <row r="219" customFormat="false" ht="12.75" hidden="false" customHeight="false" outlineLevel="0" collapsed="false">
      <c r="G219" s="407"/>
      <c r="H219" s="406" t="n">
        <f aca="false">SUM(H216:H218)</f>
        <v>0.585329505448449</v>
      </c>
      <c r="AH219" s="427" t="s">
        <v>594</v>
      </c>
      <c r="AI219" s="4" t="n">
        <v>0</v>
      </c>
    </row>
    <row r="220" customFormat="false" ht="12.75" hidden="false" customHeight="false" outlineLevel="0" collapsed="false">
      <c r="G220" s="411" t="s">
        <v>501</v>
      </c>
      <c r="H220" s="451" t="s">
        <v>687</v>
      </c>
      <c r="AH220" s="43" t="s">
        <v>595</v>
      </c>
      <c r="AI220" s="4" t="n">
        <v>0</v>
      </c>
    </row>
    <row r="221" customFormat="false" ht="12.75" hidden="false" customHeight="false" outlineLevel="0" collapsed="false">
      <c r="G221" s="407" t="s">
        <v>518</v>
      </c>
      <c r="H221" s="398" t="n">
        <v>0.317</v>
      </c>
      <c r="AH221" s="43" t="s">
        <v>624</v>
      </c>
      <c r="AI221" s="4" t="n">
        <v>0</v>
      </c>
    </row>
    <row r="222" customFormat="false" ht="12.75" hidden="false" customHeight="false" outlineLevel="0" collapsed="false">
      <c r="G222" s="407" t="s">
        <v>183</v>
      </c>
      <c r="H222" s="397" t="n">
        <f aca="false">0.0021+0.007</f>
        <v>0.0091</v>
      </c>
    </row>
    <row r="223" customFormat="false" ht="12.75" hidden="false" customHeight="false" outlineLevel="0" collapsed="false">
      <c r="G223" s="401" t="n">
        <v>0.025</v>
      </c>
      <c r="H223" s="402" t="n">
        <f aca="false">(H5)/(1-G223)-H5</f>
        <v>0.0475641025641027</v>
      </c>
    </row>
    <row r="224" customFormat="false" ht="12.75" hidden="false" customHeight="false" outlineLevel="0" collapsed="false">
      <c r="G224" s="407"/>
      <c r="H224" s="406" t="n">
        <f aca="false">SUM(H221:H223)</f>
        <v>0.373664102564103</v>
      </c>
    </row>
    <row r="225" customFormat="false" ht="12.75" hidden="false" customHeight="false" outlineLevel="0" collapsed="false">
      <c r="G225" s="411" t="s">
        <v>501</v>
      </c>
      <c r="H225" s="451" t="s">
        <v>688</v>
      </c>
    </row>
    <row r="226" customFormat="false" ht="12.75" hidden="false" customHeight="false" outlineLevel="0" collapsed="false">
      <c r="G226" s="407" t="s">
        <v>518</v>
      </c>
      <c r="H226" s="398" t="n">
        <v>0.2786</v>
      </c>
    </row>
    <row r="227" customFormat="false" ht="12.75" hidden="false" customHeight="false" outlineLevel="0" collapsed="false">
      <c r="G227" s="407" t="s">
        <v>183</v>
      </c>
      <c r="H227" s="397" t="n">
        <f aca="false">0.0021+0.007</f>
        <v>0.0091</v>
      </c>
    </row>
    <row r="228" customFormat="false" ht="12.75" hidden="false" customHeight="false" outlineLevel="0" collapsed="false">
      <c r="G228" s="401" t="n">
        <v>0.014</v>
      </c>
      <c r="H228" s="402" t="n">
        <f aca="false">(H5)/(1-G228)-H5</f>
        <v>0.0263387423935091</v>
      </c>
    </row>
    <row r="229" customFormat="false" ht="12.75" hidden="false" customHeight="false" outlineLevel="0" collapsed="false">
      <c r="G229" s="407"/>
      <c r="H229" s="406" t="n">
        <f aca="false">SUM(H226:H228)</f>
        <v>0.314038742393509</v>
      </c>
    </row>
    <row r="230" customFormat="false" ht="12.75" hidden="false" customHeight="false" outlineLevel="0" collapsed="false">
      <c r="G230" s="411" t="s">
        <v>501</v>
      </c>
      <c r="H230" s="451" t="s">
        <v>689</v>
      </c>
    </row>
    <row r="231" customFormat="false" ht="12.75" hidden="false" customHeight="false" outlineLevel="0" collapsed="false">
      <c r="G231" s="407" t="s">
        <v>518</v>
      </c>
      <c r="H231" s="398" t="n">
        <v>0.2081</v>
      </c>
    </row>
    <row r="232" customFormat="false" ht="12.75" hidden="false" customHeight="false" outlineLevel="0" collapsed="false">
      <c r="G232" s="407" t="s">
        <v>183</v>
      </c>
      <c r="H232" s="397" t="n">
        <f aca="false">0.0021+0.007</f>
        <v>0.0091</v>
      </c>
    </row>
    <row r="233" customFormat="false" ht="12.75" hidden="false" customHeight="false" outlineLevel="0" collapsed="false">
      <c r="G233" s="401" t="n">
        <v>0.0089</v>
      </c>
      <c r="H233" s="402" t="n">
        <f aca="false">(H5)/(1-G233)-H5</f>
        <v>0.0166577540106951</v>
      </c>
    </row>
    <row r="234" customFormat="false" ht="12.75" hidden="false" customHeight="false" outlineLevel="0" collapsed="false">
      <c r="G234" s="407"/>
      <c r="H234" s="406" t="n">
        <f aca="false">SUM(H231:H233)</f>
        <v>0.233857754010695</v>
      </c>
    </row>
    <row r="235" customFormat="false" ht="12.75" hidden="false" customHeight="false" outlineLevel="0" collapsed="false">
      <c r="G235" s="2"/>
      <c r="H235" s="2"/>
    </row>
    <row r="236" customFormat="false" ht="12.75" hidden="false" customHeight="false" outlineLevel="0" collapsed="false">
      <c r="G236" s="418"/>
      <c r="H236" s="424"/>
      <c r="I236" s="353"/>
    </row>
    <row r="237" customFormat="false" ht="12.75" hidden="false" customHeight="false" outlineLevel="0" collapsed="false">
      <c r="G237" s="2"/>
      <c r="H237" s="453"/>
      <c r="I237" s="353"/>
    </row>
    <row r="238" customFormat="false" ht="12.75" hidden="false" customHeight="false" outlineLevel="0" collapsed="false">
      <c r="G238" s="2"/>
      <c r="H238" s="12"/>
      <c r="I238" s="353"/>
    </row>
    <row r="239" customFormat="false" ht="12.75" hidden="false" customHeight="false" outlineLevel="0" collapsed="false">
      <c r="G239" s="13"/>
      <c r="H239" s="14"/>
      <c r="I239" s="353"/>
    </row>
    <row r="240" customFormat="false" ht="12.75" hidden="false" customHeight="false" outlineLevel="0" collapsed="false">
      <c r="G240" s="2"/>
      <c r="H240" s="17"/>
      <c r="I240" s="353"/>
    </row>
    <row r="241" customFormat="false" ht="12.75" hidden="false" customHeight="false" outlineLevel="0" collapsed="false">
      <c r="G241" s="8"/>
      <c r="H241" s="8"/>
      <c r="I241" s="353"/>
    </row>
    <row r="242" customFormat="false" ht="12.75" hidden="false" customHeight="false" outlineLevel="0" collapsed="false">
      <c r="G242" s="418"/>
      <c r="H242" s="424"/>
      <c r="I242" s="353"/>
    </row>
    <row r="243" customFormat="false" ht="12.75" hidden="false" customHeight="false" outlineLevel="0" collapsed="false">
      <c r="G243" s="2"/>
      <c r="H243" s="453"/>
      <c r="I243" s="353"/>
    </row>
    <row r="244" customFormat="false" ht="12.75" hidden="false" customHeight="false" outlineLevel="0" collapsed="false">
      <c r="G244" s="2"/>
      <c r="H244" s="12"/>
      <c r="I244" s="353"/>
    </row>
    <row r="245" customFormat="false" ht="12.75" hidden="false" customHeight="false" outlineLevel="0" collapsed="false">
      <c r="G245" s="13"/>
      <c r="H245" s="14"/>
      <c r="I245" s="353"/>
    </row>
    <row r="246" customFormat="false" ht="12.75" hidden="false" customHeight="false" outlineLevel="0" collapsed="false">
      <c r="G246" s="2"/>
      <c r="H246" s="17"/>
      <c r="I246" s="353"/>
    </row>
    <row r="247" customFormat="false" ht="12.75" hidden="false" customHeight="false" outlineLevel="0" collapsed="false">
      <c r="G247" s="353"/>
      <c r="H247" s="353"/>
      <c r="I247" s="353"/>
    </row>
    <row r="248" customFormat="false" ht="12.75" hidden="false" customHeight="false" outlineLevel="0" collapsed="false">
      <c r="G248" s="418"/>
      <c r="H248" s="424"/>
      <c r="I248" s="353"/>
    </row>
    <row r="249" customFormat="false" ht="12.75" hidden="false" customHeight="false" outlineLevel="0" collapsed="false">
      <c r="G249" s="2"/>
      <c r="H249" s="453"/>
      <c r="I249" s="353"/>
    </row>
    <row r="250" customFormat="false" ht="12.75" hidden="false" customHeight="false" outlineLevel="0" collapsed="false">
      <c r="G250" s="2"/>
      <c r="H250" s="12"/>
      <c r="I250" s="353"/>
    </row>
    <row r="251" customFormat="false" ht="12.75" hidden="false" customHeight="false" outlineLevel="0" collapsed="false">
      <c r="G251" s="13"/>
      <c r="H251" s="14"/>
      <c r="I251" s="353"/>
    </row>
    <row r="252" customFormat="false" ht="12.75" hidden="false" customHeight="false" outlineLevel="0" collapsed="false">
      <c r="G252" s="2"/>
      <c r="H252" s="17"/>
      <c r="I252" s="353"/>
    </row>
    <row r="253" customFormat="false" ht="12.75" hidden="false" customHeight="false" outlineLevel="0" collapsed="false">
      <c r="G253" s="353"/>
      <c r="H253" s="353"/>
      <c r="I253" s="353"/>
    </row>
    <row r="254" customFormat="false" ht="12.75" hidden="false" customHeight="false" outlineLevel="0" collapsed="false">
      <c r="G254" s="418"/>
      <c r="H254" s="424"/>
      <c r="I254" s="353"/>
    </row>
    <row r="255" customFormat="false" ht="12.75" hidden="false" customHeight="false" outlineLevel="0" collapsed="false">
      <c r="G255" s="2"/>
      <c r="H255" s="453"/>
      <c r="I255" s="353"/>
    </row>
    <row r="256" customFormat="false" ht="12.75" hidden="false" customHeight="false" outlineLevel="0" collapsed="false">
      <c r="G256" s="2"/>
      <c r="H256" s="12"/>
      <c r="I256" s="353"/>
    </row>
    <row r="257" customFormat="false" ht="12.75" hidden="false" customHeight="false" outlineLevel="0" collapsed="false">
      <c r="G257" s="13"/>
      <c r="H257" s="14"/>
      <c r="I257" s="353"/>
    </row>
    <row r="258" customFormat="false" ht="12.75" hidden="false" customHeight="false" outlineLevel="0" collapsed="false">
      <c r="G258" s="2"/>
      <c r="H258" s="17"/>
      <c r="I258" s="353"/>
    </row>
    <row r="259" customFormat="false" ht="12.75" hidden="false" customHeight="false" outlineLevel="0" collapsed="false">
      <c r="G259" s="353"/>
      <c r="H259" s="353"/>
      <c r="I259" s="353"/>
    </row>
    <row r="260" customFormat="false" ht="12.75" hidden="false" customHeight="false" outlineLevel="0" collapsed="false">
      <c r="G260" s="418"/>
      <c r="H260" s="424"/>
      <c r="I260" s="353"/>
    </row>
    <row r="261" customFormat="false" ht="12.75" hidden="false" customHeight="false" outlineLevel="0" collapsed="false">
      <c r="G261" s="2"/>
      <c r="H261" s="453"/>
      <c r="I261" s="353"/>
    </row>
    <row r="262" customFormat="false" ht="12.75" hidden="false" customHeight="false" outlineLevel="0" collapsed="false">
      <c r="G262" s="2"/>
      <c r="H262" s="12"/>
      <c r="I262" s="353"/>
    </row>
    <row r="263" customFormat="false" ht="12.75" hidden="false" customHeight="false" outlineLevel="0" collapsed="false">
      <c r="G263" s="13"/>
      <c r="H263" s="14"/>
      <c r="I263" s="353"/>
    </row>
    <row r="264" customFormat="false" ht="12.75" hidden="false" customHeight="false" outlineLevel="0" collapsed="false">
      <c r="G264" s="2"/>
      <c r="H264" s="17"/>
      <c r="I264" s="353"/>
    </row>
    <row r="265" customFormat="false" ht="12.75" hidden="false" customHeight="false" outlineLevel="0" collapsed="false">
      <c r="G265" s="353"/>
      <c r="H265" s="353"/>
      <c r="I265" s="353"/>
    </row>
    <row r="266" customFormat="false" ht="12.75" hidden="false" customHeight="false" outlineLevel="0" collapsed="false">
      <c r="G266" s="418"/>
      <c r="H266" s="424"/>
      <c r="I266" s="353"/>
    </row>
    <row r="267" customFormat="false" ht="12.75" hidden="false" customHeight="false" outlineLevel="0" collapsed="false">
      <c r="G267" s="2"/>
      <c r="H267" s="453"/>
      <c r="I267" s="353"/>
    </row>
    <row r="268" customFormat="false" ht="12.75" hidden="false" customHeight="false" outlineLevel="0" collapsed="false">
      <c r="G268" s="2"/>
      <c r="H268" s="12"/>
      <c r="I268" s="353"/>
    </row>
    <row r="269" customFormat="false" ht="12.75" hidden="false" customHeight="false" outlineLevel="0" collapsed="false">
      <c r="G269" s="13"/>
      <c r="H269" s="14"/>
      <c r="I269" s="353"/>
    </row>
    <row r="270" customFormat="false" ht="12.75" hidden="false" customHeight="false" outlineLevel="0" collapsed="false">
      <c r="G270" s="2"/>
      <c r="H270" s="17"/>
      <c r="I270" s="353"/>
    </row>
    <row r="271" customFormat="false" ht="12.75" hidden="false" customHeight="false" outlineLevel="0" collapsed="false">
      <c r="G271" s="353"/>
      <c r="H271" s="353"/>
      <c r="I271" s="353"/>
    </row>
    <row r="272" customFormat="false" ht="12.75" hidden="false" customHeight="false" outlineLevel="0" collapsed="false">
      <c r="G272" s="418"/>
      <c r="H272" s="424"/>
      <c r="I272" s="353"/>
    </row>
    <row r="273" customFormat="false" ht="12.75" hidden="false" customHeight="false" outlineLevel="0" collapsed="false">
      <c r="G273" s="2"/>
      <c r="H273" s="453"/>
      <c r="I273" s="353"/>
    </row>
    <row r="274" customFormat="false" ht="12.75" hidden="false" customHeight="false" outlineLevel="0" collapsed="false">
      <c r="G274" s="2"/>
      <c r="H274" s="12"/>
      <c r="I274" s="353"/>
    </row>
    <row r="275" customFormat="false" ht="12.75" hidden="false" customHeight="false" outlineLevel="0" collapsed="false">
      <c r="G275" s="13"/>
      <c r="H275" s="14"/>
      <c r="I275" s="353"/>
    </row>
    <row r="276" customFormat="false" ht="12.75" hidden="false" customHeight="false" outlineLevel="0" collapsed="false">
      <c r="G276" s="2"/>
      <c r="H276" s="17"/>
      <c r="I276" s="353"/>
    </row>
    <row r="277" customFormat="false" ht="12.75" hidden="false" customHeight="false" outlineLevel="0" collapsed="false">
      <c r="G277" s="353"/>
      <c r="H277" s="353"/>
      <c r="I277" s="353"/>
    </row>
    <row r="278" customFormat="false" ht="12.75" hidden="false" customHeight="false" outlineLevel="0" collapsed="false">
      <c r="G278" s="418"/>
      <c r="H278" s="424"/>
      <c r="I278" s="353"/>
    </row>
    <row r="279" customFormat="false" ht="12.75" hidden="false" customHeight="false" outlineLevel="0" collapsed="false">
      <c r="G279" s="2"/>
      <c r="H279" s="453"/>
      <c r="I279" s="353"/>
    </row>
    <row r="280" customFormat="false" ht="12.75" hidden="false" customHeight="false" outlineLevel="0" collapsed="false">
      <c r="G280" s="2"/>
      <c r="H280" s="12"/>
      <c r="I280" s="353"/>
    </row>
    <row r="281" customFormat="false" ht="12.75" hidden="false" customHeight="false" outlineLevel="0" collapsed="false">
      <c r="G281" s="13"/>
      <c r="H281" s="14"/>
      <c r="I281" s="353"/>
    </row>
    <row r="282" customFormat="false" ht="12.75" hidden="false" customHeight="false" outlineLevel="0" collapsed="false">
      <c r="G282" s="2"/>
      <c r="H282" s="17"/>
      <c r="I282" s="353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54" width="18.41"/>
    <col collapsed="false" customWidth="true" hidden="false" outlineLevel="0" max="4" min="3" style="454" width="8.85"/>
    <col collapsed="false" customWidth="true" hidden="false" outlineLevel="0" max="5" min="5" style="455" width="8.85"/>
    <col collapsed="false" customWidth="true" hidden="false" outlineLevel="0" max="6" min="6" style="454" width="8.85"/>
    <col collapsed="false" customWidth="true" hidden="false" outlineLevel="0" max="10" min="7" style="1" width="8.85"/>
  </cols>
  <sheetData>
    <row r="1" customFormat="false" ht="12.75" hidden="false" customHeight="false" outlineLevel="0" collapsed="false">
      <c r="A1" s="454" t="s">
        <v>690</v>
      </c>
      <c r="B1" s="1" t="s">
        <v>691</v>
      </c>
    </row>
    <row r="2" customFormat="false" ht="12.75" hidden="false" customHeight="false" outlineLevel="0" collapsed="false">
      <c r="B2" s="1" t="s">
        <v>692</v>
      </c>
    </row>
    <row r="3" customFormat="false" ht="12.75" hidden="false" customHeight="false" outlineLevel="0" collapsed="false">
      <c r="B3" s="1" t="s">
        <v>693</v>
      </c>
    </row>
    <row r="4" customFormat="false" ht="12.75" hidden="false" customHeight="false" outlineLevel="0" collapsed="false">
      <c r="B4" s="1" t="s">
        <v>694</v>
      </c>
    </row>
    <row r="7" customFormat="false" ht="12.75" hidden="false" customHeight="false" outlineLevel="0" collapsed="false">
      <c r="B7" s="456" t="s">
        <v>695</v>
      </c>
      <c r="C7" s="457"/>
      <c r="D7" s="457"/>
      <c r="E7" s="457"/>
      <c r="F7" s="457"/>
      <c r="G7" s="456"/>
      <c r="H7" s="456"/>
      <c r="I7" s="456"/>
      <c r="M7" s="1" t="n">
        <v>13973</v>
      </c>
      <c r="N7" s="1" t="n">
        <v>32603</v>
      </c>
    </row>
    <row r="8" customFormat="false" ht="12.75" hidden="false" customHeight="false" outlineLevel="0" collapsed="false">
      <c r="B8" s="456"/>
      <c r="C8" s="457"/>
      <c r="D8" s="458" t="s">
        <v>696</v>
      </c>
      <c r="E8" s="458"/>
      <c r="F8" s="458"/>
      <c r="G8" s="458"/>
      <c r="H8" s="458"/>
      <c r="I8" s="458"/>
      <c r="M8" s="1" t="n">
        <v>14904</v>
      </c>
      <c r="N8" s="1" t="n">
        <v>34776</v>
      </c>
    </row>
    <row r="9" customFormat="false" ht="12.75" hidden="false" customHeight="false" outlineLevel="0" collapsed="false">
      <c r="B9" s="456"/>
      <c r="C9" s="457"/>
      <c r="D9" s="459" t="n">
        <v>1</v>
      </c>
      <c r="E9" s="460" t="n">
        <v>2</v>
      </c>
      <c r="F9" s="459" t="n">
        <v>3</v>
      </c>
      <c r="G9" s="461" t="n">
        <v>4</v>
      </c>
      <c r="H9" s="461" t="n">
        <v>5</v>
      </c>
      <c r="I9" s="461" t="n">
        <v>6</v>
      </c>
      <c r="M9" s="1" t="n">
        <v>9559</v>
      </c>
      <c r="N9" s="1" t="n">
        <v>22304</v>
      </c>
    </row>
    <row r="10" customFormat="false" ht="12.75" hidden="false" customHeight="false" outlineLevel="0" collapsed="false">
      <c r="B10" s="456"/>
      <c r="C10" s="457" t="s">
        <v>697</v>
      </c>
      <c r="D10" s="457"/>
      <c r="E10" s="462"/>
      <c r="F10" s="457"/>
      <c r="G10" s="456"/>
      <c r="H10" s="456"/>
      <c r="I10" s="456"/>
      <c r="M10" s="1" t="n">
        <v>14850</v>
      </c>
      <c r="N10" s="1" t="n">
        <v>34650</v>
      </c>
    </row>
    <row r="11" customFormat="false" ht="12.75" hidden="false" customHeight="false" outlineLevel="0" collapsed="false">
      <c r="B11" s="456"/>
      <c r="C11" s="457" t="n">
        <v>1</v>
      </c>
      <c r="D11" s="463" t="n">
        <v>0.0036</v>
      </c>
      <c r="E11" s="464" t="n">
        <v>0.0082</v>
      </c>
      <c r="F11" s="463" t="n">
        <v>0.0127</v>
      </c>
      <c r="G11" s="465" t="n">
        <v>0.032</v>
      </c>
      <c r="H11" s="465" t="n">
        <v>0.0475</v>
      </c>
      <c r="I11" s="465" t="n">
        <v>0.056</v>
      </c>
      <c r="M11" s="1" t="n">
        <v>29700</v>
      </c>
      <c r="N11" s="1" t="n">
        <v>69300</v>
      </c>
    </row>
    <row r="12" customFormat="false" ht="12.75" hidden="false" customHeight="false" outlineLevel="0" collapsed="false">
      <c r="B12" s="456"/>
      <c r="C12" s="457"/>
      <c r="D12" s="463"/>
      <c r="E12" s="464"/>
      <c r="F12" s="463"/>
      <c r="G12" s="465"/>
      <c r="H12" s="465"/>
      <c r="I12" s="465"/>
      <c r="M12" s="1" t="n">
        <v>6282</v>
      </c>
      <c r="N12" s="1" t="n">
        <v>14658</v>
      </c>
    </row>
    <row r="13" customFormat="false" ht="12.75" hidden="false" customHeight="false" outlineLevel="0" collapsed="false">
      <c r="B13" s="456"/>
      <c r="C13" s="457" t="n">
        <v>2</v>
      </c>
      <c r="D13" s="463"/>
      <c r="E13" s="464" t="n">
        <v>0.0046</v>
      </c>
      <c r="F13" s="463" t="n">
        <v>0.0091</v>
      </c>
      <c r="G13" s="465" t="n">
        <v>0.0284</v>
      </c>
      <c r="H13" s="465" t="n">
        <v>0.0439</v>
      </c>
      <c r="I13" s="465" t="n">
        <v>0.0524</v>
      </c>
      <c r="M13" s="1" t="n">
        <v>89</v>
      </c>
      <c r="N13" s="1" t="n">
        <v>209</v>
      </c>
    </row>
    <row r="14" customFormat="false" ht="12.75" hidden="false" customHeight="false" outlineLevel="0" collapsed="false">
      <c r="B14" s="456"/>
      <c r="C14" s="457" t="s">
        <v>73</v>
      </c>
      <c r="D14" s="463"/>
      <c r="E14" s="464"/>
      <c r="F14" s="463"/>
      <c r="G14" s="465"/>
      <c r="H14" s="465"/>
      <c r="I14" s="465"/>
      <c r="M14" s="1" t="n">
        <f aca="false">SUM(M7:M13)</f>
        <v>89357</v>
      </c>
      <c r="N14" s="1" t="n">
        <f aca="false">SUM(N7:N13)</f>
        <v>208500</v>
      </c>
    </row>
    <row r="15" customFormat="false" ht="12.75" hidden="false" customHeight="false" outlineLevel="0" collapsed="false">
      <c r="B15" s="456"/>
      <c r="C15" s="457" t="n">
        <v>3</v>
      </c>
      <c r="D15" s="463"/>
      <c r="E15" s="464"/>
      <c r="F15" s="463" t="n">
        <v>0.0045</v>
      </c>
      <c r="G15" s="465" t="n">
        <v>0.0238</v>
      </c>
      <c r="H15" s="465" t="n">
        <v>0.0393</v>
      </c>
      <c r="I15" s="465" t="n">
        <v>0.0478</v>
      </c>
      <c r="M15" s="1" t="n">
        <f aca="false">+M14+N14</f>
        <v>297857</v>
      </c>
    </row>
    <row r="16" customFormat="false" ht="12.75" hidden="false" customHeight="false" outlineLevel="0" collapsed="false">
      <c r="B16" s="456"/>
      <c r="C16" s="457"/>
      <c r="D16" s="463"/>
      <c r="E16" s="464"/>
      <c r="F16" s="463"/>
      <c r="G16" s="465"/>
      <c r="H16" s="465"/>
      <c r="I16" s="465"/>
    </row>
    <row r="17" customFormat="false" ht="12.75" hidden="false" customHeight="false" outlineLevel="0" collapsed="false">
      <c r="B17" s="456"/>
      <c r="C17" s="457" t="n">
        <v>4</v>
      </c>
      <c r="D17" s="463"/>
      <c r="E17" s="464"/>
      <c r="F17" s="463"/>
      <c r="G17" s="465" t="n">
        <v>0.0193</v>
      </c>
      <c r="H17" s="465" t="n">
        <v>0.0348</v>
      </c>
      <c r="I17" s="465" t="n">
        <v>0.0433</v>
      </c>
    </row>
    <row r="18" customFormat="false" ht="12.75" hidden="false" customHeight="false" outlineLevel="0" collapsed="false">
      <c r="B18" s="456"/>
      <c r="C18" s="457"/>
      <c r="D18" s="463"/>
      <c r="E18" s="464"/>
      <c r="F18" s="463"/>
      <c r="G18" s="465"/>
      <c r="H18" s="465"/>
      <c r="I18" s="465"/>
    </row>
    <row r="19" customFormat="false" ht="12.75" hidden="false" customHeight="false" outlineLevel="0" collapsed="false">
      <c r="B19" s="456"/>
      <c r="C19" s="457" t="n">
        <v>5</v>
      </c>
      <c r="D19" s="463"/>
      <c r="E19" s="464"/>
      <c r="F19" s="463"/>
      <c r="G19" s="465"/>
      <c r="H19" s="465" t="n">
        <v>0.0155</v>
      </c>
      <c r="I19" s="465" t="n">
        <v>0.024</v>
      </c>
    </row>
    <row r="20" customFormat="false" ht="12.75" hidden="false" customHeight="false" outlineLevel="0" collapsed="false">
      <c r="B20" s="456"/>
      <c r="C20" s="457"/>
      <c r="D20" s="463"/>
      <c r="E20" s="464"/>
      <c r="F20" s="463"/>
      <c r="G20" s="465"/>
      <c r="H20" s="465"/>
      <c r="I20" s="465"/>
    </row>
    <row r="21" customFormat="false" ht="12.75" hidden="false" customHeight="false" outlineLevel="0" collapsed="false">
      <c r="B21" s="456"/>
      <c r="C21" s="457" t="n">
        <v>6</v>
      </c>
      <c r="D21" s="463"/>
      <c r="E21" s="464"/>
      <c r="F21" s="463"/>
      <c r="G21" s="465"/>
      <c r="H21" s="465"/>
      <c r="I21" s="465" t="n">
        <v>0.0085</v>
      </c>
    </row>
    <row r="22" customFormat="false" ht="12.75" hidden="false" customHeight="false" outlineLevel="0" collapsed="false">
      <c r="B22" s="456"/>
      <c r="C22" s="457"/>
      <c r="D22" s="463"/>
      <c r="E22" s="464"/>
      <c r="F22" s="463"/>
      <c r="G22" s="465"/>
      <c r="H22" s="465"/>
      <c r="I22" s="465"/>
    </row>
    <row r="23" customFormat="false" ht="12.75" hidden="false" customHeight="false" outlineLevel="0" collapsed="false">
      <c r="B23" s="456"/>
      <c r="C23" s="457"/>
      <c r="D23" s="457"/>
      <c r="E23" s="462"/>
      <c r="F23" s="457"/>
      <c r="G23" s="456"/>
      <c r="H23" s="456"/>
      <c r="I23" s="456"/>
    </row>
    <row r="24" customFormat="false" ht="12.75" hidden="false" customHeight="false" outlineLevel="0" collapsed="false">
      <c r="B24" s="456"/>
      <c r="C24" s="462" t="s">
        <v>698</v>
      </c>
      <c r="D24" s="457"/>
      <c r="E24" s="462"/>
      <c r="F24" s="457"/>
      <c r="G24" s="456"/>
      <c r="H24" s="456"/>
      <c r="I24" s="456"/>
    </row>
  </sheetData>
  <mergeCells count="1">
    <mergeCell ref="D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P47" activeCellId="0" sqref="P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3" width="10.85"/>
    <col collapsed="false" customWidth="true" hidden="false" outlineLevel="0" max="3" min="3" style="43" width="2.84"/>
    <col collapsed="false" customWidth="true" hidden="false" outlineLevel="0" max="5" min="4" style="43" width="10.85"/>
    <col collapsed="false" customWidth="true" hidden="false" outlineLevel="0" max="6" min="6" style="43" width="2.84"/>
    <col collapsed="false" customWidth="true" hidden="false" outlineLevel="0" max="8" min="7" style="43" width="10.85"/>
    <col collapsed="false" customWidth="true" hidden="false" outlineLevel="0" max="9" min="9" style="43" width="2.84"/>
    <col collapsed="false" customWidth="false" hidden="true" outlineLevel="0" max="11" min="10" style="466" width="9.06"/>
    <col collapsed="false" customWidth="true" hidden="true" outlineLevel="0" max="12" min="12" style="43" width="3.42"/>
    <col collapsed="false" customWidth="false" hidden="true" outlineLevel="0" max="14" min="13" style="466" width="9.06"/>
    <col collapsed="false" customWidth="true" hidden="true" outlineLevel="0" max="15" min="15" style="43" width="3.42"/>
    <col collapsed="false" customWidth="true" hidden="false" outlineLevel="0" max="16" min="16" style="43" width="9.28"/>
    <col collapsed="false" customWidth="true" hidden="false" outlineLevel="0" max="17" min="17" style="43" width="9.14"/>
  </cols>
  <sheetData>
    <row r="1" customFormat="false" ht="13.5" hidden="false" customHeight="false" outlineLevel="0" collapsed="false">
      <c r="M1" s="200"/>
      <c r="N1" s="200"/>
    </row>
    <row r="2" customFormat="false" ht="13.5" hidden="false" customHeight="false" outlineLevel="0" collapsed="false">
      <c r="A2" s="342" t="s">
        <v>73</v>
      </c>
      <c r="B2" s="342"/>
      <c r="C2" s="342"/>
      <c r="D2" s="348"/>
      <c r="E2" s="353"/>
      <c r="F2" s="342"/>
      <c r="G2" s="342"/>
      <c r="H2" s="345" t="s">
        <v>427</v>
      </c>
      <c r="I2" s="342"/>
      <c r="M2" s="200"/>
      <c r="N2" s="200"/>
    </row>
    <row r="3" customFormat="false" ht="12.75" hidden="false" customHeight="false" outlineLevel="0" collapsed="false">
      <c r="A3" s="351" t="s">
        <v>430</v>
      </c>
      <c r="B3" s="8" t="n">
        <v>2.73</v>
      </c>
      <c r="C3" s="342"/>
      <c r="D3" s="348" t="s">
        <v>431</v>
      </c>
      <c r="E3" s="353" t="n">
        <v>5.02</v>
      </c>
      <c r="F3" s="342"/>
      <c r="G3" s="348" t="s">
        <v>431</v>
      </c>
      <c r="H3" s="350" t="n">
        <f aca="false">+E3</f>
        <v>5.02</v>
      </c>
      <c r="I3" s="342"/>
      <c r="J3" s="467" t="s">
        <v>511</v>
      </c>
      <c r="K3" s="468" t="n">
        <v>4.88</v>
      </c>
      <c r="M3" s="469" t="s">
        <v>385</v>
      </c>
      <c r="N3" s="352" t="n">
        <v>2.97</v>
      </c>
      <c r="P3" s="222" t="s">
        <v>435</v>
      </c>
      <c r="Q3" s="353" t="n">
        <v>2.79</v>
      </c>
    </row>
    <row r="4" customFormat="false" ht="12.75" hidden="false" customHeight="false" outlineLevel="0" collapsed="false">
      <c r="A4" s="351" t="s">
        <v>440</v>
      </c>
      <c r="B4" s="357" t="n">
        <v>2.715</v>
      </c>
      <c r="C4" s="342"/>
      <c r="D4" s="348" t="s">
        <v>441</v>
      </c>
      <c r="E4" s="353" t="n">
        <v>5.03</v>
      </c>
      <c r="F4" s="342"/>
      <c r="G4" s="348" t="s">
        <v>441</v>
      </c>
      <c r="H4" s="350" t="n">
        <f aca="false">+E4</f>
        <v>5.03</v>
      </c>
      <c r="I4" s="342"/>
      <c r="J4" s="467" t="s">
        <v>444</v>
      </c>
      <c r="M4" s="470" t="s">
        <v>444</v>
      </c>
      <c r="N4" s="200"/>
      <c r="P4" s="222" t="s">
        <v>444</v>
      </c>
    </row>
    <row r="5" customFormat="false" ht="12.75" hidden="false" customHeight="false" outlineLevel="0" collapsed="false">
      <c r="A5" s="351" t="s">
        <v>287</v>
      </c>
      <c r="B5" s="359" t="n">
        <v>2.985</v>
      </c>
      <c r="C5" s="342"/>
      <c r="D5" s="348" t="s">
        <v>446</v>
      </c>
      <c r="E5" s="353" t="n">
        <v>4.95</v>
      </c>
      <c r="F5" s="342"/>
      <c r="G5" s="348" t="s">
        <v>446</v>
      </c>
      <c r="H5" s="350" t="n">
        <f aca="false">+E5</f>
        <v>4.95</v>
      </c>
      <c r="I5" s="342"/>
      <c r="M5" s="200"/>
      <c r="N5" s="200"/>
      <c r="Q5" s="358"/>
    </row>
    <row r="6" customFormat="false" ht="12.75" hidden="false" customHeight="false" outlineLevel="0" collapsed="false">
      <c r="A6" s="172"/>
      <c r="B6" s="172"/>
      <c r="C6" s="310"/>
      <c r="D6" s="351" t="s">
        <v>449</v>
      </c>
      <c r="E6" s="369" t="n">
        <v>5.1</v>
      </c>
      <c r="F6" s="310"/>
      <c r="G6" s="351" t="s">
        <v>449</v>
      </c>
      <c r="H6" s="350" t="n">
        <f aca="false">+E6</f>
        <v>5.1</v>
      </c>
      <c r="I6" s="310"/>
      <c r="J6" s="471"/>
      <c r="K6" s="471"/>
      <c r="L6" s="172"/>
      <c r="M6" s="215"/>
      <c r="N6" s="215"/>
      <c r="O6" s="172"/>
      <c r="P6" s="172"/>
      <c r="Q6" s="172"/>
    </row>
    <row r="7" customFormat="false" ht="12.75" hidden="false" customHeight="false" outlineLevel="0" collapsed="false">
      <c r="A7" s="234"/>
      <c r="B7" s="234"/>
      <c r="C7" s="364"/>
      <c r="D7" s="363" t="s">
        <v>385</v>
      </c>
      <c r="E7" s="472" t="n">
        <v>5.695</v>
      </c>
      <c r="F7" s="364"/>
      <c r="G7" s="363" t="s">
        <v>385</v>
      </c>
      <c r="H7" s="350" t="n">
        <f aca="false">+E7</f>
        <v>5.695</v>
      </c>
      <c r="I7" s="364"/>
      <c r="J7" s="473"/>
      <c r="K7" s="473"/>
      <c r="L7" s="138"/>
      <c r="M7" s="474"/>
      <c r="N7" s="474"/>
      <c r="O7" s="138"/>
      <c r="P7" s="138"/>
      <c r="Q7" s="138"/>
    </row>
    <row r="8" customFormat="false" ht="12.75" hidden="false" customHeight="false" outlineLevel="0" collapsed="false">
      <c r="A8" s="368" t="s">
        <v>699</v>
      </c>
      <c r="B8" s="234"/>
      <c r="C8" s="367"/>
      <c r="D8" s="351" t="s">
        <v>700</v>
      </c>
      <c r="E8" s="369"/>
      <c r="F8" s="342"/>
      <c r="G8" s="351" t="s">
        <v>700</v>
      </c>
      <c r="H8" s="369"/>
      <c r="I8" s="342"/>
      <c r="J8" s="466" t="s">
        <v>459</v>
      </c>
      <c r="M8" s="466" t="s">
        <v>701</v>
      </c>
      <c r="P8" s="43" t="s">
        <v>459</v>
      </c>
    </row>
    <row r="9" customFormat="false" ht="12.75" hidden="false" customHeight="false" outlineLevel="0" collapsed="false">
      <c r="A9" s="234" t="s">
        <v>464</v>
      </c>
      <c r="B9" s="234"/>
      <c r="C9" s="263"/>
      <c r="D9" s="19" t="s">
        <v>465</v>
      </c>
      <c r="E9" s="369"/>
      <c r="F9" s="342"/>
      <c r="G9" s="19" t="s">
        <v>466</v>
      </c>
      <c r="H9" s="369"/>
      <c r="I9" s="342"/>
      <c r="J9" s="466" t="s">
        <v>702</v>
      </c>
      <c r="M9" s="466" t="s">
        <v>481</v>
      </c>
      <c r="P9" s="43" t="s">
        <v>702</v>
      </c>
    </row>
    <row r="10" customFormat="false" ht="12.75" hidden="false" customHeight="false" outlineLevel="0" collapsed="false">
      <c r="A10" s="234" t="s">
        <v>475</v>
      </c>
      <c r="B10" s="234"/>
      <c r="C10" s="263"/>
      <c r="D10" s="367" t="s">
        <v>476</v>
      </c>
      <c r="E10" s="369"/>
      <c r="F10" s="342"/>
      <c r="G10" s="367" t="s">
        <v>476</v>
      </c>
      <c r="H10" s="369"/>
      <c r="I10" s="342"/>
      <c r="J10" s="466" t="s">
        <v>482</v>
      </c>
      <c r="M10" s="466" t="s">
        <v>491</v>
      </c>
      <c r="P10" s="43" t="s">
        <v>482</v>
      </c>
    </row>
    <row r="11" customFormat="false" ht="12.75" hidden="false" customHeight="false" outlineLevel="0" collapsed="false">
      <c r="A11" s="19" t="s">
        <v>703</v>
      </c>
      <c r="B11" s="234"/>
      <c r="C11" s="263"/>
      <c r="D11" s="367" t="s">
        <v>487</v>
      </c>
      <c r="E11" s="369"/>
      <c r="F11" s="342"/>
      <c r="G11" s="367" t="s">
        <v>487</v>
      </c>
      <c r="H11" s="369"/>
      <c r="I11" s="342"/>
      <c r="J11" s="466" t="s">
        <v>492</v>
      </c>
      <c r="P11" s="43" t="s">
        <v>492</v>
      </c>
    </row>
    <row r="12" customFormat="false" ht="12.75" hidden="false" customHeight="false" outlineLevel="0" collapsed="false">
      <c r="A12" s="376"/>
      <c r="B12" s="377"/>
      <c r="C12" s="342"/>
      <c r="D12" s="367" t="s">
        <v>704</v>
      </c>
      <c r="E12" s="353"/>
      <c r="F12" s="342"/>
      <c r="G12" s="348" t="s">
        <v>83</v>
      </c>
      <c r="H12" s="353"/>
      <c r="I12" s="342"/>
      <c r="J12" s="456" t="s">
        <v>705</v>
      </c>
      <c r="M12" s="466" t="s">
        <v>704</v>
      </c>
      <c r="P12" s="43" t="s">
        <v>706</v>
      </c>
    </row>
    <row r="13" customFormat="false" ht="12.75" hidden="false" customHeight="false" outlineLevel="0" collapsed="false">
      <c r="A13" s="382" t="s">
        <v>501</v>
      </c>
      <c r="B13" s="385" t="s">
        <v>502</v>
      </c>
      <c r="C13" s="375"/>
      <c r="D13" s="386" t="s">
        <v>503</v>
      </c>
      <c r="E13" s="383" t="s">
        <v>504</v>
      </c>
      <c r="F13" s="375"/>
      <c r="G13" s="387" t="s">
        <v>505</v>
      </c>
      <c r="H13" s="388" t="s">
        <v>504</v>
      </c>
      <c r="I13" s="375"/>
      <c r="J13" s="466" t="s">
        <v>707</v>
      </c>
      <c r="M13" s="475" t="s">
        <v>216</v>
      </c>
      <c r="N13" s="476" t="s">
        <v>403</v>
      </c>
      <c r="P13" s="43" t="s">
        <v>511</v>
      </c>
      <c r="Q13" s="43" t="s">
        <v>512</v>
      </c>
    </row>
    <row r="14" customFormat="false" ht="12.75" hidden="false" customHeight="false" outlineLevel="0" collapsed="false">
      <c r="A14" s="391" t="s">
        <v>518</v>
      </c>
      <c r="B14" s="392" t="n">
        <v>0.0439</v>
      </c>
      <c r="C14" s="12"/>
      <c r="D14" s="395" t="s">
        <v>518</v>
      </c>
      <c r="E14" s="392" t="n">
        <v>0.0088</v>
      </c>
      <c r="F14" s="12"/>
      <c r="G14" s="396" t="s">
        <v>518</v>
      </c>
      <c r="H14" s="397" t="n">
        <v>0.1895</v>
      </c>
      <c r="I14" s="12"/>
      <c r="J14" s="477" t="s">
        <v>518</v>
      </c>
      <c r="K14" s="478" t="n">
        <f aca="false">0.005+0.002</f>
        <v>0.007</v>
      </c>
      <c r="M14" s="477" t="s">
        <v>518</v>
      </c>
      <c r="N14" s="478" t="n">
        <v>0.0112</v>
      </c>
      <c r="P14" s="393" t="s">
        <v>518</v>
      </c>
      <c r="Q14" s="397" t="n">
        <f aca="false">0.004</f>
        <v>0.004</v>
      </c>
    </row>
    <row r="15" customFormat="false" ht="12.75" hidden="false" customHeight="false" outlineLevel="0" collapsed="false">
      <c r="A15" s="391" t="s">
        <v>183</v>
      </c>
      <c r="B15" s="392" t="n">
        <f aca="false">0.0021+0.007+0.0225</f>
        <v>0.0316</v>
      </c>
      <c r="C15" s="12"/>
      <c r="D15" s="395" t="s">
        <v>183</v>
      </c>
      <c r="E15" s="392" t="n">
        <f aca="false">0.0022+0.007</f>
        <v>0.0092</v>
      </c>
      <c r="F15" s="12"/>
      <c r="G15" s="396" t="s">
        <v>183</v>
      </c>
      <c r="H15" s="397" t="n">
        <f aca="false">0.0022+0.007</f>
        <v>0.0092</v>
      </c>
      <c r="I15" s="12"/>
      <c r="J15" s="477" t="s">
        <v>183</v>
      </c>
      <c r="K15" s="478" t="n">
        <f aca="false">0.0022+0.0072</f>
        <v>0.0094</v>
      </c>
      <c r="M15" s="477" t="s">
        <v>183</v>
      </c>
      <c r="N15" s="478" t="n">
        <f aca="false">0.0022+0.0072</f>
        <v>0.0094</v>
      </c>
      <c r="P15" s="393" t="s">
        <v>183</v>
      </c>
      <c r="Q15" s="397" t="n">
        <f aca="false">0.0021+0.007</f>
        <v>0.0091</v>
      </c>
    </row>
    <row r="16" customFormat="false" ht="12.75" hidden="false" customHeight="false" outlineLevel="0" collapsed="false">
      <c r="A16" s="399" t="n">
        <v>0.0084</v>
      </c>
      <c r="B16" s="403" t="n">
        <f aca="false">(B$3)/(1-A16)-B$3</f>
        <v>0.0231262605889468</v>
      </c>
      <c r="C16" s="14"/>
      <c r="D16" s="399" t="n">
        <v>0.0303</v>
      </c>
      <c r="E16" s="400" t="n">
        <f aca="false">(E$5)/(1-D16)-E$5</f>
        <v>0.154671547901413</v>
      </c>
      <c r="F16" s="14"/>
      <c r="G16" s="401" t="n">
        <v>0.0303</v>
      </c>
      <c r="H16" s="402" t="n">
        <f aca="false">(H$5)/(1-G16)-H$5</f>
        <v>0.154671547901413</v>
      </c>
      <c r="I16" s="14"/>
      <c r="J16" s="477" t="s">
        <v>708</v>
      </c>
      <c r="K16" s="479" t="n">
        <f aca="false">+K3/(1-0.0022)-K3</f>
        <v>0.0107596712768085</v>
      </c>
      <c r="M16" s="477" t="s">
        <v>709</v>
      </c>
      <c r="N16" s="479" t="n">
        <f aca="false">+N3/(1-0.0058)-N3</f>
        <v>0.0173264936632469</v>
      </c>
      <c r="P16" s="401" t="n">
        <v>0.0023</v>
      </c>
      <c r="Q16" s="402" t="n">
        <f aca="false">+Q$3/(1-P16)-Q$3</f>
        <v>0.00643179312418551</v>
      </c>
    </row>
    <row r="17" customFormat="false" ht="12.75" hidden="false" customHeight="false" outlineLevel="0" collapsed="false">
      <c r="A17" s="404"/>
      <c r="B17" s="405" t="n">
        <f aca="false">SUM(B14:B16)</f>
        <v>0.0986262605889469</v>
      </c>
      <c r="C17" s="17"/>
      <c r="D17" s="395"/>
      <c r="E17" s="405" t="n">
        <f aca="false">SUM(E14:E16)</f>
        <v>0.172671547901413</v>
      </c>
      <c r="F17" s="17"/>
      <c r="G17" s="401"/>
      <c r="H17" s="402" t="n">
        <f aca="false">SUM(H14:H16)</f>
        <v>0.353371547901413</v>
      </c>
      <c r="I17" s="17"/>
      <c r="J17" s="480"/>
      <c r="K17" s="481" t="n">
        <f aca="false">SUM(K14:K16)</f>
        <v>0.0271596712768085</v>
      </c>
      <c r="M17" s="480"/>
      <c r="N17" s="481" t="n">
        <f aca="false">SUM(N14:N16)</f>
        <v>0.0379264936632469</v>
      </c>
      <c r="P17" s="407"/>
      <c r="Q17" s="406" t="n">
        <f aca="false">SUM(Q14:Q16)</f>
        <v>0.0195317931241855</v>
      </c>
    </row>
    <row r="18" customFormat="false" ht="12.75" hidden="false" customHeight="false" outlineLevel="0" collapsed="false">
      <c r="A18" s="409" t="s">
        <v>501</v>
      </c>
      <c r="B18" s="410" t="s">
        <v>530</v>
      </c>
      <c r="C18" s="375"/>
      <c r="D18" s="386" t="s">
        <v>503</v>
      </c>
      <c r="E18" s="383" t="s">
        <v>531</v>
      </c>
      <c r="F18" s="375"/>
      <c r="G18" s="387" t="s">
        <v>505</v>
      </c>
      <c r="H18" s="388" t="s">
        <v>531</v>
      </c>
      <c r="I18" s="375"/>
    </row>
    <row r="19" customFormat="false" ht="12.75" hidden="false" customHeight="false" outlineLevel="0" collapsed="false">
      <c r="A19" s="391" t="s">
        <v>518</v>
      </c>
      <c r="B19" s="392" t="n">
        <v>0.0669</v>
      </c>
      <c r="C19" s="12"/>
      <c r="D19" s="395" t="s">
        <v>518</v>
      </c>
      <c r="E19" s="392" t="n">
        <v>0.0096</v>
      </c>
      <c r="F19" s="12"/>
      <c r="G19" s="396" t="s">
        <v>518</v>
      </c>
      <c r="H19" s="397" t="n">
        <v>0.1953</v>
      </c>
      <c r="I19" s="12"/>
      <c r="J19" s="466" t="s">
        <v>710</v>
      </c>
      <c r="M19" s="475" t="s">
        <v>216</v>
      </c>
      <c r="N19" s="476" t="s">
        <v>537</v>
      </c>
      <c r="P19" s="43" t="s">
        <v>511</v>
      </c>
      <c r="Q19" s="43" t="s">
        <v>538</v>
      </c>
    </row>
    <row r="20" customFormat="false" ht="12.75" hidden="false" customHeight="false" outlineLevel="0" collapsed="false">
      <c r="A20" s="391" t="s">
        <v>183</v>
      </c>
      <c r="B20" s="392" t="n">
        <f aca="false">0.0022+0.007+0.0225</f>
        <v>0.0317</v>
      </c>
      <c r="C20" s="12"/>
      <c r="D20" s="395" t="s">
        <v>183</v>
      </c>
      <c r="E20" s="392" t="n">
        <f aca="false">0.0022</f>
        <v>0.0022</v>
      </c>
      <c r="F20" s="12"/>
      <c r="G20" s="396" t="s">
        <v>183</v>
      </c>
      <c r="H20" s="397" t="n">
        <f aca="false">0.0022+0.007</f>
        <v>0.0092</v>
      </c>
      <c r="I20" s="12"/>
      <c r="J20" s="477" t="s">
        <v>518</v>
      </c>
      <c r="K20" s="478" t="n">
        <f aca="false">0.0303+0.002</f>
        <v>0.0323</v>
      </c>
      <c r="M20" s="477" t="s">
        <v>518</v>
      </c>
      <c r="N20" s="478" t="n">
        <v>0</v>
      </c>
      <c r="P20" s="393" t="s">
        <v>518</v>
      </c>
      <c r="Q20" s="397" t="n">
        <f aca="false">0.022</f>
        <v>0.022</v>
      </c>
    </row>
    <row r="21" customFormat="false" ht="12.75" hidden="false" customHeight="false" outlineLevel="0" collapsed="false">
      <c r="A21" s="399" t="n">
        <v>0.0244</v>
      </c>
      <c r="B21" s="403" t="n">
        <f aca="false">(B$3)/(1-A21)-B$3</f>
        <v>0.0682779827798279</v>
      </c>
      <c r="C21" s="14"/>
      <c r="D21" s="399" t="n">
        <v>0.0328</v>
      </c>
      <c r="E21" s="400" t="n">
        <f aca="false">(E$5)/(1-D21)-E$5</f>
        <v>0.16786600496278</v>
      </c>
      <c r="F21" s="14"/>
      <c r="G21" s="401" t="n">
        <v>0.0328</v>
      </c>
      <c r="H21" s="402" t="n">
        <f aca="false">(H$5)/(1-G21)-H$5</f>
        <v>0.16786600496278</v>
      </c>
      <c r="I21" s="14"/>
      <c r="J21" s="477" t="s">
        <v>183</v>
      </c>
      <c r="K21" s="478" t="n">
        <f aca="false">0.0072+0.0022</f>
        <v>0.0094</v>
      </c>
      <c r="M21" s="477" t="s">
        <v>183</v>
      </c>
      <c r="N21" s="478" t="n">
        <f aca="false">0.0022+0.0072</f>
        <v>0.0094</v>
      </c>
      <c r="P21" s="393" t="s">
        <v>183</v>
      </c>
      <c r="Q21" s="397" t="n">
        <f aca="false">0.007+0.0021</f>
        <v>0.0091</v>
      </c>
    </row>
    <row r="22" customFormat="false" ht="12.75" hidden="false" customHeight="false" outlineLevel="0" collapsed="false">
      <c r="A22" s="404"/>
      <c r="B22" s="405" t="n">
        <f aca="false">SUM(B19:B21)</f>
        <v>0.166877982779828</v>
      </c>
      <c r="C22" s="17"/>
      <c r="D22" s="395"/>
      <c r="E22" s="405" t="n">
        <f aca="false">SUM(E19:E21)</f>
        <v>0.17966600496278</v>
      </c>
      <c r="F22" s="17"/>
      <c r="G22" s="396"/>
      <c r="H22" s="406" t="n">
        <f aca="false">SUM(H19:H21)</f>
        <v>0.37236600496278</v>
      </c>
      <c r="I22" s="17"/>
      <c r="J22" s="477" t="s">
        <v>711</v>
      </c>
      <c r="K22" s="479" t="n">
        <f aca="false">+K3/(1-0.0268)-K3</f>
        <v>0.134385532264694</v>
      </c>
      <c r="M22" s="477" t="s">
        <v>709</v>
      </c>
      <c r="N22" s="479" t="n">
        <f aca="false">+N3/(1-0.0058)-N3</f>
        <v>0.0173264936632469</v>
      </c>
      <c r="P22" s="401" t="n">
        <v>0.0335</v>
      </c>
      <c r="Q22" s="402" t="n">
        <f aca="false">+Q$3/(1-P22)-Q$3</f>
        <v>0.0967046042421105</v>
      </c>
    </row>
    <row r="23" customFormat="false" ht="12.75" hidden="false" customHeight="false" outlineLevel="0" collapsed="false">
      <c r="A23" s="409" t="s">
        <v>501</v>
      </c>
      <c r="B23" s="410" t="s">
        <v>548</v>
      </c>
      <c r="C23" s="17"/>
      <c r="D23" s="415" t="s">
        <v>503</v>
      </c>
      <c r="E23" s="416" t="s">
        <v>549</v>
      </c>
      <c r="F23" s="17"/>
      <c r="G23" s="387" t="s">
        <v>505</v>
      </c>
      <c r="H23" s="388" t="s">
        <v>549</v>
      </c>
      <c r="I23" s="17"/>
      <c r="J23" s="480"/>
      <c r="K23" s="481" t="n">
        <f aca="false">SUM(K20:K22)</f>
        <v>0.176085532264694</v>
      </c>
      <c r="M23" s="480"/>
      <c r="N23" s="481" t="n">
        <f aca="false">SUM(N20:N22)</f>
        <v>0.0267264936632469</v>
      </c>
      <c r="P23" s="407"/>
      <c r="Q23" s="406" t="n">
        <f aca="false">SUM(Q20:Q22)</f>
        <v>0.12780460424211</v>
      </c>
    </row>
    <row r="24" customFormat="false" ht="12.75" hidden="false" customHeight="false" outlineLevel="0" collapsed="false">
      <c r="A24" s="391" t="s">
        <v>518</v>
      </c>
      <c r="B24" s="392" t="n">
        <v>0.088</v>
      </c>
      <c r="C24" s="10"/>
      <c r="D24" s="395" t="s">
        <v>518</v>
      </c>
      <c r="E24" s="392" t="n">
        <v>0.014</v>
      </c>
      <c r="F24" s="10"/>
      <c r="G24" s="396" t="s">
        <v>518</v>
      </c>
      <c r="H24" s="397" t="n">
        <v>0.2297</v>
      </c>
      <c r="I24" s="10"/>
    </row>
    <row r="25" customFormat="false" ht="12.75" hidden="false" customHeight="false" outlineLevel="0" collapsed="false">
      <c r="A25" s="391" t="s">
        <v>183</v>
      </c>
      <c r="B25" s="392" t="n">
        <f aca="false">0.0021+0.007</f>
        <v>0.0091</v>
      </c>
      <c r="C25" s="10"/>
      <c r="D25" s="395" t="s">
        <v>183</v>
      </c>
      <c r="E25" s="392" t="n">
        <f aca="false">0.0022+0.007</f>
        <v>0.0092</v>
      </c>
      <c r="F25" s="10"/>
      <c r="G25" s="396" t="s">
        <v>183</v>
      </c>
      <c r="H25" s="397" t="n">
        <f aca="false">0.0022+0.007</f>
        <v>0.0092</v>
      </c>
      <c r="I25" s="10"/>
      <c r="J25" s="466" t="s">
        <v>712</v>
      </c>
      <c r="P25" s="43" t="s">
        <v>511</v>
      </c>
      <c r="Q25" s="43" t="s">
        <v>554</v>
      </c>
    </row>
    <row r="26" customFormat="false" ht="12.75" hidden="false" customHeight="false" outlineLevel="0" collapsed="false">
      <c r="A26" s="399" t="n">
        <v>0.0443</v>
      </c>
      <c r="B26" s="403" t="n">
        <f aca="false">(B$3)/(1-A26)-B$3</f>
        <v>0.12654494088103</v>
      </c>
      <c r="C26" s="14"/>
      <c r="D26" s="399" t="n">
        <v>0.046</v>
      </c>
      <c r="E26" s="400" t="n">
        <f aca="false">(E$5)/(1-D26)-E$5</f>
        <v>0.238679245283019</v>
      </c>
      <c r="F26" s="14"/>
      <c r="G26" s="401" t="n">
        <v>0.046</v>
      </c>
      <c r="H26" s="402" t="n">
        <f aca="false">(H$5)/(1-G26)-H$5</f>
        <v>0.238679245283019</v>
      </c>
      <c r="I26" s="14"/>
      <c r="J26" s="477" t="s">
        <v>518</v>
      </c>
      <c r="K26" s="478" t="n">
        <f aca="false">0.0275+0.002</f>
        <v>0.0295</v>
      </c>
      <c r="P26" s="393" t="s">
        <v>518</v>
      </c>
      <c r="Q26" s="397" t="n">
        <v>0.0202</v>
      </c>
    </row>
    <row r="27" customFormat="false" ht="12.75" hidden="false" customHeight="false" outlineLevel="0" collapsed="false">
      <c r="A27" s="404"/>
      <c r="B27" s="405" t="n">
        <f aca="false">SUM(B24:B26)</f>
        <v>0.22364494088103</v>
      </c>
      <c r="C27" s="17"/>
      <c r="D27" s="395"/>
      <c r="E27" s="405" t="n">
        <f aca="false">SUM(E24:E26)</f>
        <v>0.261879245283019</v>
      </c>
      <c r="F27" s="17"/>
      <c r="G27" s="396"/>
      <c r="H27" s="406" t="n">
        <f aca="false">SUM(H24:H26)</f>
        <v>0.477579245283019</v>
      </c>
      <c r="I27" s="17"/>
      <c r="J27" s="477" t="s">
        <v>183</v>
      </c>
      <c r="K27" s="478" t="n">
        <f aca="false">0.0072+0.0022</f>
        <v>0.0094</v>
      </c>
      <c r="P27" s="393" t="s">
        <v>183</v>
      </c>
      <c r="Q27" s="397" t="n">
        <f aca="false">0.007+0.0021</f>
        <v>0.0091</v>
      </c>
    </row>
    <row r="28" customFormat="false" ht="12.75" hidden="false" customHeight="false" outlineLevel="0" collapsed="false">
      <c r="A28" s="409" t="s">
        <v>501</v>
      </c>
      <c r="B28" s="417" t="s">
        <v>564</v>
      </c>
      <c r="C28" s="384"/>
      <c r="D28" s="386" t="s">
        <v>503</v>
      </c>
      <c r="E28" s="383" t="s">
        <v>565</v>
      </c>
      <c r="F28" s="384"/>
      <c r="G28" s="387" t="s">
        <v>505</v>
      </c>
      <c r="H28" s="388" t="s">
        <v>566</v>
      </c>
      <c r="I28" s="384"/>
      <c r="J28" s="477" t="s">
        <v>711</v>
      </c>
      <c r="K28" s="479" t="n">
        <f aca="false">+K3/(1-0.0268)-K3</f>
        <v>0.134385532264694</v>
      </c>
      <c r="P28" s="401" t="n">
        <v>0.0335</v>
      </c>
      <c r="Q28" s="402" t="n">
        <f aca="false">+Q$3/(1-P28)-Q$3</f>
        <v>0.0967046042421105</v>
      </c>
    </row>
    <row r="29" customFormat="false" ht="12.75" hidden="false" customHeight="false" outlineLevel="0" collapsed="false">
      <c r="A29" s="404" t="s">
        <v>518</v>
      </c>
      <c r="B29" s="392" t="n">
        <v>0.0978</v>
      </c>
      <c r="C29" s="12"/>
      <c r="D29" s="395" t="s">
        <v>518</v>
      </c>
      <c r="E29" s="392" t="n">
        <v>0.0281</v>
      </c>
      <c r="F29" s="12"/>
      <c r="G29" s="396" t="s">
        <v>518</v>
      </c>
      <c r="H29" s="397" t="n">
        <v>0.5242</v>
      </c>
      <c r="I29" s="12"/>
      <c r="J29" s="480"/>
      <c r="K29" s="481" t="n">
        <f aca="false">SUM(K26:K28)</f>
        <v>0.173285532264694</v>
      </c>
      <c r="P29" s="407"/>
      <c r="Q29" s="406" t="n">
        <f aca="false">SUM(Q26:Q28)</f>
        <v>0.12600460424211</v>
      </c>
    </row>
    <row r="30" customFormat="false" ht="12.75" hidden="false" customHeight="false" outlineLevel="0" collapsed="false">
      <c r="A30" s="404" t="s">
        <v>183</v>
      </c>
      <c r="B30" s="392" t="n">
        <f aca="false">0.0021</f>
        <v>0.0021</v>
      </c>
      <c r="C30" s="12"/>
      <c r="D30" s="395" t="s">
        <v>183</v>
      </c>
      <c r="E30" s="392" t="n">
        <f aca="false">0.0022+0.007</f>
        <v>0.0092</v>
      </c>
      <c r="F30" s="12"/>
      <c r="G30" s="396" t="s">
        <v>183</v>
      </c>
      <c r="H30" s="397" t="n">
        <f aca="false">0.0022+0.007</f>
        <v>0.0092</v>
      </c>
      <c r="I30" s="12"/>
    </row>
    <row r="31" customFormat="false" ht="12.75" hidden="false" customHeight="false" outlineLevel="0" collapsed="false">
      <c r="A31" s="399" t="n">
        <v>0.0504</v>
      </c>
      <c r="B31" s="403" t="n">
        <f aca="false">(B$3)/(1-A31)-B$3</f>
        <v>0.144894692502106</v>
      </c>
      <c r="C31" s="14"/>
      <c r="D31" s="399" t="n">
        <v>0.0744</v>
      </c>
      <c r="E31" s="400" t="n">
        <f aca="false">(E$5)/(1-D31)-E$5</f>
        <v>0.397882454624027</v>
      </c>
      <c r="F31" s="14"/>
      <c r="G31" s="401" t="n">
        <v>0.0988</v>
      </c>
      <c r="H31" s="402" t="n">
        <f aca="false">(H$5)/(1-G31)-H$5</f>
        <v>0.542676431424767</v>
      </c>
      <c r="I31" s="14"/>
      <c r="J31" s="466" t="s">
        <v>713</v>
      </c>
      <c r="P31" s="43" t="s">
        <v>511</v>
      </c>
      <c r="Q31" s="43" t="s">
        <v>571</v>
      </c>
    </row>
    <row r="32" customFormat="false" ht="12.75" hidden="false" customHeight="false" outlineLevel="0" collapsed="false">
      <c r="A32" s="404"/>
      <c r="B32" s="405" t="n">
        <f aca="false">SUM(B29:B31)</f>
        <v>0.244794692502106</v>
      </c>
      <c r="C32" s="17"/>
      <c r="D32" s="395"/>
      <c r="E32" s="405" t="n">
        <f aca="false">SUM(E29:E31)</f>
        <v>0.435182454624027</v>
      </c>
      <c r="F32" s="17"/>
      <c r="G32" s="396"/>
      <c r="H32" s="406" t="n">
        <f aca="false">SUM(H29:H31)</f>
        <v>1.07607643142477</v>
      </c>
      <c r="I32" s="17"/>
      <c r="J32" s="477" t="s">
        <v>518</v>
      </c>
      <c r="K32" s="478" t="n">
        <f aca="false">0.0152+0.002</f>
        <v>0.0172</v>
      </c>
      <c r="P32" s="393" t="s">
        <v>518</v>
      </c>
      <c r="Q32" s="397" t="n">
        <v>0.0117</v>
      </c>
    </row>
    <row r="33" customFormat="false" ht="12.75" hidden="false" customHeight="false" outlineLevel="0" collapsed="false">
      <c r="A33" s="409" t="s">
        <v>501</v>
      </c>
      <c r="B33" s="417" t="s">
        <v>577</v>
      </c>
      <c r="C33" s="384"/>
      <c r="D33" s="386" t="s">
        <v>503</v>
      </c>
      <c r="E33" s="383" t="s">
        <v>566</v>
      </c>
      <c r="F33" s="384"/>
      <c r="G33" s="387" t="s">
        <v>505</v>
      </c>
      <c r="H33" s="388" t="s">
        <v>578</v>
      </c>
      <c r="I33" s="384"/>
      <c r="J33" s="477" t="s">
        <v>183</v>
      </c>
      <c r="K33" s="478" t="n">
        <f aca="false">0.002+0.0072+0.0022</f>
        <v>0.0114</v>
      </c>
      <c r="P33" s="393" t="s">
        <v>183</v>
      </c>
      <c r="Q33" s="397" t="n">
        <f aca="false">0.007+0.0021</f>
        <v>0.0091</v>
      </c>
    </row>
    <row r="34" customFormat="false" ht="12.75" hidden="false" customHeight="false" outlineLevel="0" collapsed="false">
      <c r="A34" s="404" t="s">
        <v>518</v>
      </c>
      <c r="B34" s="392" t="n">
        <v>0.1118</v>
      </c>
      <c r="C34" s="12"/>
      <c r="D34" s="395" t="s">
        <v>518</v>
      </c>
      <c r="E34" s="392" t="n">
        <v>0.0484</v>
      </c>
      <c r="F34" s="12"/>
      <c r="G34" s="396" t="s">
        <v>518</v>
      </c>
      <c r="H34" s="397" t="n">
        <v>0.6213</v>
      </c>
      <c r="I34" s="12"/>
      <c r="J34" s="477" t="s">
        <v>714</v>
      </c>
      <c r="K34" s="479" t="n">
        <f aca="false">+K3/(1-0.0169)-K3</f>
        <v>0.0838897365476559</v>
      </c>
      <c r="P34" s="401" t="n">
        <v>0.0192</v>
      </c>
      <c r="Q34" s="402" t="n">
        <f aca="false">+Q$3/(1-P34)-Q$3</f>
        <v>0.054616639477977</v>
      </c>
    </row>
    <row r="35" customFormat="false" ht="12.75" hidden="false" customHeight="false" outlineLevel="0" collapsed="false">
      <c r="A35" s="404" t="s">
        <v>183</v>
      </c>
      <c r="B35" s="392" t="n">
        <f aca="false">0.0021+0.007</f>
        <v>0.0091</v>
      </c>
      <c r="C35" s="12"/>
      <c r="D35" s="395" t="s">
        <v>183</v>
      </c>
      <c r="E35" s="392" t="n">
        <f aca="false">0.0022+0.007</f>
        <v>0.0092</v>
      </c>
      <c r="F35" s="12"/>
      <c r="G35" s="396" t="s">
        <v>183</v>
      </c>
      <c r="H35" s="397" t="n">
        <f aca="false">0.0022+0.007</f>
        <v>0.0092</v>
      </c>
      <c r="I35" s="12"/>
      <c r="J35" s="480"/>
      <c r="K35" s="481" t="n">
        <f aca="false">SUM(K32:K34)</f>
        <v>0.112489736547656</v>
      </c>
      <c r="P35" s="407"/>
      <c r="Q35" s="406" t="n">
        <f aca="false">SUM(Q32:Q34)</f>
        <v>0.075416639477977</v>
      </c>
    </row>
    <row r="36" customFormat="false" ht="12.75" hidden="false" customHeight="false" outlineLevel="0" collapsed="false">
      <c r="A36" s="399" t="n">
        <v>0.058</v>
      </c>
      <c r="B36" s="403" t="n">
        <f aca="false">(B$3)/(1-A36)-B$3</f>
        <v>0.168089171974522</v>
      </c>
      <c r="C36" s="14"/>
      <c r="D36" s="399" t="n">
        <v>0.0988</v>
      </c>
      <c r="E36" s="400" t="n">
        <f aca="false">(E$5)/(1-D36)-E$5</f>
        <v>0.542676431424767</v>
      </c>
      <c r="F36" s="14"/>
      <c r="G36" s="401" t="n">
        <v>0.1148</v>
      </c>
      <c r="H36" s="402" t="n">
        <f aca="false">(H$5)/(1-G36)-H$5</f>
        <v>0.641956619972888</v>
      </c>
      <c r="I36" s="14"/>
    </row>
    <row r="37" customFormat="false" ht="12.75" hidden="false" customHeight="false" outlineLevel="0" collapsed="false">
      <c r="A37" s="404"/>
      <c r="B37" s="405" t="n">
        <f aca="false">SUM(B34:B36)</f>
        <v>0.288989171974522</v>
      </c>
      <c r="C37" s="17"/>
      <c r="D37" s="395"/>
      <c r="E37" s="405" t="n">
        <f aca="false">SUM(E34:E36)</f>
        <v>0.600276431424767</v>
      </c>
      <c r="F37" s="17"/>
      <c r="G37" s="396"/>
      <c r="H37" s="406" t="n">
        <f aca="false">SUM(H34:H36)</f>
        <v>1.27245661997289</v>
      </c>
      <c r="I37" s="17"/>
      <c r="J37" s="466" t="s">
        <v>715</v>
      </c>
      <c r="P37" s="43" t="s">
        <v>511</v>
      </c>
      <c r="Q37" s="43" t="s">
        <v>716</v>
      </c>
    </row>
    <row r="38" customFormat="false" ht="12.75" hidden="false" customHeight="false" outlineLevel="0" collapsed="false">
      <c r="A38" s="409" t="s">
        <v>501</v>
      </c>
      <c r="B38" s="417" t="s">
        <v>584</v>
      </c>
      <c r="C38" s="384"/>
      <c r="D38" s="386" t="s">
        <v>503</v>
      </c>
      <c r="E38" s="383" t="s">
        <v>578</v>
      </c>
      <c r="F38" s="384"/>
      <c r="G38" s="387" t="s">
        <v>505</v>
      </c>
      <c r="H38" s="388" t="s">
        <v>585</v>
      </c>
      <c r="I38" s="384"/>
      <c r="J38" s="477" t="s">
        <v>518</v>
      </c>
      <c r="K38" s="478" t="n">
        <f aca="false">0.0152+0.002</f>
        <v>0.0172</v>
      </c>
      <c r="P38" s="393" t="s">
        <v>518</v>
      </c>
      <c r="Q38" s="397" t="n">
        <v>0.0117</v>
      </c>
    </row>
    <row r="39" customFormat="false" ht="12.75" hidden="false" customHeight="false" outlineLevel="0" collapsed="false">
      <c r="A39" s="404" t="s">
        <v>518</v>
      </c>
      <c r="B39" s="392" t="n">
        <v>0.1231</v>
      </c>
      <c r="C39" s="12"/>
      <c r="D39" s="395" t="s">
        <v>518</v>
      </c>
      <c r="E39" s="392" t="n">
        <v>0.0623</v>
      </c>
      <c r="F39" s="12"/>
      <c r="G39" s="396" t="s">
        <v>518</v>
      </c>
      <c r="H39" s="397" t="n">
        <v>0.0658</v>
      </c>
      <c r="I39" s="12"/>
      <c r="J39" s="477" t="s">
        <v>183</v>
      </c>
      <c r="K39" s="478" t="n">
        <f aca="false">0.0072+0.0022</f>
        <v>0.0094</v>
      </c>
      <c r="P39" s="393" t="s">
        <v>183</v>
      </c>
      <c r="Q39" s="397" t="n">
        <f aca="false">0.007+0.0021</f>
        <v>0.0091</v>
      </c>
    </row>
    <row r="40" customFormat="false" ht="12.75" hidden="false" customHeight="false" outlineLevel="0" collapsed="false">
      <c r="A40" s="404" t="s">
        <v>183</v>
      </c>
      <c r="B40" s="392" t="n">
        <f aca="false">0.0021+0.007</f>
        <v>0.0091</v>
      </c>
      <c r="C40" s="12"/>
      <c r="D40" s="395" t="s">
        <v>183</v>
      </c>
      <c r="E40" s="392" t="n">
        <f aca="false">0.0022+0.007</f>
        <v>0.0092</v>
      </c>
      <c r="F40" s="12"/>
      <c r="G40" s="396" t="s">
        <v>183</v>
      </c>
      <c r="H40" s="397" t="n">
        <f aca="false">0.0022</f>
        <v>0.0022</v>
      </c>
      <c r="I40" s="12"/>
      <c r="J40" s="477" t="s">
        <v>717</v>
      </c>
      <c r="K40" s="479" t="n">
        <v>0</v>
      </c>
      <c r="P40" s="401" t="n">
        <v>0.0192</v>
      </c>
      <c r="Q40" s="402" t="n">
        <f aca="false">+Q$3/(1-P40)-Q$3</f>
        <v>0.054616639477977</v>
      </c>
    </row>
    <row r="41" customFormat="false" ht="12.75" hidden="false" customHeight="false" outlineLevel="0" collapsed="false">
      <c r="A41" s="399" t="n">
        <v>0.0672</v>
      </c>
      <c r="B41" s="403" t="n">
        <f aca="false">(B$3)/(1-A41)-B$3</f>
        <v>0.196672384219554</v>
      </c>
      <c r="C41" s="14"/>
      <c r="D41" s="399" t="n">
        <v>0.1148</v>
      </c>
      <c r="E41" s="400" t="n">
        <f aca="false">(E$5)/(1-D41)-E$5</f>
        <v>0.641956619972888</v>
      </c>
      <c r="F41" s="14"/>
      <c r="G41" s="401" t="n">
        <v>0.0212</v>
      </c>
      <c r="H41" s="402" t="n">
        <f aca="false">(H$4)/(1-G41)-H$4</f>
        <v>0.108945647731916</v>
      </c>
      <c r="I41" s="14"/>
      <c r="J41" s="480"/>
      <c r="K41" s="481" t="n">
        <f aca="false">SUM(K38:K40)</f>
        <v>0.0266</v>
      </c>
      <c r="P41" s="407"/>
      <c r="Q41" s="406" t="n">
        <f aca="false">SUM(Q38:Q40)</f>
        <v>0.075416639477977</v>
      </c>
    </row>
    <row r="42" customFormat="false" ht="12.75" hidden="false" customHeight="false" outlineLevel="0" collapsed="false">
      <c r="A42" s="404"/>
      <c r="B42" s="405" t="n">
        <f aca="false">SUM(B39:B41)</f>
        <v>0.328872384219554</v>
      </c>
      <c r="C42" s="17"/>
      <c r="D42" s="395"/>
      <c r="E42" s="405" t="n">
        <f aca="false">SUM(E39:E41)</f>
        <v>0.713456619972888</v>
      </c>
      <c r="F42" s="17"/>
      <c r="G42" s="396"/>
      <c r="H42" s="406" t="n">
        <f aca="false">SUM(H39:H41)</f>
        <v>0.176945647731916</v>
      </c>
      <c r="I42" s="17"/>
    </row>
    <row r="43" customFormat="false" ht="12.75" hidden="false" customHeight="false" outlineLevel="0" collapsed="false">
      <c r="A43" s="409" t="s">
        <v>501</v>
      </c>
      <c r="B43" s="417" t="s">
        <v>589</v>
      </c>
      <c r="C43" s="384"/>
      <c r="D43" s="386" t="s">
        <v>503</v>
      </c>
      <c r="E43" s="383" t="s">
        <v>585</v>
      </c>
      <c r="F43" s="384"/>
      <c r="G43" s="387" t="s">
        <v>505</v>
      </c>
      <c r="H43" s="388" t="s">
        <v>590</v>
      </c>
      <c r="I43" s="384"/>
    </row>
    <row r="44" customFormat="false" ht="12.75" hidden="false" customHeight="false" outlineLevel="0" collapsed="false">
      <c r="A44" s="404" t="s">
        <v>518</v>
      </c>
      <c r="B44" s="392" t="n">
        <v>0.1608</v>
      </c>
      <c r="C44" s="12"/>
      <c r="D44" s="395" t="s">
        <v>518</v>
      </c>
      <c r="E44" s="392" t="n">
        <v>0.0059</v>
      </c>
      <c r="F44" s="12"/>
      <c r="G44" s="396" t="s">
        <v>518</v>
      </c>
      <c r="H44" s="397" t="n">
        <v>0.2477</v>
      </c>
      <c r="I44" s="12"/>
    </row>
    <row r="45" customFormat="false" ht="12.75" hidden="false" customHeight="false" outlineLevel="0" collapsed="false">
      <c r="A45" s="404" t="s">
        <v>183</v>
      </c>
      <c r="B45" s="392" t="n">
        <f aca="false">0.0021+0.007</f>
        <v>0.0091</v>
      </c>
      <c r="C45" s="12"/>
      <c r="D45" s="395" t="s">
        <v>183</v>
      </c>
      <c r="E45" s="392" t="n">
        <f aca="false">0.0022</f>
        <v>0.0022</v>
      </c>
      <c r="F45" s="12"/>
      <c r="G45" s="396" t="s">
        <v>183</v>
      </c>
      <c r="H45" s="397" t="n">
        <f aca="false">0.0022+0.007</f>
        <v>0.0092</v>
      </c>
      <c r="I45" s="12"/>
    </row>
    <row r="46" customFormat="false" ht="12.75" hidden="false" customHeight="false" outlineLevel="0" collapsed="false">
      <c r="A46" s="399" t="n">
        <v>0.0742</v>
      </c>
      <c r="B46" s="403" t="n">
        <f aca="false">(B$3)/(1-A46)-B$3</f>
        <v>0.218801036941024</v>
      </c>
      <c r="C46" s="14"/>
      <c r="D46" s="399" t="n">
        <v>0.0212</v>
      </c>
      <c r="E46" s="400" t="n">
        <f aca="false">(E$4)/(1-D46)-E$4</f>
        <v>0.108945647731916</v>
      </c>
      <c r="F46" s="14"/>
      <c r="G46" s="401" t="n">
        <v>0.0631</v>
      </c>
      <c r="H46" s="402" t="n">
        <f aca="false">(H$4)/(1-G46)-H$4</f>
        <v>0.338769345714591</v>
      </c>
      <c r="I46" s="14"/>
    </row>
    <row r="47" customFormat="false" ht="12.75" hidden="false" customHeight="false" outlineLevel="0" collapsed="false">
      <c r="A47" s="404"/>
      <c r="B47" s="405" t="n">
        <f aca="false">SUM(B44:B46)</f>
        <v>0.388701036941024</v>
      </c>
      <c r="C47" s="17"/>
      <c r="D47" s="395"/>
      <c r="E47" s="405" t="n">
        <f aca="false">SUM(E44:E46)</f>
        <v>0.117045647731916</v>
      </c>
      <c r="F47" s="17"/>
      <c r="G47" s="396"/>
      <c r="H47" s="406" t="n">
        <f aca="false">SUM(H44:H46)</f>
        <v>0.595669345714591</v>
      </c>
      <c r="I47" s="17"/>
    </row>
    <row r="48" customFormat="false" ht="12.75" hidden="false" customHeight="false" outlineLevel="0" collapsed="false">
      <c r="A48" s="404"/>
      <c r="B48" s="405"/>
      <c r="C48" s="424"/>
      <c r="D48" s="386" t="s">
        <v>503</v>
      </c>
      <c r="E48" s="383" t="s">
        <v>599</v>
      </c>
      <c r="F48" s="424"/>
      <c r="G48" s="387" t="s">
        <v>505</v>
      </c>
      <c r="H48" s="388" t="s">
        <v>600</v>
      </c>
      <c r="I48" s="424"/>
    </row>
    <row r="49" customFormat="false" ht="12.75" hidden="false" customHeight="false" outlineLevel="0" collapsed="false">
      <c r="A49" s="404"/>
      <c r="B49" s="405"/>
      <c r="C49" s="12"/>
      <c r="D49" s="395" t="s">
        <v>518</v>
      </c>
      <c r="E49" s="392" t="n">
        <v>0.0103</v>
      </c>
      <c r="F49" s="12"/>
      <c r="G49" s="396" t="s">
        <v>518</v>
      </c>
      <c r="H49" s="397" t="n">
        <v>0.3898</v>
      </c>
      <c r="I49" s="12"/>
    </row>
    <row r="50" customFormat="false" ht="12.75" hidden="false" customHeight="false" outlineLevel="0" collapsed="false">
      <c r="A50" s="409" t="s">
        <v>501</v>
      </c>
      <c r="B50" s="410" t="s">
        <v>598</v>
      </c>
      <c r="C50" s="12"/>
      <c r="D50" s="395" t="s">
        <v>183</v>
      </c>
      <c r="E50" s="392" t="n">
        <f aca="false">0.0022+0.007</f>
        <v>0.0092</v>
      </c>
      <c r="F50" s="12"/>
      <c r="G50" s="396" t="s">
        <v>183</v>
      </c>
      <c r="H50" s="397" t="n">
        <f aca="false">0.0022+0.007</f>
        <v>0.0092</v>
      </c>
      <c r="I50" s="12"/>
    </row>
    <row r="51" customFormat="false" ht="12.75" hidden="false" customHeight="false" outlineLevel="0" collapsed="false">
      <c r="A51" s="391" t="s">
        <v>518</v>
      </c>
      <c r="B51" s="392" t="n">
        <v>0.0286</v>
      </c>
      <c r="C51" s="14"/>
      <c r="D51" s="399" t="n">
        <v>0.0347</v>
      </c>
      <c r="E51" s="400" t="n">
        <f aca="false">(E$4)/(1-D51)-E$4</f>
        <v>0.180815290583238</v>
      </c>
      <c r="F51" s="14"/>
      <c r="G51" s="401" t="n">
        <v>0.0875</v>
      </c>
      <c r="H51" s="402" t="n">
        <f aca="false">(H$4)/(1-G51)-H$4</f>
        <v>0.482328767123287</v>
      </c>
      <c r="I51" s="14"/>
    </row>
    <row r="52" customFormat="false" ht="12.75" hidden="false" customHeight="false" outlineLevel="0" collapsed="false">
      <c r="A52" s="391" t="s">
        <v>183</v>
      </c>
      <c r="B52" s="392" t="n">
        <f aca="false">0.0021+0.007+0.0225</f>
        <v>0.0316</v>
      </c>
      <c r="C52" s="17"/>
      <c r="D52" s="395"/>
      <c r="E52" s="405" t="n">
        <f aca="false">SUM(E49:E51)</f>
        <v>0.200315290583238</v>
      </c>
      <c r="F52" s="17"/>
      <c r="G52" s="396"/>
      <c r="H52" s="406" t="n">
        <f aca="false">SUM(H49:H51)</f>
        <v>0.881328767123287</v>
      </c>
      <c r="I52" s="17"/>
    </row>
    <row r="53" customFormat="false" ht="12.75" hidden="false" customHeight="false" outlineLevel="0" collapsed="false">
      <c r="A53" s="399" t="n">
        <v>0.0095</v>
      </c>
      <c r="B53" s="400" t="n">
        <f aca="false">(B$4)/(1-A53)-B$4</f>
        <v>0.0260398788490659</v>
      </c>
      <c r="C53" s="424"/>
      <c r="D53" s="386" t="s">
        <v>503</v>
      </c>
      <c r="E53" s="383" t="s">
        <v>590</v>
      </c>
      <c r="F53" s="424"/>
      <c r="G53" s="387" t="s">
        <v>505</v>
      </c>
      <c r="H53" s="388" t="s">
        <v>605</v>
      </c>
      <c r="I53" s="424"/>
    </row>
    <row r="54" customFormat="false" ht="12.75" hidden="false" customHeight="false" outlineLevel="0" collapsed="false">
      <c r="A54" s="404"/>
      <c r="B54" s="405" t="n">
        <f aca="false">SUM(B51:B53)</f>
        <v>0.0862398788490659</v>
      </c>
      <c r="C54" s="12"/>
      <c r="D54" s="395" t="s">
        <v>518</v>
      </c>
      <c r="E54" s="392" t="n">
        <v>0.0244</v>
      </c>
      <c r="F54" s="12"/>
      <c r="G54" s="396" t="s">
        <v>518</v>
      </c>
      <c r="H54" s="397" t="n">
        <v>0.4869</v>
      </c>
      <c r="I54" s="12"/>
    </row>
    <row r="55" customFormat="false" ht="12.75" hidden="false" customHeight="false" outlineLevel="0" collapsed="false">
      <c r="A55" s="409" t="s">
        <v>501</v>
      </c>
      <c r="B55" s="410" t="s">
        <v>604</v>
      </c>
      <c r="C55" s="12"/>
      <c r="D55" s="395" t="s">
        <v>183</v>
      </c>
      <c r="E55" s="392" t="n">
        <f aca="false">0.0022+0.007</f>
        <v>0.0092</v>
      </c>
      <c r="F55" s="12"/>
      <c r="G55" s="396" t="s">
        <v>183</v>
      </c>
      <c r="H55" s="397" t="n">
        <f aca="false">0.0022+0.007</f>
        <v>0.0092</v>
      </c>
      <c r="I55" s="12"/>
    </row>
    <row r="56" customFormat="false" ht="12.75" hidden="false" customHeight="false" outlineLevel="0" collapsed="false">
      <c r="A56" s="391" t="s">
        <v>518</v>
      </c>
      <c r="B56" s="392" t="n">
        <v>0.0572</v>
      </c>
      <c r="C56" s="14"/>
      <c r="D56" s="399" t="n">
        <v>0.0631</v>
      </c>
      <c r="E56" s="400" t="n">
        <f aca="false">(E$4)/(1-D56)-E$4</f>
        <v>0.338769345714591</v>
      </c>
      <c r="F56" s="14"/>
      <c r="G56" s="401" t="n">
        <v>0.1035</v>
      </c>
      <c r="H56" s="402" t="n">
        <f aca="false">(H$4)/(1-G56)-H$4</f>
        <v>0.580708310094813</v>
      </c>
      <c r="I56" s="14"/>
    </row>
    <row r="57" customFormat="false" ht="12.75" hidden="false" customHeight="false" outlineLevel="0" collapsed="false">
      <c r="A57" s="391" t="s">
        <v>183</v>
      </c>
      <c r="B57" s="392" t="n">
        <f aca="false">0.0021+0.007+0.0225</f>
        <v>0.0316</v>
      </c>
      <c r="C57" s="17"/>
      <c r="D57" s="395"/>
      <c r="E57" s="405" t="n">
        <f aca="false">SUM(E54:E56)</f>
        <v>0.372369345714591</v>
      </c>
      <c r="F57" s="17"/>
      <c r="G57" s="396"/>
      <c r="H57" s="406" t="n">
        <f aca="false">SUM(H54:H56)</f>
        <v>1.07680831009481</v>
      </c>
      <c r="I57" s="17"/>
    </row>
    <row r="58" customFormat="false" ht="12.75" hidden="false" customHeight="false" outlineLevel="0" collapsed="false">
      <c r="A58" s="399" t="n">
        <v>0.017</v>
      </c>
      <c r="B58" s="400" t="n">
        <f aca="false">(B$4)/(1-A58)-B$4</f>
        <v>0.0469532044760936</v>
      </c>
      <c r="C58" s="384"/>
      <c r="D58" s="386" t="s">
        <v>503</v>
      </c>
      <c r="E58" s="383" t="s">
        <v>600</v>
      </c>
      <c r="F58" s="384"/>
      <c r="G58" s="387" t="s">
        <v>505</v>
      </c>
      <c r="H58" s="388" t="s">
        <v>609</v>
      </c>
      <c r="I58" s="384"/>
    </row>
    <row r="59" customFormat="false" ht="12.75" hidden="false" customHeight="false" outlineLevel="0" collapsed="false">
      <c r="A59" s="404"/>
      <c r="B59" s="405" t="n">
        <f aca="false">SUM(B56:B58)</f>
        <v>0.135753204476094</v>
      </c>
      <c r="C59" s="12"/>
      <c r="D59" s="395" t="s">
        <v>518</v>
      </c>
      <c r="E59" s="392" t="n">
        <v>0.0447</v>
      </c>
      <c r="F59" s="12"/>
      <c r="G59" s="396" t="s">
        <v>518</v>
      </c>
      <c r="H59" s="397" t="n">
        <v>0.0953</v>
      </c>
      <c r="I59" s="12"/>
    </row>
    <row r="60" customFormat="false" ht="12.75" hidden="false" customHeight="false" outlineLevel="0" collapsed="false">
      <c r="A60" s="409" t="s">
        <v>501</v>
      </c>
      <c r="B60" s="410" t="s">
        <v>608</v>
      </c>
      <c r="C60" s="12"/>
      <c r="D60" s="395" t="s">
        <v>183</v>
      </c>
      <c r="E60" s="392" t="n">
        <f aca="false">0.0022+0.007</f>
        <v>0.0092</v>
      </c>
      <c r="F60" s="12"/>
      <c r="G60" s="396" t="s">
        <v>183</v>
      </c>
      <c r="H60" s="397" t="n">
        <f aca="false">0.0022+0.007</f>
        <v>0.0092</v>
      </c>
      <c r="I60" s="12"/>
    </row>
    <row r="61" customFormat="false" ht="12.75" hidden="false" customHeight="false" outlineLevel="0" collapsed="false">
      <c r="A61" s="391" t="s">
        <v>518</v>
      </c>
      <c r="B61" s="392" t="n">
        <v>0.0776</v>
      </c>
      <c r="C61" s="14"/>
      <c r="D61" s="399" t="n">
        <v>0.0875</v>
      </c>
      <c r="E61" s="400" t="n">
        <f aca="false">(E$4)/(1-D61)-E$4</f>
        <v>0.482328767123287</v>
      </c>
      <c r="F61" s="14"/>
      <c r="G61" s="401" t="n">
        <v>0.0298</v>
      </c>
      <c r="H61" s="402" t="n">
        <f aca="false">(H$3)/(1-G61)-H$3</f>
        <v>0.154190888476603</v>
      </c>
      <c r="I61" s="14"/>
    </row>
    <row r="62" customFormat="false" ht="12.75" hidden="false" customHeight="false" outlineLevel="0" collapsed="false">
      <c r="A62" s="391" t="s">
        <v>183</v>
      </c>
      <c r="B62" s="392" t="n">
        <f aca="false">0.0021+0.007</f>
        <v>0.0091</v>
      </c>
      <c r="C62" s="17"/>
      <c r="D62" s="395"/>
      <c r="E62" s="405" t="n">
        <f aca="false">SUM(E59:E61)</f>
        <v>0.536228767123287</v>
      </c>
      <c r="F62" s="17"/>
      <c r="G62" s="396"/>
      <c r="H62" s="406" t="n">
        <f aca="false">SUM(H59:H61)</f>
        <v>0.258690888476603</v>
      </c>
      <c r="I62" s="17"/>
    </row>
    <row r="63" customFormat="false" ht="12.75" hidden="false" customHeight="false" outlineLevel="0" collapsed="false">
      <c r="A63" s="399" t="n">
        <v>0.0369</v>
      </c>
      <c r="B63" s="400" t="n">
        <f aca="false">(B$4)/(1-A63)-B$4</f>
        <v>0.104021908420725</v>
      </c>
      <c r="C63" s="384"/>
      <c r="D63" s="386" t="s">
        <v>503</v>
      </c>
      <c r="E63" s="383" t="s">
        <v>605</v>
      </c>
      <c r="F63" s="384"/>
      <c r="G63" s="387" t="s">
        <v>505</v>
      </c>
      <c r="H63" s="388" t="s">
        <v>613</v>
      </c>
      <c r="I63" s="384"/>
    </row>
    <row r="64" customFormat="false" ht="12.75" hidden="false" customHeight="false" outlineLevel="0" collapsed="false">
      <c r="A64" s="404"/>
      <c r="B64" s="405" t="n">
        <f aca="false">SUM(B61:B63)</f>
        <v>0.190721908420725</v>
      </c>
      <c r="C64" s="12"/>
      <c r="D64" s="395" t="s">
        <v>518</v>
      </c>
      <c r="E64" s="392" t="n">
        <v>0.0586</v>
      </c>
      <c r="F64" s="12"/>
      <c r="G64" s="396" t="s">
        <v>518</v>
      </c>
      <c r="H64" s="397" t="n">
        <v>0.0791</v>
      </c>
      <c r="I64" s="12"/>
    </row>
    <row r="65" customFormat="false" ht="12.75" hidden="false" customHeight="false" outlineLevel="0" collapsed="false">
      <c r="A65" s="409" t="s">
        <v>501</v>
      </c>
      <c r="B65" s="410" t="s">
        <v>612</v>
      </c>
      <c r="C65" s="12"/>
      <c r="D65" s="395" t="s">
        <v>183</v>
      </c>
      <c r="E65" s="392" t="n">
        <f aca="false">0.0022+0.007</f>
        <v>0.0092</v>
      </c>
      <c r="F65" s="12"/>
      <c r="G65" s="396" t="s">
        <v>183</v>
      </c>
      <c r="H65" s="397" t="n">
        <f aca="false">0.0022+0.007</f>
        <v>0.0092</v>
      </c>
      <c r="I65" s="12"/>
    </row>
    <row r="66" customFormat="false" ht="12.75" hidden="false" customHeight="false" outlineLevel="0" collapsed="false">
      <c r="A66" s="391" t="s">
        <v>518</v>
      </c>
      <c r="B66" s="392" t="n">
        <v>0.0874</v>
      </c>
      <c r="C66" s="14"/>
      <c r="D66" s="399" t="n">
        <v>0.1035</v>
      </c>
      <c r="E66" s="400" t="n">
        <f aca="false">(E$4)/(1-D66)-E$4</f>
        <v>0.580708310094813</v>
      </c>
      <c r="F66" s="14"/>
      <c r="G66" s="401" t="n">
        <v>0.0298</v>
      </c>
      <c r="H66" s="402" t="n">
        <f aca="false">(H$3)/(1-G66)-H$3</f>
        <v>0.154190888476603</v>
      </c>
      <c r="I66" s="14"/>
    </row>
    <row r="67" customFormat="false" ht="12.75" hidden="false" customHeight="false" outlineLevel="0" collapsed="false">
      <c r="A67" s="391" t="s">
        <v>183</v>
      </c>
      <c r="B67" s="392" t="n">
        <f aca="false">0.0021</f>
        <v>0.0021</v>
      </c>
      <c r="C67" s="17"/>
      <c r="D67" s="395"/>
      <c r="E67" s="405" t="n">
        <f aca="false">SUM(E64:E66)</f>
        <v>0.648508310094813</v>
      </c>
      <c r="F67" s="17"/>
      <c r="G67" s="396"/>
      <c r="H67" s="406" t="n">
        <f aca="false">SUM(H64:H66)</f>
        <v>0.242490888476603</v>
      </c>
      <c r="I67" s="17"/>
    </row>
    <row r="68" customFormat="false" ht="12.75" hidden="false" customHeight="false" outlineLevel="0" collapsed="false">
      <c r="A68" s="399" t="n">
        <v>0.0429</v>
      </c>
      <c r="B68" s="400" t="n">
        <f aca="false">(B$4)/(1-A68)-B$4</f>
        <v>0.121694180336433</v>
      </c>
      <c r="C68" s="375"/>
      <c r="D68" s="386" t="s">
        <v>503</v>
      </c>
      <c r="E68" s="383" t="s">
        <v>618</v>
      </c>
      <c r="F68" s="375"/>
      <c r="G68" s="387" t="s">
        <v>505</v>
      </c>
      <c r="H68" s="388" t="s">
        <v>619</v>
      </c>
      <c r="I68" s="375"/>
    </row>
    <row r="69" customFormat="false" ht="12.75" hidden="false" customHeight="false" outlineLevel="0" collapsed="false">
      <c r="A69" s="404"/>
      <c r="B69" s="405" t="n">
        <f aca="false">SUM(B66:B68)</f>
        <v>0.211194180336433</v>
      </c>
      <c r="C69" s="12"/>
      <c r="D69" s="395" t="s">
        <v>518</v>
      </c>
      <c r="E69" s="392" t="n">
        <v>0.014</v>
      </c>
      <c r="F69" s="12"/>
      <c r="G69" s="396" t="s">
        <v>518</v>
      </c>
      <c r="H69" s="397" t="n">
        <v>0.2315</v>
      </c>
      <c r="I69" s="12"/>
    </row>
    <row r="70" customFormat="false" ht="12.75" hidden="false" customHeight="false" outlineLevel="0" collapsed="false">
      <c r="A70" s="409" t="s">
        <v>501</v>
      </c>
      <c r="B70" s="410" t="s">
        <v>617</v>
      </c>
      <c r="C70" s="12"/>
      <c r="D70" s="395" t="s">
        <v>183</v>
      </c>
      <c r="E70" s="392" t="n">
        <f aca="false">0.0022+0.007</f>
        <v>0.0092</v>
      </c>
      <c r="F70" s="12"/>
      <c r="G70" s="396" t="s">
        <v>183</v>
      </c>
      <c r="H70" s="397" t="n">
        <f aca="false">0.0022+0.007</f>
        <v>0.0092</v>
      </c>
      <c r="I70" s="12"/>
    </row>
    <row r="71" customFormat="false" ht="12.75" hidden="false" customHeight="false" outlineLevel="0" collapsed="false">
      <c r="A71" s="391" t="s">
        <v>518</v>
      </c>
      <c r="B71" s="392" t="n">
        <v>0.1014</v>
      </c>
      <c r="C71" s="14"/>
      <c r="D71" s="399" t="n">
        <v>0.0303</v>
      </c>
      <c r="E71" s="400" t="n">
        <f aca="false">(E$3)/(1-D71)-E$3</f>
        <v>0.15685882231618</v>
      </c>
      <c r="F71" s="14"/>
      <c r="G71" s="401" t="n">
        <v>0.0582</v>
      </c>
      <c r="H71" s="402" t="n">
        <f aca="false">(H$3)/(1-G71)-H$3</f>
        <v>0.310218730091314</v>
      </c>
      <c r="I71" s="14"/>
    </row>
    <row r="72" customFormat="false" ht="12.75" hidden="false" customHeight="false" outlineLevel="0" collapsed="false">
      <c r="A72" s="391" t="s">
        <v>183</v>
      </c>
      <c r="B72" s="392" t="n">
        <f aca="false">0.0021+0.007</f>
        <v>0.0091</v>
      </c>
      <c r="C72" s="17"/>
      <c r="D72" s="395"/>
      <c r="E72" s="405" t="n">
        <f aca="false">SUM(E69:E71)</f>
        <v>0.18005882231618</v>
      </c>
      <c r="F72" s="17"/>
      <c r="G72" s="396"/>
      <c r="H72" s="406" t="n">
        <f aca="false">SUM(H69:H71)</f>
        <v>0.550918730091314</v>
      </c>
      <c r="I72" s="17"/>
    </row>
    <row r="73" customFormat="false" ht="12.75" hidden="false" customHeight="false" outlineLevel="0" collapsed="false">
      <c r="A73" s="399" t="n">
        <v>0.0506</v>
      </c>
      <c r="B73" s="400" t="n">
        <f aca="false">(B$4)/(1-A73)-B$4</f>
        <v>0.144700863703392</v>
      </c>
      <c r="C73" s="375"/>
      <c r="D73" s="386" t="s">
        <v>503</v>
      </c>
      <c r="E73" s="383" t="s">
        <v>609</v>
      </c>
      <c r="F73" s="375"/>
      <c r="G73" s="387" t="s">
        <v>505</v>
      </c>
      <c r="H73" s="388" t="s">
        <v>623</v>
      </c>
      <c r="I73" s="375"/>
    </row>
    <row r="74" customFormat="false" ht="12.75" hidden="false" customHeight="false" outlineLevel="0" collapsed="false">
      <c r="A74" s="404"/>
      <c r="B74" s="405" t="n">
        <f aca="false">SUM(B71:B73)</f>
        <v>0.255200863703392</v>
      </c>
      <c r="C74" s="12"/>
      <c r="D74" s="395" t="s">
        <v>518</v>
      </c>
      <c r="E74" s="392" t="n">
        <v>0.0103</v>
      </c>
      <c r="F74" s="12"/>
      <c r="G74" s="396" t="s">
        <v>518</v>
      </c>
      <c r="H74" s="397" t="n">
        <v>0.3736</v>
      </c>
      <c r="I74" s="12"/>
    </row>
    <row r="75" customFormat="false" ht="12.75" hidden="false" customHeight="false" outlineLevel="0" collapsed="false">
      <c r="A75" s="409" t="s">
        <v>501</v>
      </c>
      <c r="B75" s="410" t="s">
        <v>622</v>
      </c>
      <c r="C75" s="12"/>
      <c r="D75" s="395" t="s">
        <v>183</v>
      </c>
      <c r="E75" s="392" t="n">
        <f aca="false">0.0022</f>
        <v>0.0022</v>
      </c>
      <c r="F75" s="12"/>
      <c r="G75" s="396" t="s">
        <v>183</v>
      </c>
      <c r="H75" s="397" t="n">
        <f aca="false">0.0022+0.007</f>
        <v>0.0092</v>
      </c>
      <c r="I75" s="12"/>
    </row>
    <row r="76" customFormat="false" ht="12.75" hidden="false" customHeight="false" outlineLevel="0" collapsed="false">
      <c r="A76" s="391" t="s">
        <v>518</v>
      </c>
      <c r="B76" s="392" t="n">
        <v>0.1126</v>
      </c>
      <c r="C76" s="14"/>
      <c r="D76" s="399" t="n">
        <v>0.0298</v>
      </c>
      <c r="E76" s="400" t="n">
        <f aca="false">(E$3)/(1-D76)-E$3</f>
        <v>0.154190888476603</v>
      </c>
      <c r="F76" s="14"/>
      <c r="G76" s="401" t="n">
        <v>0.0826</v>
      </c>
      <c r="H76" s="402" t="n">
        <f aca="false">(H$3)/(1-G76)-H$3</f>
        <v>0.451986047525616</v>
      </c>
      <c r="I76" s="14"/>
    </row>
    <row r="77" customFormat="false" ht="12.75" hidden="false" customHeight="false" outlineLevel="0" collapsed="false">
      <c r="A77" s="391" t="s">
        <v>183</v>
      </c>
      <c r="B77" s="392" t="n">
        <f aca="false">0.0021+0.007</f>
        <v>0.0091</v>
      </c>
      <c r="C77" s="17"/>
      <c r="D77" s="395"/>
      <c r="E77" s="405" t="n">
        <f aca="false">SUM(E74:E76)</f>
        <v>0.166690888476603</v>
      </c>
      <c r="F77" s="17"/>
      <c r="G77" s="396"/>
      <c r="H77" s="406" t="n">
        <f aca="false">SUM(H74:H76)</f>
        <v>0.834786047525616</v>
      </c>
      <c r="I77" s="17"/>
    </row>
    <row r="78" customFormat="false" ht="12.75" hidden="false" customHeight="false" outlineLevel="0" collapsed="false">
      <c r="A78" s="399" t="n">
        <v>0.0597</v>
      </c>
      <c r="B78" s="400" t="n">
        <f aca="false">(B$4)/(1-A78)-B$4</f>
        <v>0.172376369243858</v>
      </c>
      <c r="C78" s="375"/>
      <c r="D78" s="386" t="s">
        <v>503</v>
      </c>
      <c r="E78" s="383" t="s">
        <v>629</v>
      </c>
      <c r="F78" s="375"/>
      <c r="G78" s="387" t="s">
        <v>505</v>
      </c>
      <c r="H78" s="388" t="s">
        <v>630</v>
      </c>
      <c r="I78" s="375"/>
    </row>
    <row r="79" customFormat="false" ht="12.75" hidden="false" customHeight="false" outlineLevel="0" collapsed="false">
      <c r="A79" s="404"/>
      <c r="B79" s="405" t="n">
        <f aca="false">SUM(B76:B78)</f>
        <v>0.294076369243859</v>
      </c>
      <c r="C79" s="12"/>
      <c r="D79" s="395" t="s">
        <v>518</v>
      </c>
      <c r="E79" s="392" t="n">
        <v>0.0087</v>
      </c>
      <c r="F79" s="12"/>
      <c r="G79" s="396" t="s">
        <v>518</v>
      </c>
      <c r="H79" s="397" t="n">
        <v>0.4707</v>
      </c>
      <c r="I79" s="12"/>
    </row>
    <row r="80" customFormat="false" ht="12.75" hidden="false" customHeight="false" outlineLevel="0" collapsed="false">
      <c r="A80" s="409" t="s">
        <v>501</v>
      </c>
      <c r="B80" s="410" t="s">
        <v>628</v>
      </c>
      <c r="C80" s="12"/>
      <c r="D80" s="395" t="s">
        <v>183</v>
      </c>
      <c r="E80" s="392" t="n">
        <f aca="false">0.0022+0.007</f>
        <v>0.0092</v>
      </c>
      <c r="F80" s="12"/>
      <c r="G80" s="396" t="s">
        <v>183</v>
      </c>
      <c r="H80" s="397" t="n">
        <f aca="false">0.0022+0.007</f>
        <v>0.0092</v>
      </c>
      <c r="I80" s="12"/>
    </row>
    <row r="81" customFormat="false" ht="12.75" hidden="false" customHeight="false" outlineLevel="0" collapsed="false">
      <c r="A81" s="391" t="s">
        <v>518</v>
      </c>
      <c r="B81" s="392" t="n">
        <v>0.1503</v>
      </c>
      <c r="C81" s="14"/>
      <c r="D81" s="399" t="n">
        <v>0.0298</v>
      </c>
      <c r="E81" s="400" t="n">
        <f aca="false">(E$3)/(1-D81)-E$3</f>
        <v>0.154190888476603</v>
      </c>
      <c r="F81" s="14"/>
      <c r="G81" s="401" t="n">
        <v>0.0986</v>
      </c>
      <c r="H81" s="402" t="n">
        <f aca="false">(H$3)/(1-G81)-H$3</f>
        <v>0.549114710450411</v>
      </c>
      <c r="I81" s="14"/>
    </row>
    <row r="82" customFormat="false" ht="12.75" hidden="false" customHeight="false" outlineLevel="0" collapsed="false">
      <c r="A82" s="391" t="s">
        <v>183</v>
      </c>
      <c r="B82" s="392" t="n">
        <f aca="false">0.0021+0.007</f>
        <v>0.0091</v>
      </c>
      <c r="C82" s="17"/>
      <c r="D82" s="395"/>
      <c r="E82" s="405" t="n">
        <f aca="false">SUM(E79:E81)</f>
        <v>0.172090888476603</v>
      </c>
      <c r="F82" s="17"/>
      <c r="G82" s="396"/>
      <c r="H82" s="406" t="n">
        <f aca="false">SUM(H79:H81)</f>
        <v>1.02901471045041</v>
      </c>
      <c r="I82" s="17"/>
    </row>
    <row r="83" customFormat="false" ht="12.75" hidden="false" customHeight="false" outlineLevel="0" collapsed="false">
      <c r="A83" s="399" t="n">
        <v>0.0667</v>
      </c>
      <c r="B83" s="400" t="n">
        <f aca="false">(B$4)/(1-A83)-B$4</f>
        <v>0.194032465445194</v>
      </c>
      <c r="C83" s="375"/>
      <c r="D83" s="386" t="s">
        <v>503</v>
      </c>
      <c r="E83" s="383" t="s">
        <v>635</v>
      </c>
      <c r="F83" s="375"/>
      <c r="G83" s="387" t="s">
        <v>505</v>
      </c>
      <c r="H83" s="388" t="s">
        <v>636</v>
      </c>
      <c r="I83" s="375"/>
    </row>
    <row r="84" customFormat="false" ht="12.75" hidden="false" customHeight="false" outlineLevel="0" collapsed="false">
      <c r="A84" s="404"/>
      <c r="B84" s="405" t="n">
        <f aca="false">SUM(B81:B83)</f>
        <v>0.353432465445194</v>
      </c>
      <c r="C84" s="12"/>
      <c r="D84" s="395" t="s">
        <v>518</v>
      </c>
      <c r="E84" s="392" t="n">
        <v>0.0087</v>
      </c>
      <c r="F84" s="12"/>
      <c r="G84" s="396" t="s">
        <v>518</v>
      </c>
      <c r="H84" s="397" t="n">
        <v>0.2945</v>
      </c>
      <c r="I84" s="12"/>
    </row>
    <row r="85" customFormat="false" ht="12.75" hidden="false" customHeight="false" outlineLevel="0" collapsed="false">
      <c r="A85" s="409" t="s">
        <v>501</v>
      </c>
      <c r="B85" s="410" t="s">
        <v>634</v>
      </c>
      <c r="C85" s="12"/>
      <c r="D85" s="395" t="s">
        <v>183</v>
      </c>
      <c r="E85" s="392" t="n">
        <f aca="false">0.0022+0.007</f>
        <v>0.0092</v>
      </c>
      <c r="F85" s="12"/>
      <c r="G85" s="396" t="s">
        <v>183</v>
      </c>
      <c r="H85" s="397" t="n">
        <f aca="false">0.0022+0.007</f>
        <v>0.0092</v>
      </c>
      <c r="I85" s="12"/>
    </row>
    <row r="86" customFormat="false" ht="12.75" hidden="false" customHeight="false" outlineLevel="0" collapsed="false">
      <c r="A86" s="391" t="s">
        <v>518</v>
      </c>
      <c r="B86" s="392" t="n">
        <v>0.0783</v>
      </c>
      <c r="C86" s="14"/>
      <c r="D86" s="399" t="n">
        <v>0.0298</v>
      </c>
      <c r="E86" s="400" t="n">
        <f aca="false">(E$3)/(1-D86)-E$3</f>
        <v>0.154190888476603</v>
      </c>
      <c r="F86" s="14"/>
      <c r="G86" s="401" t="n">
        <v>0.0528</v>
      </c>
      <c r="H86" s="402" t="n">
        <f aca="false">(H$6)/(1-G86)-(H$6)</f>
        <v>0.284290540540541</v>
      </c>
      <c r="I86" s="14"/>
    </row>
    <row r="87" customFormat="false" ht="12.75" hidden="false" customHeight="false" outlineLevel="0" collapsed="false">
      <c r="A87" s="391" t="s">
        <v>183</v>
      </c>
      <c r="B87" s="392" t="n">
        <f aca="false">0.0021+0.007</f>
        <v>0.0091</v>
      </c>
      <c r="C87" s="17"/>
      <c r="D87" s="395"/>
      <c r="E87" s="405" t="n">
        <f aca="false">SUM(E84:E86)</f>
        <v>0.172090888476603</v>
      </c>
      <c r="F87" s="17"/>
      <c r="G87" s="396"/>
      <c r="H87" s="406" t="n">
        <f aca="false">SUM(H84:H86)</f>
        <v>0.587990540540541</v>
      </c>
      <c r="I87" s="17"/>
    </row>
    <row r="88" customFormat="false" ht="12.75" hidden="false" customHeight="false" outlineLevel="0" collapsed="false">
      <c r="A88" s="399" t="n">
        <v>0.000358</v>
      </c>
      <c r="B88" s="426" t="n">
        <f aca="false">(B4)/(1-A88)-B4</f>
        <v>0.00097231808987619</v>
      </c>
      <c r="C88" s="375"/>
      <c r="D88" s="386" t="s">
        <v>503</v>
      </c>
      <c r="E88" s="383" t="s">
        <v>613</v>
      </c>
      <c r="F88" s="375"/>
      <c r="G88" s="387" t="s">
        <v>505</v>
      </c>
      <c r="H88" s="388" t="s">
        <v>640</v>
      </c>
      <c r="I88" s="375"/>
    </row>
    <row r="89" customFormat="false" ht="12.75" hidden="false" customHeight="false" outlineLevel="0" collapsed="false">
      <c r="A89" s="404"/>
      <c r="B89" s="405" t="n">
        <f aca="false">SUM(B86:B88)</f>
        <v>0.0883723180898762</v>
      </c>
      <c r="C89" s="12"/>
      <c r="D89" s="395" t="s">
        <v>518</v>
      </c>
      <c r="E89" s="392" t="n">
        <v>0.0087</v>
      </c>
      <c r="F89" s="12"/>
      <c r="G89" s="396" t="s">
        <v>518</v>
      </c>
      <c r="H89" s="397" t="n">
        <v>0.3916</v>
      </c>
      <c r="I89" s="12"/>
    </row>
    <row r="90" customFormat="false" ht="12.75" hidden="false" customHeight="false" outlineLevel="0" collapsed="false">
      <c r="A90" s="409" t="s">
        <v>501</v>
      </c>
      <c r="B90" s="410" t="s">
        <v>639</v>
      </c>
      <c r="C90" s="12"/>
      <c r="D90" s="395" t="s">
        <v>183</v>
      </c>
      <c r="E90" s="392" t="n">
        <f aca="false">0.0022+0.007</f>
        <v>0.0092</v>
      </c>
      <c r="F90" s="12"/>
      <c r="G90" s="396" t="s">
        <v>183</v>
      </c>
      <c r="H90" s="397" t="n">
        <f aca="false">0.0022+0.007</f>
        <v>0.0092</v>
      </c>
      <c r="I90" s="12"/>
    </row>
    <row r="91" customFormat="false" ht="12.75" hidden="false" customHeight="false" outlineLevel="0" collapsed="false">
      <c r="A91" s="391" t="s">
        <v>518</v>
      </c>
      <c r="B91" s="392" t="n">
        <f aca="false">0.0511-0.0022-0.0088</f>
        <v>0.0401</v>
      </c>
      <c r="C91" s="14"/>
      <c r="D91" s="399" t="n">
        <v>0.0298</v>
      </c>
      <c r="E91" s="400" t="n">
        <f aca="false">(E$3)/(1-D91)-E$3</f>
        <v>0.154190888476603</v>
      </c>
      <c r="F91" s="14"/>
      <c r="G91" s="401" t="n">
        <v>0.0688</v>
      </c>
      <c r="H91" s="402" t="n">
        <f aca="false">(H$6)/(1-G91)-(H$6)</f>
        <v>0.37680412371134</v>
      </c>
      <c r="I91" s="14"/>
    </row>
    <row r="92" customFormat="false" ht="12.75" hidden="false" customHeight="false" outlineLevel="0" collapsed="false">
      <c r="A92" s="391" t="s">
        <v>183</v>
      </c>
      <c r="B92" s="392" t="n">
        <f aca="false">0.0021+0.007</f>
        <v>0.0091</v>
      </c>
      <c r="C92" s="17"/>
      <c r="D92" s="395"/>
      <c r="E92" s="405" t="n">
        <f aca="false">SUM(E89:E91)</f>
        <v>0.172090888476603</v>
      </c>
      <c r="F92" s="17"/>
      <c r="G92" s="396"/>
      <c r="H92" s="406" t="n">
        <f aca="false">SUM(H89:H91)</f>
        <v>0.77760412371134</v>
      </c>
      <c r="I92" s="17"/>
    </row>
    <row r="93" customFormat="false" ht="12.75" hidden="false" customHeight="false" outlineLevel="0" collapsed="false">
      <c r="A93" s="399" t="n">
        <v>0.0101</v>
      </c>
      <c r="B93" s="426" t="n">
        <f aca="false">(B5)/(1-A93)-B5</f>
        <v>0.030456106677442</v>
      </c>
      <c r="C93" s="17"/>
      <c r="D93" s="386" t="s">
        <v>503</v>
      </c>
      <c r="E93" s="383" t="s">
        <v>619</v>
      </c>
      <c r="F93" s="17"/>
      <c r="G93" s="387" t="s">
        <v>505</v>
      </c>
      <c r="H93" s="406" t="s">
        <v>644</v>
      </c>
      <c r="I93" s="17"/>
    </row>
    <row r="94" customFormat="false" ht="12.75" hidden="false" customHeight="false" outlineLevel="0" collapsed="false">
      <c r="A94" s="404"/>
      <c r="B94" s="405" t="n">
        <f aca="false">SUM(B91:B93)</f>
        <v>0.079656106677442</v>
      </c>
      <c r="C94" s="10"/>
      <c r="D94" s="395" t="s">
        <v>518</v>
      </c>
      <c r="E94" s="392" t="n">
        <v>0.0228</v>
      </c>
      <c r="F94" s="10"/>
      <c r="G94" s="396" t="s">
        <v>518</v>
      </c>
      <c r="H94" s="394" t="n">
        <v>0.2256</v>
      </c>
      <c r="I94" s="10"/>
    </row>
    <row r="95" customFormat="false" ht="12.75" hidden="false" customHeight="false" outlineLevel="0" collapsed="false">
      <c r="A95" s="409" t="s">
        <v>501</v>
      </c>
      <c r="B95" s="410" t="s">
        <v>643</v>
      </c>
      <c r="C95" s="10" t="s">
        <v>73</v>
      </c>
      <c r="D95" s="395" t="s">
        <v>183</v>
      </c>
      <c r="E95" s="392" t="n">
        <f aca="false">0.0022+0.007</f>
        <v>0.0092</v>
      </c>
      <c r="F95" s="10"/>
      <c r="G95" s="396" t="s">
        <v>183</v>
      </c>
      <c r="H95" s="397" t="n">
        <f aca="false">0.0022+0.007</f>
        <v>0.0092</v>
      </c>
      <c r="I95" s="10"/>
    </row>
    <row r="96" customFormat="false" ht="12.75" hidden="false" customHeight="false" outlineLevel="0" collapsed="false">
      <c r="A96" s="391" t="s">
        <v>518</v>
      </c>
      <c r="B96" s="392" t="n">
        <v>0.0834</v>
      </c>
      <c r="C96" s="14"/>
      <c r="D96" s="399" t="n">
        <v>0.0582</v>
      </c>
      <c r="E96" s="400" t="n">
        <f aca="false">(E$3)/(1-D96)-E$3</f>
        <v>0.310218730091314</v>
      </c>
      <c r="F96" s="14"/>
      <c r="G96" s="401" t="n">
        <v>0.0411</v>
      </c>
      <c r="H96" s="402" t="n">
        <f aca="false">(H$6)/(1-G96)-(H$6)</f>
        <v>0.218594222546669</v>
      </c>
      <c r="I96" s="14"/>
    </row>
    <row r="97" customFormat="false" ht="12.75" hidden="false" customHeight="false" outlineLevel="0" collapsed="false">
      <c r="A97" s="391" t="s">
        <v>183</v>
      </c>
      <c r="B97" s="392" t="n">
        <f aca="false">0.0021+0.007</f>
        <v>0.0091</v>
      </c>
      <c r="C97" s="17"/>
      <c r="D97" s="395"/>
      <c r="E97" s="405" t="n">
        <f aca="false">SUM(E94:E96)</f>
        <v>0.342218730091314</v>
      </c>
      <c r="F97" s="17"/>
      <c r="G97" s="396"/>
      <c r="H97" s="406" t="n">
        <f aca="false">SUM(H94:H96)</f>
        <v>0.453394222546669</v>
      </c>
      <c r="I97" s="17"/>
    </row>
    <row r="98" customFormat="false" ht="12.75" hidden="false" customHeight="false" outlineLevel="0" collapsed="false">
      <c r="A98" s="399" t="n">
        <v>0.0192</v>
      </c>
      <c r="B98" s="426" t="n">
        <f aca="false">(B5)/(1-A98)-B5</f>
        <v>0.0584339314845024</v>
      </c>
      <c r="C98" s="375"/>
      <c r="D98" s="386" t="s">
        <v>503</v>
      </c>
      <c r="E98" s="383" t="s">
        <v>623</v>
      </c>
      <c r="F98" s="375"/>
      <c r="G98" s="387" t="s">
        <v>505</v>
      </c>
      <c r="H98" s="406" t="s">
        <v>648</v>
      </c>
      <c r="I98" s="375"/>
    </row>
    <row r="99" customFormat="false" ht="12.75" hidden="false" customHeight="false" outlineLevel="0" collapsed="false">
      <c r="A99" s="404"/>
      <c r="B99" s="405" t="n">
        <f aca="false">SUM(B96:B98)</f>
        <v>0.150933931484502</v>
      </c>
      <c r="C99" s="12"/>
      <c r="D99" s="395" t="s">
        <v>518</v>
      </c>
      <c r="E99" s="392" t="n">
        <v>0.0431</v>
      </c>
      <c r="F99" s="12"/>
      <c r="G99" s="396" t="s">
        <v>518</v>
      </c>
      <c r="H99" s="394" t="n">
        <v>0.3273</v>
      </c>
      <c r="I99" s="12"/>
    </row>
    <row r="100" customFormat="false" ht="12.75" hidden="false" customHeight="false" outlineLevel="0" collapsed="false">
      <c r="A100" s="409" t="s">
        <v>501</v>
      </c>
      <c r="B100" s="410" t="s">
        <v>647</v>
      </c>
      <c r="C100" s="12"/>
      <c r="D100" s="395" t="s">
        <v>183</v>
      </c>
      <c r="E100" s="392" t="n">
        <f aca="false">0.0022+0.007</f>
        <v>0.0092</v>
      </c>
      <c r="F100" s="12"/>
      <c r="G100" s="396" t="s">
        <v>183</v>
      </c>
      <c r="H100" s="397" t="n">
        <f aca="false">0.0022+0.007</f>
        <v>0.0092</v>
      </c>
      <c r="I100" s="12"/>
    </row>
    <row r="101" customFormat="false" ht="12.75" hidden="false" customHeight="false" outlineLevel="0" collapsed="false">
      <c r="A101" s="391" t="s">
        <v>518</v>
      </c>
      <c r="B101" s="392" t="n">
        <v>0.0459</v>
      </c>
      <c r="C101" s="12"/>
      <c r="D101" s="399" t="n">
        <v>0.0826</v>
      </c>
      <c r="E101" s="400" t="n">
        <f aca="false">(E$3)/(1-D101)-E$3</f>
        <v>0.451986047525616</v>
      </c>
      <c r="F101" s="12"/>
      <c r="G101" s="401" t="n">
        <v>0.0575</v>
      </c>
      <c r="H101" s="402" t="n">
        <f aca="false">(H$6)/(1-G101)-(H$6)</f>
        <v>0.311140583554376</v>
      </c>
      <c r="I101" s="12"/>
    </row>
    <row r="102" customFormat="false" ht="12.75" hidden="false" customHeight="false" outlineLevel="0" collapsed="false">
      <c r="A102" s="391" t="s">
        <v>183</v>
      </c>
      <c r="B102" s="392" t="n">
        <f aca="false">0.0021+0.007</f>
        <v>0.0091</v>
      </c>
      <c r="C102" s="14"/>
      <c r="D102" s="395"/>
      <c r="E102" s="405" t="n">
        <f aca="false">SUM(E99:E101)</f>
        <v>0.504286047525616</v>
      </c>
      <c r="F102" s="14"/>
      <c r="G102" s="396"/>
      <c r="H102" s="406" t="n">
        <f aca="false">SUM(H99:H101)</f>
        <v>0.647640583554376</v>
      </c>
      <c r="I102" s="14"/>
    </row>
    <row r="103" customFormat="false" ht="12.75" hidden="false" customHeight="false" outlineLevel="0" collapsed="false">
      <c r="A103" s="440" t="n">
        <v>0.0107</v>
      </c>
      <c r="B103" s="400" t="n">
        <f aca="false">(+B5)/(1-A103)-B5</f>
        <v>0.032284948953806</v>
      </c>
      <c r="C103" s="17"/>
      <c r="D103" s="386" t="s">
        <v>503</v>
      </c>
      <c r="E103" s="383" t="s">
        <v>630</v>
      </c>
      <c r="F103" s="17"/>
      <c r="G103" s="387" t="s">
        <v>505</v>
      </c>
      <c r="H103" s="406" t="s">
        <v>652</v>
      </c>
      <c r="I103" s="17"/>
    </row>
    <row r="104" customFormat="false" ht="12.75" hidden="false" customHeight="false" outlineLevel="0" collapsed="false">
      <c r="A104" s="404"/>
      <c r="B104" s="405" t="n">
        <f aca="false">SUM(B101:B103)</f>
        <v>0.087284948953806</v>
      </c>
      <c r="D104" s="395" t="s">
        <v>518</v>
      </c>
      <c r="E104" s="392" t="n">
        <v>0.057</v>
      </c>
      <c r="G104" s="396" t="s">
        <v>518</v>
      </c>
      <c r="H104" s="394" t="n">
        <v>0.1806</v>
      </c>
    </row>
    <row r="105" customFormat="false" ht="12.75" hidden="false" customHeight="false" outlineLevel="0" collapsed="false">
      <c r="A105" s="409" t="s">
        <v>501</v>
      </c>
      <c r="B105" s="417" t="s">
        <v>651</v>
      </c>
      <c r="C105" s="375"/>
      <c r="D105" s="395" t="s">
        <v>183</v>
      </c>
      <c r="E105" s="392" t="n">
        <f aca="false">0.0022+0.007</f>
        <v>0.0092</v>
      </c>
      <c r="F105" s="375"/>
      <c r="G105" s="396" t="s">
        <v>183</v>
      </c>
      <c r="H105" s="397" t="n">
        <f aca="false">0.0022+0.007</f>
        <v>0.0092</v>
      </c>
      <c r="I105" s="375"/>
    </row>
    <row r="106" customFormat="false" ht="12.75" hidden="false" customHeight="false" outlineLevel="0" collapsed="false">
      <c r="A106" s="404" t="s">
        <v>518</v>
      </c>
      <c r="B106" s="392" t="n">
        <v>0.0427</v>
      </c>
      <c r="C106" s="12"/>
      <c r="D106" s="399" t="n">
        <v>0.0986</v>
      </c>
      <c r="E106" s="400" t="n">
        <f aca="false">(E$3)/(1-D106)-E$3</f>
        <v>0.549114710450411</v>
      </c>
      <c r="F106" s="12"/>
      <c r="G106" s="401" t="n">
        <v>0.0333</v>
      </c>
      <c r="H106" s="402" t="n">
        <f aca="false">(H$7)/(1-G106)-H$7</f>
        <v>0.196176166339092</v>
      </c>
      <c r="I106" s="12"/>
    </row>
    <row r="107" customFormat="false" ht="12.75" hidden="false" customHeight="false" outlineLevel="0" collapsed="false">
      <c r="A107" s="404" t="s">
        <v>183</v>
      </c>
      <c r="B107" s="392" t="n">
        <f aca="false">0.0021+0.007</f>
        <v>0.0091</v>
      </c>
      <c r="C107" s="12"/>
      <c r="D107" s="395"/>
      <c r="E107" s="405" t="n">
        <f aca="false">SUM(E104:E106)</f>
        <v>0.615314710450411</v>
      </c>
      <c r="F107" s="12"/>
      <c r="G107" s="396"/>
      <c r="H107" s="406" t="n">
        <f aca="false">SUM(H104:H106)</f>
        <v>0.385976166339092</v>
      </c>
      <c r="I107" s="12"/>
    </row>
    <row r="108" customFormat="false" ht="12.75" hidden="false" customHeight="false" outlineLevel="0" collapsed="false">
      <c r="A108" s="399" t="n">
        <v>0.0117</v>
      </c>
      <c r="B108" s="403" t="n">
        <f aca="false">(+B5)/(1-A108)-B5</f>
        <v>0.0353379540625318</v>
      </c>
      <c r="C108" s="14"/>
      <c r="D108" s="386" t="s">
        <v>503</v>
      </c>
      <c r="E108" s="383" t="s">
        <v>657</v>
      </c>
      <c r="F108" s="14"/>
      <c r="G108" s="442"/>
      <c r="H108" s="17"/>
      <c r="I108" s="14"/>
    </row>
    <row r="109" customFormat="false" ht="12.75" hidden="false" customHeight="false" outlineLevel="0" collapsed="false">
      <c r="A109" s="404"/>
      <c r="B109" s="405" t="n">
        <f aca="false">SUM(B106:B108)</f>
        <v>0.0871379540625318</v>
      </c>
      <c r="C109" s="17"/>
      <c r="D109" s="395" t="s">
        <v>518</v>
      </c>
      <c r="E109" s="392" t="n">
        <v>0.0141</v>
      </c>
      <c r="F109" s="17"/>
      <c r="G109" s="12"/>
      <c r="H109" s="10"/>
      <c r="I109" s="17"/>
    </row>
    <row r="110" customFormat="false" ht="12.75" hidden="false" customHeight="false" outlineLevel="0" collapsed="false">
      <c r="A110" s="441" t="s">
        <v>655</v>
      </c>
      <c r="B110" s="417" t="s">
        <v>656</v>
      </c>
      <c r="C110" s="375"/>
      <c r="D110" s="395" t="s">
        <v>183</v>
      </c>
      <c r="E110" s="392" t="n">
        <f aca="false">0.0022+0.007</f>
        <v>0.0092</v>
      </c>
      <c r="F110" s="375"/>
      <c r="G110" s="12"/>
      <c r="H110" s="12"/>
      <c r="I110" s="375"/>
    </row>
    <row r="111" customFormat="false" ht="12.75" hidden="false" customHeight="false" outlineLevel="0" collapsed="false">
      <c r="A111" s="404" t="s">
        <v>518</v>
      </c>
      <c r="B111" s="392" t="n">
        <v>0.0427</v>
      </c>
      <c r="C111" s="12"/>
      <c r="D111" s="399" t="n">
        <v>0.0284</v>
      </c>
      <c r="E111" s="400" t="n">
        <f aca="false">(E$6)/(1-D111)-E$6</f>
        <v>0.149073692877727</v>
      </c>
      <c r="F111" s="12"/>
      <c r="G111" s="12"/>
      <c r="H111" s="14"/>
      <c r="I111" s="12"/>
    </row>
    <row r="112" customFormat="false" ht="12.75" hidden="false" customHeight="false" outlineLevel="0" collapsed="false">
      <c r="A112" s="404" t="s">
        <v>183</v>
      </c>
      <c r="B112" s="392" t="n">
        <f aca="false">0.0021+0.007</f>
        <v>0.0091</v>
      </c>
      <c r="C112" s="12"/>
      <c r="D112" s="395"/>
      <c r="E112" s="405" t="n">
        <f aca="false">SUM(E109:E111)</f>
        <v>0.172373692877727</v>
      </c>
      <c r="F112" s="12"/>
      <c r="G112" s="12"/>
      <c r="H112" s="17"/>
      <c r="I112" s="12"/>
    </row>
    <row r="113" customFormat="false" ht="12.75" hidden="false" customHeight="false" outlineLevel="0" collapsed="false">
      <c r="A113" s="399" t="n">
        <v>0.005</v>
      </c>
      <c r="B113" s="426" t="n">
        <f aca="false">(+B$5)/(1-A113)-B$5</f>
        <v>0.0150000000000001</v>
      </c>
      <c r="C113" s="14"/>
      <c r="D113" s="386" t="s">
        <v>503</v>
      </c>
      <c r="E113" s="383" t="s">
        <v>636</v>
      </c>
      <c r="F113" s="14"/>
      <c r="G113" s="12"/>
      <c r="H113" s="12"/>
      <c r="I113" s="14"/>
    </row>
    <row r="114" customFormat="false" ht="12.75" hidden="false" customHeight="false" outlineLevel="0" collapsed="false">
      <c r="A114" s="404"/>
      <c r="B114" s="405" t="n">
        <f aca="false">SUM(B111:B113)</f>
        <v>0.0668000000000001</v>
      </c>
      <c r="C114" s="17"/>
      <c r="D114" s="395" t="s">
        <v>518</v>
      </c>
      <c r="E114" s="392" t="n">
        <v>0.0344</v>
      </c>
      <c r="F114" s="17"/>
      <c r="G114" s="12"/>
      <c r="H114" s="12"/>
      <c r="I114" s="17"/>
    </row>
    <row r="115" customFormat="false" ht="12.75" hidden="false" customHeight="false" outlineLevel="0" collapsed="false">
      <c r="A115" s="409" t="s">
        <v>501</v>
      </c>
      <c r="B115" s="417" t="s">
        <v>659</v>
      </c>
      <c r="D115" s="395" t="s">
        <v>183</v>
      </c>
      <c r="E115" s="392" t="n">
        <f aca="false">0.0022+0.007</f>
        <v>0.0092</v>
      </c>
      <c r="G115" s="14"/>
      <c r="H115" s="14"/>
    </row>
    <row r="116" customFormat="false" ht="12.75" hidden="false" customHeight="false" outlineLevel="0" collapsed="false">
      <c r="A116" s="404" t="s">
        <v>518</v>
      </c>
      <c r="B116" s="392" t="n">
        <v>0.0765</v>
      </c>
      <c r="D116" s="399" t="n">
        <v>0.0528</v>
      </c>
      <c r="E116" s="400" t="n">
        <f aca="false">(E$6)/(1-D116)-E$6</f>
        <v>0.284290540540541</v>
      </c>
      <c r="G116" s="17"/>
      <c r="H116" s="17"/>
    </row>
    <row r="117" customFormat="false" ht="12.75" hidden="false" customHeight="false" outlineLevel="0" collapsed="false">
      <c r="A117" s="404" t="s">
        <v>183</v>
      </c>
      <c r="B117" s="392" t="n">
        <f aca="false">0.0021+0.007</f>
        <v>0.0091</v>
      </c>
      <c r="D117" s="395"/>
      <c r="E117" s="405" t="n">
        <f aca="false">SUM(E114:E116)</f>
        <v>0.327890540540541</v>
      </c>
      <c r="G117" s="375"/>
      <c r="H117" s="375"/>
    </row>
    <row r="118" customFormat="false" ht="12.75" hidden="false" customHeight="false" outlineLevel="0" collapsed="false">
      <c r="A118" s="440" t="n">
        <v>0.0186</v>
      </c>
      <c r="B118" s="400" t="n">
        <f aca="false">(+B5)/(1-A118)-B5</f>
        <v>0.0565732626859585</v>
      </c>
      <c r="D118" s="386" t="s">
        <v>503</v>
      </c>
      <c r="E118" s="383" t="s">
        <v>640</v>
      </c>
      <c r="G118" s="12"/>
      <c r="H118" s="12"/>
    </row>
    <row r="119" customFormat="false" ht="12.75" hidden="false" customHeight="false" outlineLevel="0" collapsed="false">
      <c r="A119" s="404"/>
      <c r="B119" s="405" t="n">
        <f aca="false">SUM(B116:B118)</f>
        <v>0.142173262685959</v>
      </c>
      <c r="D119" s="395" t="s">
        <v>518</v>
      </c>
      <c r="E119" s="392" t="n">
        <v>0.0483</v>
      </c>
      <c r="G119" s="12"/>
      <c r="H119" s="12"/>
    </row>
    <row r="120" customFormat="false" ht="12.75" hidden="false" customHeight="false" outlineLevel="0" collapsed="false">
      <c r="A120" s="409" t="s">
        <v>501</v>
      </c>
      <c r="B120" s="417" t="s">
        <v>661</v>
      </c>
      <c r="D120" s="395" t="s">
        <v>183</v>
      </c>
      <c r="E120" s="392" t="n">
        <f aca="false">0.0022+0.007</f>
        <v>0.0092</v>
      </c>
      <c r="G120" s="14"/>
      <c r="H120" s="14"/>
    </row>
    <row r="121" customFormat="false" ht="12.75" hidden="false" customHeight="false" outlineLevel="0" collapsed="false">
      <c r="A121" s="404" t="s">
        <v>518</v>
      </c>
      <c r="B121" s="392" t="n">
        <v>0.0834</v>
      </c>
      <c r="D121" s="399" t="n">
        <v>0.0688</v>
      </c>
      <c r="E121" s="400" t="n">
        <f aca="false">(E$6)/(1-D121)-E$6</f>
        <v>0.37680412371134</v>
      </c>
      <c r="G121" s="17"/>
      <c r="H121" s="17"/>
    </row>
    <row r="122" customFormat="false" ht="12.75" hidden="false" customHeight="false" outlineLevel="0" collapsed="false">
      <c r="A122" s="404" t="s">
        <v>183</v>
      </c>
      <c r="B122" s="392" t="n">
        <f aca="false">0.0021+0.007</f>
        <v>0.0091</v>
      </c>
      <c r="D122" s="395"/>
      <c r="E122" s="405" t="n">
        <f aca="false">SUM(E119:E121)</f>
        <v>0.43430412371134</v>
      </c>
      <c r="G122" s="17"/>
      <c r="H122" s="17"/>
    </row>
    <row r="123" customFormat="false" ht="12.75" hidden="false" customHeight="false" outlineLevel="0" collapsed="false">
      <c r="A123" s="444" t="n">
        <v>0.022</v>
      </c>
      <c r="B123" s="400" t="n">
        <f aca="false">(+B$5)/(1-A123)-B$5</f>
        <v>0.0671472392638037</v>
      </c>
      <c r="D123" s="386" t="s">
        <v>503</v>
      </c>
      <c r="E123" s="405" t="s">
        <v>644</v>
      </c>
      <c r="G123" s="10"/>
      <c r="H123" s="10"/>
    </row>
    <row r="124" customFormat="false" ht="12.75" hidden="false" customHeight="false" outlineLevel="0" collapsed="false">
      <c r="A124" s="404"/>
      <c r="B124" s="405" t="n">
        <f aca="false">SUM(B121:B123)</f>
        <v>0.159647239263804</v>
      </c>
      <c r="D124" s="395" t="s">
        <v>518</v>
      </c>
      <c r="E124" s="432" t="n">
        <v>0.0245</v>
      </c>
      <c r="G124" s="10"/>
      <c r="H124" s="10"/>
    </row>
    <row r="125" customFormat="false" ht="12.75" hidden="false" customHeight="false" outlineLevel="0" collapsed="false">
      <c r="A125" s="409" t="s">
        <v>501</v>
      </c>
      <c r="B125" s="417" t="s">
        <v>664</v>
      </c>
      <c r="D125" s="395" t="s">
        <v>183</v>
      </c>
      <c r="E125" s="392" t="n">
        <f aca="false">0.0022</f>
        <v>0.0022</v>
      </c>
      <c r="G125" s="10"/>
      <c r="H125" s="10"/>
    </row>
    <row r="126" customFormat="false" ht="12.75" hidden="false" customHeight="false" outlineLevel="0" collapsed="false">
      <c r="A126" s="404" t="s">
        <v>518</v>
      </c>
      <c r="B126" s="392" t="n">
        <v>0.0765</v>
      </c>
      <c r="D126" s="399" t="n">
        <v>0.0411</v>
      </c>
      <c r="E126" s="400" t="n">
        <f aca="false">(E$7)/(1-D126)-E$7</f>
        <v>0.244096881843779</v>
      </c>
      <c r="G126" s="14"/>
      <c r="H126" s="14"/>
    </row>
    <row r="127" customFormat="false" ht="12.75" hidden="false" customHeight="false" outlineLevel="0" collapsed="false">
      <c r="A127" s="404" t="s">
        <v>183</v>
      </c>
      <c r="B127" s="392" t="n">
        <f aca="false">0.0021+0.007</f>
        <v>0.0091</v>
      </c>
      <c r="D127" s="395"/>
      <c r="E127" s="405" t="n">
        <f aca="false">SUM(E124:E126)</f>
        <v>0.270796881843779</v>
      </c>
      <c r="G127" s="17"/>
      <c r="H127" s="17"/>
    </row>
    <row r="128" customFormat="false" ht="12.75" hidden="false" customHeight="false" outlineLevel="0" collapsed="false">
      <c r="A128" s="444" t="n">
        <v>0.0127</v>
      </c>
      <c r="B128" s="400" t="n">
        <f aca="false">(+B$5)/(1-A128)-B$5</f>
        <v>0.0383971437253114</v>
      </c>
      <c r="D128" s="386" t="s">
        <v>503</v>
      </c>
      <c r="E128" s="405" t="s">
        <v>648</v>
      </c>
      <c r="G128" s="375"/>
      <c r="H128" s="375"/>
    </row>
    <row r="129" customFormat="false" ht="12.75" hidden="false" customHeight="false" outlineLevel="0" collapsed="false">
      <c r="A129" s="404"/>
      <c r="B129" s="405" t="n">
        <f aca="false">SUM(B126:B128)</f>
        <v>0.123997143725311</v>
      </c>
      <c r="D129" s="395" t="s">
        <v>518</v>
      </c>
      <c r="E129" s="432" t="n">
        <v>0.0385</v>
      </c>
      <c r="G129" s="12"/>
      <c r="H129" s="12"/>
    </row>
    <row r="130" customFormat="false" ht="12.75" hidden="false" customHeight="false" outlineLevel="0" collapsed="false">
      <c r="A130" s="409" t="s">
        <v>501</v>
      </c>
      <c r="B130" s="417" t="s">
        <v>666</v>
      </c>
      <c r="D130" s="395" t="s">
        <v>183</v>
      </c>
      <c r="E130" s="392" t="n">
        <f aca="false">0.0022+0.007</f>
        <v>0.0092</v>
      </c>
      <c r="G130" s="12"/>
      <c r="H130" s="12"/>
    </row>
    <row r="131" customFormat="false" ht="12.75" hidden="false" customHeight="false" outlineLevel="0" collapsed="false">
      <c r="A131" s="404" t="s">
        <v>518</v>
      </c>
      <c r="B131" s="392" t="n">
        <v>0.0642</v>
      </c>
      <c r="D131" s="399" t="n">
        <v>0.0575</v>
      </c>
      <c r="E131" s="400" t="n">
        <f aca="false">(E$7)/(1-D131)-E$7</f>
        <v>0.347440318302387</v>
      </c>
      <c r="G131" s="14"/>
      <c r="H131" s="14"/>
    </row>
    <row r="132" customFormat="false" ht="12.75" hidden="false" customHeight="false" outlineLevel="0" collapsed="false">
      <c r="A132" s="404" t="s">
        <v>183</v>
      </c>
      <c r="B132" s="392" t="n">
        <f aca="false">0.0021+0.007</f>
        <v>0.0091</v>
      </c>
      <c r="D132" s="395"/>
      <c r="E132" s="405" t="n">
        <f aca="false">SUM(E129:E131)</f>
        <v>0.395140318302387</v>
      </c>
      <c r="G132" s="17"/>
      <c r="H132" s="17"/>
    </row>
    <row r="133" customFormat="false" ht="12.75" hidden="false" customHeight="false" outlineLevel="0" collapsed="false">
      <c r="A133" s="399" t="n">
        <v>0.0085</v>
      </c>
      <c r="B133" s="400" t="n">
        <f aca="false">(+B4)/(1-A133)-B4</f>
        <v>0.0232753403933432</v>
      </c>
      <c r="D133" s="386" t="s">
        <v>503</v>
      </c>
      <c r="E133" s="405" t="s">
        <v>652</v>
      </c>
    </row>
    <row r="134" customFormat="false" ht="12.75" hidden="false" customHeight="false" outlineLevel="0" collapsed="false">
      <c r="A134" s="404"/>
      <c r="B134" s="405" t="n">
        <f aca="false">SUM(B131:B133)</f>
        <v>0.0965753403933432</v>
      </c>
      <c r="D134" s="395" t="s">
        <v>518</v>
      </c>
      <c r="E134" s="432" t="n">
        <v>0.0182</v>
      </c>
      <c r="G134" s="375"/>
      <c r="H134" s="375"/>
    </row>
    <row r="135" customFormat="false" ht="12.75" hidden="false" customHeight="false" outlineLevel="0" collapsed="false">
      <c r="A135" s="409" t="s">
        <v>668</v>
      </c>
      <c r="B135" s="410"/>
      <c r="D135" s="395" t="s">
        <v>183</v>
      </c>
      <c r="E135" s="392" t="n">
        <f aca="false">0.0022+0.007</f>
        <v>0.0092</v>
      </c>
      <c r="G135" s="12"/>
      <c r="H135" s="12"/>
    </row>
    <row r="136" customFormat="false" ht="12.75" hidden="false" customHeight="false" outlineLevel="0" collapsed="false">
      <c r="A136" s="391" t="s">
        <v>518</v>
      </c>
      <c r="B136" s="392" t="n">
        <v>0</v>
      </c>
      <c r="D136" s="399" t="n">
        <v>0.0333</v>
      </c>
      <c r="E136" s="400" t="n">
        <f aca="false">(E$7)/(1-D136)-E$7</f>
        <v>0.196176166339092</v>
      </c>
      <c r="G136" s="12"/>
      <c r="H136" s="12"/>
    </row>
    <row r="137" customFormat="false" ht="12.75" hidden="false" customHeight="false" outlineLevel="0" collapsed="false">
      <c r="A137" s="391" t="s">
        <v>183</v>
      </c>
      <c r="B137" s="392" t="n">
        <f aca="false">0.0021+0.007</f>
        <v>0.0091</v>
      </c>
      <c r="D137" s="395"/>
      <c r="E137" s="405" t="n">
        <f aca="false">SUM(E134:E136)</f>
        <v>0.223576166339092</v>
      </c>
      <c r="G137" s="14"/>
      <c r="H137" s="14"/>
    </row>
    <row r="138" customFormat="false" ht="12.75" hidden="false" customHeight="false" outlineLevel="0" collapsed="false">
      <c r="A138" s="391" t="s">
        <v>669</v>
      </c>
      <c r="B138" s="400" t="n">
        <f aca="false">(+AC3+AC17)/(1-0.0131)-(+AC3+AC17)</f>
        <v>0</v>
      </c>
      <c r="C138" s="2"/>
      <c r="D138" s="12"/>
      <c r="E138" s="12"/>
      <c r="F138" s="2"/>
      <c r="G138" s="17"/>
      <c r="H138" s="17"/>
    </row>
    <row r="139" customFormat="false" ht="12.75" hidden="false" customHeight="false" outlineLevel="0" collapsed="false">
      <c r="A139" s="404"/>
      <c r="B139" s="405" t="n">
        <f aca="false">SUM(B136:B138)</f>
        <v>0.0091</v>
      </c>
      <c r="C139" s="2"/>
      <c r="D139" s="12"/>
      <c r="E139" s="10"/>
      <c r="F139" s="2"/>
      <c r="G139" s="375"/>
      <c r="H139" s="375"/>
    </row>
    <row r="140" customFormat="false" ht="12.75" hidden="false" customHeight="false" outlineLevel="0" collapsed="false">
      <c r="A140" s="411" t="s">
        <v>501</v>
      </c>
      <c r="B140" s="412" t="s">
        <v>671</v>
      </c>
      <c r="C140" s="2"/>
      <c r="D140" s="12"/>
      <c r="E140" s="12"/>
      <c r="F140" s="2"/>
      <c r="G140" s="12"/>
      <c r="H140" s="12"/>
    </row>
    <row r="141" customFormat="false" ht="12.75" hidden="false" customHeight="false" outlineLevel="0" collapsed="false">
      <c r="A141" s="393" t="s">
        <v>518</v>
      </c>
      <c r="B141" s="398" t="n">
        <f aca="false">0.1599-0.0022</f>
        <v>0.1577</v>
      </c>
      <c r="C141" s="2"/>
      <c r="D141" s="12"/>
      <c r="E141" s="14"/>
      <c r="F141" s="2"/>
      <c r="G141" s="12"/>
      <c r="H141" s="12"/>
    </row>
    <row r="142" customFormat="false" ht="12.75" hidden="false" customHeight="false" outlineLevel="0" collapsed="false">
      <c r="A142" s="393" t="s">
        <v>183</v>
      </c>
      <c r="B142" s="397" t="n">
        <f aca="false">0.0021+0+0.0225+0.007</f>
        <v>0.0316</v>
      </c>
      <c r="C142" s="2"/>
      <c r="D142" s="12"/>
      <c r="E142" s="17"/>
      <c r="F142" s="2"/>
      <c r="G142" s="14"/>
      <c r="H142" s="14"/>
    </row>
    <row r="143" customFormat="false" ht="12.75" hidden="false" customHeight="false" outlineLevel="0" collapsed="false">
      <c r="A143" s="448" t="n">
        <v>0.0095</v>
      </c>
      <c r="B143" s="449" t="n">
        <f aca="false">(B4)/(1-A143)-B4</f>
        <v>0.0260398788490659</v>
      </c>
      <c r="C143" s="2"/>
      <c r="D143" s="12"/>
      <c r="E143" s="12"/>
      <c r="F143" s="2"/>
      <c r="G143" s="17"/>
      <c r="H143" s="17"/>
    </row>
    <row r="144" customFormat="false" ht="12.75" hidden="false" customHeight="false" outlineLevel="0" collapsed="false">
      <c r="A144" s="407"/>
      <c r="B144" s="406" t="n">
        <f aca="false">SUM(B141:B143)</f>
        <v>0.215339878849066</v>
      </c>
      <c r="C144" s="2"/>
      <c r="D144" s="12"/>
      <c r="E144" s="12"/>
      <c r="F144" s="2"/>
    </row>
    <row r="145" customFormat="false" ht="12.75" hidden="false" customHeight="false" outlineLevel="0" collapsed="false">
      <c r="A145" s="411" t="s">
        <v>501</v>
      </c>
      <c r="B145" s="412" t="s">
        <v>672</v>
      </c>
      <c r="C145" s="2"/>
      <c r="D145" s="14"/>
      <c r="E145" s="14"/>
      <c r="F145" s="2"/>
    </row>
    <row r="146" customFormat="false" ht="12.75" hidden="false" customHeight="false" outlineLevel="0" collapsed="false">
      <c r="A146" s="393" t="s">
        <v>518</v>
      </c>
      <c r="B146" s="398" t="n">
        <f aca="false">0.3212-0.0022</f>
        <v>0.319</v>
      </c>
      <c r="D146" s="17"/>
      <c r="E146" s="17"/>
    </row>
    <row r="147" customFormat="false" ht="12.75" hidden="false" customHeight="false" outlineLevel="0" collapsed="false">
      <c r="A147" s="393" t="s">
        <v>183</v>
      </c>
      <c r="B147" s="397" t="n">
        <f aca="false">0.0021+0+0.0225+0.007</f>
        <v>0.0316</v>
      </c>
      <c r="D147" s="375"/>
      <c r="E147" s="375"/>
    </row>
    <row r="148" customFormat="false" ht="12.75" hidden="false" customHeight="false" outlineLevel="0" collapsed="false">
      <c r="A148" s="448" t="n">
        <v>0.0244</v>
      </c>
      <c r="B148" s="402" t="n">
        <f aca="false">(B3)/(1-A148)-B3</f>
        <v>0.0682779827798279</v>
      </c>
      <c r="D148" s="12"/>
      <c r="E148" s="12"/>
    </row>
    <row r="149" customFormat="false" ht="12.75" hidden="false" customHeight="false" outlineLevel="0" collapsed="false">
      <c r="A149" s="407"/>
      <c r="B149" s="406" t="n">
        <f aca="false">SUM(B146:B148)</f>
        <v>0.418877982779828</v>
      </c>
      <c r="D149" s="12"/>
      <c r="E149" s="12"/>
    </row>
    <row r="150" customFormat="false" ht="12.75" hidden="false" customHeight="false" outlineLevel="0" collapsed="false">
      <c r="A150" s="411" t="s">
        <v>501</v>
      </c>
      <c r="B150" s="412" t="s">
        <v>673</v>
      </c>
      <c r="D150" s="14"/>
      <c r="E150" s="14"/>
    </row>
    <row r="151" customFormat="false" ht="12.75" hidden="false" customHeight="false" outlineLevel="0" collapsed="false">
      <c r="A151" s="393" t="s">
        <v>518</v>
      </c>
      <c r="B151" s="398" t="n">
        <v>0.484</v>
      </c>
      <c r="D151" s="17"/>
      <c r="E151" s="17"/>
    </row>
    <row r="152" customFormat="false" ht="12.75" hidden="false" customHeight="false" outlineLevel="0" collapsed="false">
      <c r="A152" s="393" t="s">
        <v>183</v>
      </c>
      <c r="B152" s="397" t="n">
        <f aca="false">0.0021</f>
        <v>0.0021</v>
      </c>
      <c r="D152" s="17"/>
      <c r="E152" s="17"/>
    </row>
    <row r="153" customFormat="false" ht="12.75" hidden="false" customHeight="false" outlineLevel="0" collapsed="false">
      <c r="A153" s="448" t="n">
        <v>0.0504</v>
      </c>
      <c r="B153" s="450" t="n">
        <f aca="false">(B3)/(1-A153)-B3</f>
        <v>0.144894692502106</v>
      </c>
      <c r="D153" s="10"/>
      <c r="E153" s="10"/>
    </row>
    <row r="154" customFormat="false" ht="12.75" hidden="false" customHeight="false" outlineLevel="0" collapsed="false">
      <c r="A154" s="407"/>
      <c r="B154" s="406" t="n">
        <f aca="false">SUM(B151:B153)</f>
        <v>0.630994692502106</v>
      </c>
      <c r="D154" s="10"/>
      <c r="E154" s="10"/>
    </row>
    <row r="155" customFormat="false" ht="12.75" hidden="false" customHeight="false" outlineLevel="0" collapsed="false">
      <c r="A155" s="411" t="s">
        <v>501</v>
      </c>
      <c r="B155" s="412" t="s">
        <v>674</v>
      </c>
      <c r="D155" s="10"/>
      <c r="E155" s="10"/>
    </row>
    <row r="156" customFormat="false" ht="12.75" hidden="false" customHeight="false" outlineLevel="0" collapsed="false">
      <c r="A156" s="393" t="s">
        <v>518</v>
      </c>
      <c r="B156" s="398" t="n">
        <v>0.5536</v>
      </c>
      <c r="D156" s="14"/>
      <c r="E156" s="14"/>
    </row>
    <row r="157" customFormat="false" ht="12.75" hidden="false" customHeight="false" outlineLevel="0" collapsed="false">
      <c r="A157" s="393" t="s">
        <v>183</v>
      </c>
      <c r="B157" s="397" t="n">
        <f aca="false">0.0021</f>
        <v>0.0021</v>
      </c>
      <c r="D157" s="17"/>
      <c r="E157" s="17"/>
    </row>
    <row r="158" customFormat="false" ht="12.75" hidden="false" customHeight="false" outlineLevel="0" collapsed="false">
      <c r="A158" s="448" t="n">
        <v>0.058</v>
      </c>
      <c r="B158" s="450" t="n">
        <f aca="false">(B3)/(1-A158)-B3</f>
        <v>0.168089171974522</v>
      </c>
      <c r="D158" s="375"/>
      <c r="E158" s="375"/>
    </row>
    <row r="159" customFormat="false" ht="12.75" hidden="false" customHeight="false" outlineLevel="0" collapsed="false">
      <c r="A159" s="407"/>
      <c r="B159" s="406" t="n">
        <f aca="false">SUM(B156:B158)</f>
        <v>0.723789171974522</v>
      </c>
      <c r="D159" s="12"/>
      <c r="E159" s="12"/>
    </row>
    <row r="160" customFormat="false" ht="12.75" hidden="false" customHeight="false" outlineLevel="0" collapsed="false">
      <c r="A160" s="411" t="s">
        <v>501</v>
      </c>
      <c r="B160" s="412" t="s">
        <v>675</v>
      </c>
      <c r="D160" s="12"/>
      <c r="E160" s="12"/>
    </row>
    <row r="161" customFormat="false" ht="12.75" hidden="false" customHeight="false" outlineLevel="0" collapsed="false">
      <c r="A161" s="393" t="s">
        <v>518</v>
      </c>
      <c r="B161" s="398" t="n">
        <v>0.7462</v>
      </c>
      <c r="D161" s="14"/>
      <c r="E161" s="14"/>
    </row>
    <row r="162" customFormat="false" ht="12.75" hidden="false" customHeight="false" outlineLevel="0" collapsed="false">
      <c r="A162" s="393" t="s">
        <v>183</v>
      </c>
      <c r="B162" s="397" t="n">
        <f aca="false">0.0021+0.007</f>
        <v>0.0091</v>
      </c>
      <c r="D162" s="17"/>
      <c r="E162" s="17"/>
    </row>
    <row r="163" customFormat="false" ht="12.75" hidden="false" customHeight="false" outlineLevel="0" collapsed="false">
      <c r="A163" s="448" t="n">
        <v>0.0742</v>
      </c>
      <c r="B163" s="450" t="n">
        <f aca="false">(B3)/(1-A163)-B3</f>
        <v>0.218801036941024</v>
      </c>
    </row>
    <row r="164" customFormat="false" ht="12.75" hidden="false" customHeight="false" outlineLevel="0" collapsed="false">
      <c r="A164" s="407"/>
      <c r="B164" s="406" t="n">
        <f aca="false">SUM(B161:B163)</f>
        <v>0.974101036941024</v>
      </c>
      <c r="D164" s="375"/>
      <c r="E164" s="375"/>
    </row>
    <row r="165" customFormat="false" ht="12.75" hidden="false" customHeight="false" outlineLevel="0" collapsed="false">
      <c r="A165" s="411" t="s">
        <v>501</v>
      </c>
      <c r="B165" s="412" t="s">
        <v>676</v>
      </c>
      <c r="D165" s="12"/>
      <c r="E165" s="12"/>
    </row>
    <row r="166" customFormat="false" ht="12.75" hidden="false" customHeight="false" outlineLevel="0" collapsed="false">
      <c r="A166" s="393" t="s">
        <v>518</v>
      </c>
      <c r="B166" s="398" t="n">
        <f aca="false">0.3703-0.0022</f>
        <v>0.3681</v>
      </c>
      <c r="D166" s="12"/>
      <c r="E166" s="12"/>
    </row>
    <row r="167" customFormat="false" ht="12.75" hidden="false" customHeight="false" outlineLevel="0" collapsed="false">
      <c r="A167" s="393" t="s">
        <v>183</v>
      </c>
      <c r="B167" s="397" t="n">
        <f aca="false">0.0021+0+0.0225+0.007</f>
        <v>0.0316</v>
      </c>
      <c r="D167" s="14"/>
      <c r="E167" s="14"/>
    </row>
    <row r="168" customFormat="false" ht="12.75" hidden="false" customHeight="false" outlineLevel="0" collapsed="false">
      <c r="A168" s="448" t="n">
        <v>0.0369</v>
      </c>
      <c r="B168" s="450" t="n">
        <f aca="false">(B4)/(1-A168)-B4</f>
        <v>0.104021908420725</v>
      </c>
      <c r="D168" s="17"/>
      <c r="E168" s="17"/>
    </row>
    <row r="169" customFormat="false" ht="12.75" hidden="false" customHeight="false" outlineLevel="0" collapsed="false">
      <c r="A169" s="407"/>
      <c r="B169" s="406" t="n">
        <f aca="false">SUM(B166:B168)</f>
        <v>0.503721908420725</v>
      </c>
      <c r="D169" s="375"/>
      <c r="E169" s="375"/>
    </row>
    <row r="170" customFormat="false" ht="12.75" hidden="false" customHeight="false" outlineLevel="0" collapsed="false">
      <c r="A170" s="411" t="s">
        <v>501</v>
      </c>
      <c r="B170" s="451" t="s">
        <v>677</v>
      </c>
      <c r="D170" s="12"/>
      <c r="E170" s="12"/>
    </row>
    <row r="171" customFormat="false" ht="12.75" hidden="false" customHeight="false" outlineLevel="0" collapsed="false">
      <c r="A171" s="407" t="s">
        <v>518</v>
      </c>
      <c r="B171" s="398" t="n">
        <v>0.4259</v>
      </c>
      <c r="D171" s="12"/>
      <c r="E171" s="12"/>
    </row>
    <row r="172" customFormat="false" ht="12.75" hidden="false" customHeight="false" outlineLevel="0" collapsed="false">
      <c r="A172" s="407" t="s">
        <v>183</v>
      </c>
      <c r="B172" s="397" t="n">
        <f aca="false">0.0021</f>
        <v>0.0021</v>
      </c>
      <c r="D172" s="14"/>
      <c r="E172" s="14"/>
    </row>
    <row r="173" customFormat="false" ht="12.75" hidden="false" customHeight="false" outlineLevel="0" collapsed="false">
      <c r="A173" s="401" t="n">
        <v>0.0429</v>
      </c>
      <c r="B173" s="402" t="n">
        <f aca="false">(B4)/(1-A173)-B4</f>
        <v>0.121694180336433</v>
      </c>
      <c r="D173" s="17"/>
      <c r="E173" s="17"/>
    </row>
    <row r="174" customFormat="false" ht="12.75" hidden="false" customHeight="false" outlineLevel="0" collapsed="false">
      <c r="A174" s="407"/>
      <c r="B174" s="406" t="n">
        <f aca="false">SUM(B171:B173)</f>
        <v>0.549694180336433</v>
      </c>
    </row>
    <row r="175" customFormat="false" ht="12.75" hidden="false" customHeight="false" outlineLevel="0" collapsed="false">
      <c r="A175" s="411" t="s">
        <v>501</v>
      </c>
      <c r="B175" s="451" t="s">
        <v>678</v>
      </c>
    </row>
    <row r="176" customFormat="false" ht="12.75" hidden="false" customHeight="false" outlineLevel="0" collapsed="false">
      <c r="A176" s="407" t="s">
        <v>518</v>
      </c>
      <c r="B176" s="398" t="n">
        <v>0.4955</v>
      </c>
    </row>
    <row r="177" customFormat="false" ht="12.75" hidden="false" customHeight="false" outlineLevel="0" collapsed="false">
      <c r="A177" s="407" t="s">
        <v>183</v>
      </c>
      <c r="B177" s="397" t="n">
        <f aca="false">0.0021</f>
        <v>0.0021</v>
      </c>
    </row>
    <row r="178" customFormat="false" ht="12.75" hidden="false" customHeight="false" outlineLevel="0" collapsed="false">
      <c r="A178" s="401" t="n">
        <v>0.0506</v>
      </c>
      <c r="B178" s="402" t="n">
        <f aca="false">(B4)/(1-A178)-B4</f>
        <v>0.144700863703392</v>
      </c>
    </row>
    <row r="179" customFormat="false" ht="12.75" hidden="false" customHeight="false" outlineLevel="0" collapsed="false">
      <c r="A179" s="407"/>
      <c r="B179" s="406" t="n">
        <f aca="false">SUM(B176:B178)</f>
        <v>0.642300863703392</v>
      </c>
    </row>
    <row r="180" customFormat="false" ht="12.75" hidden="false" customHeight="false" outlineLevel="0" collapsed="false">
      <c r="A180" s="411" t="s">
        <v>501</v>
      </c>
      <c r="B180" s="451" t="s">
        <v>679</v>
      </c>
    </row>
    <row r="181" customFormat="false" ht="12.75" hidden="false" customHeight="false" outlineLevel="0" collapsed="false">
      <c r="A181" s="407" t="s">
        <v>518</v>
      </c>
      <c r="B181" s="398" t="n">
        <v>0.5682</v>
      </c>
    </row>
    <row r="182" customFormat="false" ht="12.75" hidden="false" customHeight="false" outlineLevel="0" collapsed="false">
      <c r="A182" s="407" t="s">
        <v>183</v>
      </c>
      <c r="B182" s="397" t="n">
        <f aca="false">0.0021+0.007</f>
        <v>0.0091</v>
      </c>
    </row>
    <row r="183" customFormat="false" ht="12.75" hidden="false" customHeight="false" outlineLevel="0" collapsed="false">
      <c r="A183" s="401" t="n">
        <v>0.0597</v>
      </c>
      <c r="B183" s="402" t="n">
        <f aca="false">(B4)/(1-A183)-B4</f>
        <v>0.172376369243858</v>
      </c>
    </row>
    <row r="184" customFormat="false" ht="12.75" hidden="false" customHeight="false" outlineLevel="0" collapsed="false">
      <c r="A184" s="407"/>
      <c r="B184" s="406" t="n">
        <f aca="false">SUM(B181:B183)</f>
        <v>0.749676369243859</v>
      </c>
    </row>
    <row r="185" customFormat="false" ht="12.75" hidden="false" customHeight="false" outlineLevel="0" collapsed="false">
      <c r="A185" s="411" t="s">
        <v>501</v>
      </c>
      <c r="B185" s="451" t="s">
        <v>680</v>
      </c>
    </row>
    <row r="186" customFormat="false" ht="12.75" hidden="false" customHeight="false" outlineLevel="0" collapsed="false">
      <c r="A186" s="407" t="s">
        <v>518</v>
      </c>
      <c r="B186" s="398" t="n">
        <v>0.6884</v>
      </c>
    </row>
    <row r="187" customFormat="false" ht="12.75" hidden="false" customHeight="false" outlineLevel="0" collapsed="false">
      <c r="A187" s="407" t="s">
        <v>183</v>
      </c>
      <c r="B187" s="397" t="n">
        <f aca="false">0.0021+0.007</f>
        <v>0.0091</v>
      </c>
      <c r="E187" s="358"/>
    </row>
    <row r="188" customFormat="false" ht="12.75" hidden="false" customHeight="false" outlineLevel="0" collapsed="false">
      <c r="A188" s="401" t="n">
        <v>0.0667</v>
      </c>
      <c r="B188" s="402" t="n">
        <f aca="false">(B3)/(1-A188)-B3</f>
        <v>0.195104468016715</v>
      </c>
      <c r="E188" s="358"/>
    </row>
    <row r="189" customFormat="false" ht="12.75" hidden="false" customHeight="false" outlineLevel="0" collapsed="false">
      <c r="A189" s="407"/>
      <c r="B189" s="406" t="n">
        <f aca="false">SUM(B186:B188)</f>
        <v>0.892604468016715</v>
      </c>
      <c r="E189" s="358"/>
    </row>
    <row r="190" customFormat="false" ht="12.75" hidden="false" customHeight="false" outlineLevel="0" collapsed="false">
      <c r="A190" s="411" t="s">
        <v>501</v>
      </c>
      <c r="B190" s="451" t="s">
        <v>681</v>
      </c>
    </row>
    <row r="191" customFormat="false" ht="12.75" hidden="false" customHeight="false" outlineLevel="0" collapsed="false">
      <c r="A191" s="407" t="s">
        <v>518</v>
      </c>
      <c r="B191" s="398" t="n">
        <v>0.317</v>
      </c>
      <c r="E191" s="358"/>
    </row>
    <row r="192" customFormat="false" ht="12.75" hidden="false" customHeight="false" outlineLevel="0" collapsed="false">
      <c r="A192" s="407" t="s">
        <v>183</v>
      </c>
      <c r="B192" s="397" t="n">
        <f aca="false">0.0021+0.007</f>
        <v>0.0091</v>
      </c>
      <c r="E192" s="358"/>
    </row>
    <row r="193" customFormat="false" ht="12.75" hidden="false" customHeight="false" outlineLevel="0" collapsed="false">
      <c r="A193" s="401" t="n">
        <v>0.0192</v>
      </c>
      <c r="B193" s="402" t="n">
        <f aca="false">(B5)/(1-A193)-B5</f>
        <v>0.0584339314845024</v>
      </c>
      <c r="E193" s="358"/>
    </row>
    <row r="194" customFormat="false" ht="12.75" hidden="false" customHeight="false" outlineLevel="0" collapsed="false">
      <c r="A194" s="407"/>
      <c r="B194" s="406" t="n">
        <f aca="false">SUM(B191:B193)</f>
        <v>0.384533931484502</v>
      </c>
    </row>
    <row r="195" customFormat="false" ht="12.75" hidden="false" customHeight="false" outlineLevel="0" collapsed="false">
      <c r="A195" s="411" t="s">
        <v>501</v>
      </c>
      <c r="B195" s="451" t="s">
        <v>682</v>
      </c>
    </row>
    <row r="196" customFormat="false" ht="12.75" hidden="false" customHeight="false" outlineLevel="0" collapsed="false">
      <c r="A196" s="407" t="s">
        <v>518</v>
      </c>
      <c r="B196" s="398" t="n">
        <v>0.3677</v>
      </c>
    </row>
    <row r="197" customFormat="false" ht="12.75" hidden="false" customHeight="false" outlineLevel="0" collapsed="false">
      <c r="A197" s="407" t="s">
        <v>183</v>
      </c>
      <c r="B197" s="397" t="n">
        <f aca="false">0.0021+0.007</f>
        <v>0.0091</v>
      </c>
    </row>
    <row r="198" customFormat="false" ht="12.75" hidden="false" customHeight="false" outlineLevel="0" collapsed="false">
      <c r="A198" s="401" t="n">
        <v>0.0274</v>
      </c>
      <c r="B198" s="402" t="e">
        <f aca="false">(#REF!)/(1-A198)-#REF!</f>
        <v>#REF!</v>
      </c>
    </row>
    <row r="199" customFormat="false" ht="12.75" hidden="false" customHeight="false" outlineLevel="0" collapsed="false">
      <c r="A199" s="407"/>
      <c r="B199" s="406" t="e">
        <f aca="false">SUM(B196:B198)</f>
        <v>#REF!</v>
      </c>
    </row>
    <row r="200" customFormat="false" ht="12.75" hidden="false" customHeight="false" outlineLevel="0" collapsed="false">
      <c r="A200" s="411" t="s">
        <v>501</v>
      </c>
      <c r="B200" s="451" t="s">
        <v>683</v>
      </c>
      <c r="J200" s="482"/>
      <c r="K200" s="482"/>
    </row>
    <row r="201" customFormat="false" ht="12.75" hidden="false" customHeight="false" outlineLevel="0" collapsed="false">
      <c r="A201" s="407" t="s">
        <v>518</v>
      </c>
      <c r="B201" s="398" t="n">
        <v>0.197</v>
      </c>
    </row>
    <row r="202" customFormat="false" ht="12.75" hidden="false" customHeight="false" outlineLevel="0" collapsed="false">
      <c r="A202" s="407" t="s">
        <v>183</v>
      </c>
      <c r="B202" s="397" t="n">
        <f aca="false">0.0021+0.007</f>
        <v>0.0091</v>
      </c>
    </row>
    <row r="203" customFormat="false" ht="12.75" hidden="false" customHeight="false" outlineLevel="0" collapsed="false">
      <c r="A203" s="401" t="n">
        <v>0.0107</v>
      </c>
      <c r="B203" s="402" t="n">
        <f aca="false">(B5)/(1-A203)-B5</f>
        <v>0.032284948953806</v>
      </c>
    </row>
    <row r="204" customFormat="false" ht="12.75" hidden="false" customHeight="false" outlineLevel="0" collapsed="false">
      <c r="A204" s="407"/>
      <c r="B204" s="406" t="n">
        <f aca="false">SUM(B201:B203)</f>
        <v>0.238384948953806</v>
      </c>
    </row>
    <row r="205" customFormat="false" ht="12.75" hidden="false" customHeight="false" outlineLevel="0" collapsed="false">
      <c r="A205" s="411" t="s">
        <v>501</v>
      </c>
      <c r="B205" s="451" t="s">
        <v>684</v>
      </c>
    </row>
    <row r="206" customFormat="false" ht="12.75" hidden="false" customHeight="false" outlineLevel="0" collapsed="false">
      <c r="A206" s="407" t="s">
        <v>518</v>
      </c>
      <c r="B206" s="398" t="n">
        <v>0.1764</v>
      </c>
    </row>
    <row r="207" customFormat="false" ht="12.75" hidden="false" customHeight="false" outlineLevel="0" collapsed="false">
      <c r="A207" s="407" t="s">
        <v>183</v>
      </c>
      <c r="B207" s="397" t="n">
        <f aca="false">0.0021+0.007</f>
        <v>0.0091</v>
      </c>
    </row>
    <row r="208" customFormat="false" ht="12.75" hidden="false" customHeight="false" outlineLevel="0" collapsed="false">
      <c r="A208" s="401" t="n">
        <v>0.0117</v>
      </c>
      <c r="B208" s="402" t="n">
        <f aca="false">(B5)/(1-A208)-B5</f>
        <v>0.0353379540625318</v>
      </c>
    </row>
    <row r="209" customFormat="false" ht="12.75" hidden="false" customHeight="false" outlineLevel="0" collapsed="false">
      <c r="A209" s="407"/>
      <c r="B209" s="406" t="n">
        <f aca="false">SUM(B206:B208)</f>
        <v>0.220837954062532</v>
      </c>
    </row>
    <row r="210" customFormat="false" ht="12.75" hidden="false" customHeight="false" outlineLevel="0" collapsed="false">
      <c r="A210" s="411" t="s">
        <v>501</v>
      </c>
      <c r="B210" s="451" t="s">
        <v>685</v>
      </c>
    </row>
    <row r="211" customFormat="false" ht="12.75" hidden="false" customHeight="false" outlineLevel="0" collapsed="false">
      <c r="A211" s="407" t="s">
        <v>518</v>
      </c>
      <c r="B211" s="398" t="n">
        <v>0.2786</v>
      </c>
    </row>
    <row r="212" customFormat="false" ht="12.75" hidden="false" customHeight="false" outlineLevel="0" collapsed="false">
      <c r="A212" s="407" t="s">
        <v>183</v>
      </c>
      <c r="B212" s="397" t="n">
        <f aca="false">0.0021+0.007</f>
        <v>0.0091</v>
      </c>
    </row>
    <row r="213" customFormat="false" ht="12.75" hidden="false" customHeight="false" outlineLevel="0" collapsed="false">
      <c r="A213" s="401" t="n">
        <v>0.0186</v>
      </c>
      <c r="B213" s="402" t="n">
        <f aca="false">(B5)/(1-A213)-B5</f>
        <v>0.0565732626859585</v>
      </c>
    </row>
    <row r="214" customFormat="false" ht="12.75" hidden="false" customHeight="false" outlineLevel="0" collapsed="false">
      <c r="A214" s="407"/>
      <c r="B214" s="406" t="n">
        <f aca="false">SUM(B211:B213)</f>
        <v>0.344273262685959</v>
      </c>
    </row>
    <row r="215" customFormat="false" ht="12.75" hidden="false" customHeight="false" outlineLevel="0" collapsed="false">
      <c r="A215" s="411" t="s">
        <v>501</v>
      </c>
      <c r="B215" s="451" t="s">
        <v>686</v>
      </c>
    </row>
    <row r="216" customFormat="false" ht="12.75" hidden="false" customHeight="false" outlineLevel="0" collapsed="false">
      <c r="A216" s="407" t="s">
        <v>518</v>
      </c>
      <c r="B216" s="398" t="n">
        <v>0.4876</v>
      </c>
    </row>
    <row r="217" customFormat="false" ht="12.75" hidden="false" customHeight="false" outlineLevel="0" collapsed="false">
      <c r="A217" s="407" t="s">
        <v>183</v>
      </c>
      <c r="B217" s="397" t="n">
        <f aca="false">0.0021+0.007</f>
        <v>0.0091</v>
      </c>
    </row>
    <row r="218" customFormat="false" ht="12.75" hidden="false" customHeight="false" outlineLevel="0" collapsed="false">
      <c r="A218" s="401" t="n">
        <v>0.0393</v>
      </c>
      <c r="B218" s="402" t="n">
        <f aca="false">(B5)/(1-A218)-B5</f>
        <v>0.122109399396273</v>
      </c>
    </row>
    <row r="219" customFormat="false" ht="12.75" hidden="false" customHeight="false" outlineLevel="0" collapsed="false">
      <c r="A219" s="407"/>
      <c r="B219" s="406" t="n">
        <f aca="false">SUM(B216:B218)</f>
        <v>0.618809399396273</v>
      </c>
    </row>
    <row r="220" customFormat="false" ht="12.75" hidden="false" customHeight="false" outlineLevel="0" collapsed="false">
      <c r="A220" s="411" t="s">
        <v>501</v>
      </c>
      <c r="B220" s="451" t="s">
        <v>687</v>
      </c>
    </row>
    <row r="221" customFormat="false" ht="12.75" hidden="false" customHeight="false" outlineLevel="0" collapsed="false">
      <c r="A221" s="407" t="s">
        <v>518</v>
      </c>
      <c r="B221" s="398" t="n">
        <v>0.317</v>
      </c>
    </row>
    <row r="222" customFormat="false" ht="12.75" hidden="false" customHeight="false" outlineLevel="0" collapsed="false">
      <c r="A222" s="407" t="s">
        <v>183</v>
      </c>
      <c r="B222" s="397" t="n">
        <f aca="false">0.0021+0.007</f>
        <v>0.0091</v>
      </c>
    </row>
    <row r="223" customFormat="false" ht="12.75" hidden="false" customHeight="false" outlineLevel="0" collapsed="false">
      <c r="A223" s="401" t="n">
        <v>0.022</v>
      </c>
      <c r="B223" s="402" t="n">
        <f aca="false">(B5)/(1-A223)-B5</f>
        <v>0.0671472392638037</v>
      </c>
    </row>
    <row r="224" customFormat="false" ht="12.75" hidden="false" customHeight="false" outlineLevel="0" collapsed="false">
      <c r="A224" s="407"/>
      <c r="B224" s="406" t="n">
        <f aca="false">SUM(B221:B223)</f>
        <v>0.393247239263804</v>
      </c>
    </row>
    <row r="225" customFormat="false" ht="12.75" hidden="false" customHeight="false" outlineLevel="0" collapsed="false">
      <c r="A225" s="411" t="s">
        <v>501</v>
      </c>
      <c r="B225" s="451" t="s">
        <v>688</v>
      </c>
    </row>
    <row r="226" customFormat="false" ht="12.75" hidden="false" customHeight="false" outlineLevel="0" collapsed="false">
      <c r="A226" s="407" t="s">
        <v>518</v>
      </c>
      <c r="B226" s="398" t="n">
        <v>0.2786</v>
      </c>
    </row>
    <row r="227" customFormat="false" ht="12.75" hidden="false" customHeight="false" outlineLevel="0" collapsed="false">
      <c r="A227" s="407" t="s">
        <v>183</v>
      </c>
      <c r="B227" s="397" t="n">
        <f aca="false">0.0021+0.007</f>
        <v>0.0091</v>
      </c>
    </row>
    <row r="228" customFormat="false" ht="12.75" hidden="false" customHeight="false" outlineLevel="0" collapsed="false">
      <c r="A228" s="401" t="n">
        <v>0.0127</v>
      </c>
      <c r="B228" s="402" t="n">
        <f aca="false">(B5)/(1-A228)-B5</f>
        <v>0.0383971437253114</v>
      </c>
      <c r="D228" s="483" t="n">
        <f aca="false">+E228/(1-A243)</f>
        <v>20000</v>
      </c>
      <c r="E228" s="43" t="n">
        <v>20000</v>
      </c>
    </row>
    <row r="229" customFormat="false" ht="12.75" hidden="false" customHeight="false" outlineLevel="0" collapsed="false">
      <c r="A229" s="407"/>
      <c r="B229" s="406" t="n">
        <f aca="false">SUM(B226:B228)</f>
        <v>0.326097143725311</v>
      </c>
    </row>
    <row r="230" customFormat="false" ht="12.75" hidden="false" customHeight="false" outlineLevel="0" collapsed="false">
      <c r="A230" s="411" t="s">
        <v>501</v>
      </c>
      <c r="B230" s="451" t="s">
        <v>689</v>
      </c>
    </row>
    <row r="231" customFormat="false" ht="12.75" hidden="false" customHeight="false" outlineLevel="0" collapsed="false">
      <c r="A231" s="407" t="s">
        <v>518</v>
      </c>
      <c r="B231" s="398" t="n">
        <v>0.2081</v>
      </c>
    </row>
    <row r="232" customFormat="false" ht="12.75" hidden="false" customHeight="false" outlineLevel="0" collapsed="false">
      <c r="A232" s="407" t="s">
        <v>183</v>
      </c>
      <c r="B232" s="397" t="n">
        <f aca="false">0.0021+0.007</f>
        <v>0.0091</v>
      </c>
    </row>
    <row r="233" customFormat="false" ht="12.75" hidden="false" customHeight="false" outlineLevel="0" collapsed="false">
      <c r="A233" s="401" t="n">
        <v>0.0085</v>
      </c>
      <c r="B233" s="402" t="n">
        <f aca="false">(B5)/(1-A233)-B5</f>
        <v>0.0255900151285928</v>
      </c>
    </row>
    <row r="234" customFormat="false" ht="12.75" hidden="false" customHeight="false" outlineLevel="0" collapsed="false">
      <c r="A234" s="407"/>
      <c r="B234" s="406" t="n">
        <f aca="false">SUM(B231:B233)</f>
        <v>0.242790015128593</v>
      </c>
      <c r="C234" s="353"/>
    </row>
    <row r="235" customFormat="false" ht="12.75" hidden="false" customHeight="false" outlineLevel="0" collapsed="false">
      <c r="A235" s="2"/>
      <c r="B235" s="2"/>
      <c r="C235" s="353"/>
    </row>
    <row r="236" customFormat="false" ht="12.75" hidden="false" customHeight="false" outlineLevel="0" collapsed="false">
      <c r="A236" s="418"/>
      <c r="B236" s="424"/>
      <c r="C236" s="353"/>
    </row>
    <row r="237" customFormat="false" ht="12.75" hidden="false" customHeight="false" outlineLevel="0" collapsed="false">
      <c r="A237" s="2"/>
      <c r="B237" s="453"/>
      <c r="C237" s="353"/>
    </row>
    <row r="238" customFormat="false" ht="12.75" hidden="false" customHeight="false" outlineLevel="0" collapsed="false">
      <c r="A238" s="2"/>
      <c r="B238" s="12"/>
      <c r="C238" s="353"/>
    </row>
    <row r="239" customFormat="false" ht="12.75" hidden="false" customHeight="false" outlineLevel="0" collapsed="false">
      <c r="A239" s="13"/>
      <c r="B239" s="14"/>
      <c r="C239" s="353"/>
    </row>
    <row r="240" customFormat="false" ht="12.75" hidden="false" customHeight="false" outlineLevel="0" collapsed="false">
      <c r="A240" s="2"/>
      <c r="B240" s="17"/>
      <c r="C240" s="353"/>
      <c r="D240" s="483" t="n">
        <f aca="false">+E240/(1-A255)</f>
        <v>10000</v>
      </c>
      <c r="E240" s="43" t="n">
        <v>10000</v>
      </c>
    </row>
    <row r="241" customFormat="false" ht="12.75" hidden="false" customHeight="false" outlineLevel="0" collapsed="false">
      <c r="A241" s="8"/>
      <c r="B241" s="8"/>
      <c r="C241" s="353"/>
      <c r="D241" s="419" t="n">
        <f aca="false">+B256+B3</f>
        <v>2.73</v>
      </c>
    </row>
    <row r="242" customFormat="false" ht="12.75" hidden="false" customHeight="false" outlineLevel="0" collapsed="false">
      <c r="A242" s="418"/>
      <c r="B242" s="424"/>
      <c r="C242" s="353"/>
    </row>
    <row r="243" customFormat="false" ht="12.75" hidden="false" customHeight="false" outlineLevel="0" collapsed="false">
      <c r="A243" s="2"/>
      <c r="B243" s="453"/>
      <c r="C243" s="353"/>
    </row>
    <row r="244" customFormat="false" ht="12.75" hidden="false" customHeight="false" outlineLevel="0" collapsed="false">
      <c r="A244" s="2"/>
      <c r="B244" s="12"/>
      <c r="C244" s="353"/>
    </row>
    <row r="245" customFormat="false" ht="12.75" hidden="false" customHeight="false" outlineLevel="0" collapsed="false">
      <c r="A245" s="13"/>
      <c r="B245" s="14"/>
      <c r="C245" s="353"/>
    </row>
    <row r="246" customFormat="false" ht="12.75" hidden="false" customHeight="false" outlineLevel="0" collapsed="false">
      <c r="A246" s="2"/>
      <c r="B246" s="17"/>
      <c r="C246" s="353"/>
    </row>
    <row r="247" customFormat="false" ht="12.75" hidden="false" customHeight="false" outlineLevel="0" collapsed="false">
      <c r="A247" s="353"/>
      <c r="B247" s="353"/>
      <c r="C247" s="353"/>
    </row>
    <row r="248" customFormat="false" ht="12.75" hidden="false" customHeight="false" outlineLevel="0" collapsed="false">
      <c r="A248" s="418"/>
      <c r="B248" s="424"/>
      <c r="C248" s="353"/>
    </row>
    <row r="249" customFormat="false" ht="12.75" hidden="false" customHeight="false" outlineLevel="0" collapsed="false">
      <c r="A249" s="2"/>
      <c r="B249" s="453"/>
      <c r="C249" s="353"/>
    </row>
    <row r="250" customFormat="false" ht="12.75" hidden="false" customHeight="false" outlineLevel="0" collapsed="false">
      <c r="A250" s="2"/>
      <c r="B250" s="12"/>
      <c r="C250" s="353"/>
    </row>
    <row r="251" customFormat="false" ht="12.75" hidden="false" customHeight="false" outlineLevel="0" collapsed="false">
      <c r="A251" s="13"/>
      <c r="B251" s="14"/>
      <c r="C251" s="353"/>
    </row>
    <row r="252" customFormat="false" ht="12.75" hidden="false" customHeight="false" outlineLevel="0" collapsed="false">
      <c r="A252" s="2"/>
      <c r="B252" s="17"/>
      <c r="C252" s="353"/>
    </row>
    <row r="253" customFormat="false" ht="12.75" hidden="false" customHeight="false" outlineLevel="0" collapsed="false">
      <c r="A253" s="353"/>
      <c r="B253" s="353"/>
      <c r="C253" s="353"/>
    </row>
    <row r="254" customFormat="false" ht="12.75" hidden="false" customHeight="false" outlineLevel="0" collapsed="false">
      <c r="A254" s="418"/>
      <c r="B254" s="424"/>
      <c r="C254" s="353"/>
    </row>
    <row r="255" customFormat="false" ht="12.75" hidden="false" customHeight="false" outlineLevel="0" collapsed="false">
      <c r="A255" s="2"/>
      <c r="B255" s="453"/>
      <c r="C255" s="353"/>
    </row>
    <row r="256" customFormat="false" ht="12.75" hidden="false" customHeight="false" outlineLevel="0" collapsed="false">
      <c r="A256" s="2"/>
      <c r="B256" s="12"/>
      <c r="C256" s="353"/>
    </row>
    <row r="257" customFormat="false" ht="12.75" hidden="false" customHeight="false" outlineLevel="0" collapsed="false">
      <c r="A257" s="13"/>
      <c r="B257" s="14"/>
      <c r="C257" s="353"/>
    </row>
    <row r="258" customFormat="false" ht="12.75" hidden="false" customHeight="false" outlineLevel="0" collapsed="false">
      <c r="A258" s="2"/>
      <c r="B258" s="17"/>
      <c r="C258" s="353"/>
    </row>
    <row r="259" customFormat="false" ht="12.75" hidden="false" customHeight="false" outlineLevel="0" collapsed="false">
      <c r="A259" s="353"/>
      <c r="B259" s="353"/>
      <c r="C259" s="353"/>
    </row>
    <row r="260" customFormat="false" ht="12.75" hidden="false" customHeight="false" outlineLevel="0" collapsed="false">
      <c r="A260" s="418"/>
      <c r="B260" s="424"/>
      <c r="C260" s="353"/>
    </row>
    <row r="261" customFormat="false" ht="12.75" hidden="false" customHeight="false" outlineLevel="0" collapsed="false">
      <c r="A261" s="2"/>
      <c r="B261" s="453"/>
      <c r="C261" s="353"/>
    </row>
    <row r="262" customFormat="false" ht="12.75" hidden="false" customHeight="false" outlineLevel="0" collapsed="false">
      <c r="A262" s="2"/>
      <c r="B262" s="12"/>
      <c r="C262" s="353"/>
    </row>
    <row r="263" customFormat="false" ht="12.75" hidden="false" customHeight="false" outlineLevel="0" collapsed="false">
      <c r="A263" s="13"/>
      <c r="B263" s="14"/>
      <c r="C263" s="353"/>
    </row>
    <row r="264" customFormat="false" ht="12.75" hidden="false" customHeight="false" outlineLevel="0" collapsed="false">
      <c r="A264" s="2"/>
      <c r="B264" s="17"/>
      <c r="C264" s="353"/>
    </row>
    <row r="265" customFormat="false" ht="12.75" hidden="false" customHeight="false" outlineLevel="0" collapsed="false">
      <c r="A265" s="353"/>
      <c r="B265" s="353"/>
      <c r="C265" s="353"/>
      <c r="D265" s="484" t="n">
        <f aca="false">+B280+B4</f>
        <v>2.715</v>
      </c>
    </row>
    <row r="266" customFormat="false" ht="12.75" hidden="false" customHeight="false" outlineLevel="0" collapsed="false">
      <c r="A266" s="418"/>
      <c r="B266" s="424"/>
      <c r="C266" s="353"/>
    </row>
    <row r="267" customFormat="false" ht="12.75" hidden="false" customHeight="false" outlineLevel="0" collapsed="false">
      <c r="A267" s="2"/>
      <c r="B267" s="453"/>
      <c r="C267" s="353"/>
    </row>
    <row r="268" customFormat="false" ht="12.75" hidden="false" customHeight="false" outlineLevel="0" collapsed="false">
      <c r="A268" s="2"/>
      <c r="B268" s="12"/>
      <c r="C268" s="353"/>
    </row>
    <row r="269" customFormat="false" ht="12.75" hidden="false" customHeight="false" outlineLevel="0" collapsed="false">
      <c r="A269" s="13"/>
      <c r="B269" s="14"/>
      <c r="C269" s="353"/>
    </row>
    <row r="270" customFormat="false" ht="12.75" hidden="false" customHeight="false" outlineLevel="0" collapsed="false">
      <c r="A270" s="2"/>
      <c r="B270" s="17"/>
      <c r="C270" s="353"/>
    </row>
    <row r="271" customFormat="false" ht="12.75" hidden="false" customHeight="false" outlineLevel="0" collapsed="false">
      <c r="A271" s="353"/>
      <c r="B271" s="353"/>
      <c r="C271" s="353"/>
    </row>
    <row r="272" customFormat="false" ht="12.75" hidden="false" customHeight="false" outlineLevel="0" collapsed="false">
      <c r="A272" s="418"/>
      <c r="B272" s="424"/>
      <c r="C272" s="353"/>
    </row>
    <row r="273" customFormat="false" ht="12.75" hidden="false" customHeight="false" outlineLevel="0" collapsed="false">
      <c r="A273" s="2"/>
      <c r="B273" s="453"/>
      <c r="C273" s="353"/>
    </row>
    <row r="274" customFormat="false" ht="12.75" hidden="false" customHeight="false" outlineLevel="0" collapsed="false">
      <c r="A274" s="2"/>
      <c r="B274" s="12"/>
      <c r="C274" s="353"/>
    </row>
    <row r="275" customFormat="false" ht="12.75" hidden="false" customHeight="false" outlineLevel="0" collapsed="false">
      <c r="A275" s="13"/>
      <c r="B275" s="14"/>
      <c r="C275" s="353"/>
    </row>
    <row r="276" customFormat="false" ht="12.75" hidden="false" customHeight="false" outlineLevel="0" collapsed="false">
      <c r="A276" s="2"/>
      <c r="B276" s="17"/>
      <c r="C276" s="353"/>
    </row>
    <row r="277" customFormat="false" ht="12.75" hidden="false" customHeight="false" outlineLevel="0" collapsed="false">
      <c r="A277" s="353"/>
      <c r="B277" s="353"/>
      <c r="C277" s="353"/>
    </row>
    <row r="278" customFormat="false" ht="12.75" hidden="false" customHeight="false" outlineLevel="0" collapsed="false">
      <c r="A278" s="418"/>
      <c r="B278" s="424"/>
      <c r="C278" s="353"/>
    </row>
    <row r="279" customFormat="false" ht="12.75" hidden="false" customHeight="false" outlineLevel="0" collapsed="false">
      <c r="A279" s="2"/>
      <c r="B279" s="453"/>
      <c r="C279" s="353"/>
    </row>
    <row r="280" customFormat="false" ht="12.75" hidden="false" customHeight="false" outlineLevel="0" collapsed="false">
      <c r="A280" s="2"/>
      <c r="B280" s="12"/>
      <c r="C280" s="353"/>
    </row>
    <row r="281" customFormat="false" ht="12.75" hidden="false" customHeight="false" outlineLevel="0" collapsed="false">
      <c r="A281" s="13"/>
      <c r="B281" s="14"/>
    </row>
    <row r="282" customFormat="false" ht="12.75" hidden="false" customHeight="false" outlineLevel="0" collapsed="false">
      <c r="A282" s="2"/>
      <c r="B282" s="17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2001-11-28T19:49:37Z</cp:lastPrinted>
  <dcterms:modified xsi:type="dcterms:W3CDTF">2002-02-06T19:26:27Z</dcterms:modified>
  <cp:revision>0</cp:revision>
  <dc:subject/>
  <dc:title/>
</cp:coreProperties>
</file>