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9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2001_2CE to 2002" sheetId="2" state="hidden" r:id="rId4"/>
    <sheet name="North by Risk Category " sheetId="3" state="visible" r:id="rId5"/>
    <sheet name="Central by Risk Category" sheetId="4" state="visible" r:id="rId6"/>
    <sheet name="North Bus. Dev.by Risk Category" sheetId="5" state="visible" r:id="rId7"/>
    <sheet name="P &amp; S by Risk Category" sheetId="6" state="visible" r:id="rId8"/>
    <sheet name="Storage Tranche" sheetId="7" state="hidden" r:id="rId9"/>
    <sheet name="Storage by Risk Category" sheetId="8" state="visible" r:id="rId10"/>
    <sheet name="NNG 00-02 Rollover" sheetId="9" state="hidden" r:id="rId11"/>
    <sheet name="Capital" sheetId="10" state="hidden" r:id="rId12"/>
    <sheet name="P&amp;S Rec2" sheetId="11" state="hidden" r:id="rId13"/>
    <sheet name="Sheet1" sheetId="12" state="visible" r:id="rId14"/>
    <sheet name="Sheet2" sheetId="13" state="visible" r:id="rId15"/>
    <sheet name="Sheet3" sheetId="14" state="visible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function="false" hidden="false" localSheetId="1" name="_xlnm.Print_Area" vbProcedure="false">'2001_2CE to 2002'!$A$1:$H$55</definedName>
    <definedName function="false" hidden="false" localSheetId="3" name="_xlnm.Print_Area" vbProcedure="false">'Central by Risk Category'!$B$1:$N$98</definedName>
    <definedName function="false" hidden="false" localSheetId="3" name="_xlnm.Print_Titles" vbProcedure="false">'Central by Risk Category'!$1:$7</definedName>
    <definedName function="false" hidden="false" localSheetId="4" name="_xlnm.Print_Area" vbProcedure="false">'North Bus. Dev.by Risk Category'!$A$1:$L$49</definedName>
    <definedName function="false" hidden="false" localSheetId="4" name="_xlnm.Print_Titles" vbProcedure="false">'North Bus. Dev.by Risk Category'!$1:$2</definedName>
    <definedName function="false" hidden="false" localSheetId="2" name="_xlnm.Print_Area" vbProcedure="false">'North by Risk Category '!$A$1:$K$99</definedName>
    <definedName function="false" hidden="false" localSheetId="2" name="_xlnm.Print_Titles" vbProcedure="false">'North by Risk Category '!$1:$8</definedName>
    <definedName function="false" hidden="false" localSheetId="5" name="_xlnm.Print_Area" vbProcedure="false">'P &amp; S by Risk Category'!$A$1:$P$64</definedName>
    <definedName function="false" hidden="false" localSheetId="5" name="_xlnm.Print_Titles" vbProcedure="false">'P &amp; S by Risk Category'!$1:$8</definedName>
    <definedName function="false" hidden="false" localSheetId="10" name="_xlnm.Print_Area" vbProcedure="false">'P&amp;S Rec2'!$A$1:$H$28</definedName>
    <definedName function="false" hidden="false" localSheetId="7" name="_xlnm.Print_Area" vbProcedure="false">'Storage by Risk Category'!$A$1:$R$103</definedName>
    <definedName function="false" hidden="false" localSheetId="7" name="_xlnm.Print_Titles" vbProcedure="false">'Storage by Risk Category'!$1:$2</definedName>
    <definedName function="false" hidden="false" name="ALL" vbProcedure="false">'[7]'!$E$1:$G$79</definedName>
    <definedName function="false" hidden="false" name="BYYEAR" vbProcedure="false">'[4]#REF'!$BG$72</definedName>
    <definedName function="false" hidden="false" name="CAP" vbProcedure="false">'[7]'!$E$1:$G$79</definedName>
    <definedName function="false" hidden="false" name="CASH_FLOW" vbProcedure="false">#REF!</definedName>
    <definedName function="false" hidden="false" name="CASH_FLOW_INPUT" vbProcedure="false">#REF!</definedName>
    <definedName function="false" hidden="false" name="Date_Copy1" vbProcedure="false">#REF!</definedName>
    <definedName function="false" hidden="false" name="Date_Copy2" vbProcedure="false">#REF!</definedName>
    <definedName function="false" hidden="false" name="DIRECTORY" vbProcedure="false">'[4]#REF'!$BG$72</definedName>
    <definedName function="false" hidden="false" name="EGC" vbProcedure="false">#REF!</definedName>
    <definedName function="false" hidden="false" name="file_date_name" vbProcedure="false">#REF!</definedName>
    <definedName function="false" hidden="false" name="Ind_Co_Variance_Range" vbProcedure="false">[3]IndCoVariance!$D$7:$AB$69,[3]IndCoVariance!$D$77:$AB$151,[3]IndCoVariance!$AH$7:$AP$69,[3]IndCoVariance!$AH$77:$AP$151,[3]IndCoVariance!$AU$7:$BA$69,[3]IndCoVariance!$AU$77:$BA$151</definedName>
    <definedName function="false" hidden="false" name="INSTRUCT" vbProcedure="false">'[4]#REF'!$BG$72</definedName>
    <definedName function="false" hidden="false" name="look" vbProcedure="false">[5]summary!$D$8:$H$43</definedName>
    <definedName function="false" hidden="false" name="MGMT" vbProcedure="false">'[7]'!$E$1:$G$79</definedName>
    <definedName function="false" hidden="false" name="MONTHLY" vbProcedure="false">#REF!</definedName>
    <definedName function="false" hidden="false" name="NNG" vbProcedure="false">#REF!</definedName>
    <definedName function="false" hidden="false" name="PDTotal" vbProcedure="false">'[7]'!$BC$13879</definedName>
    <definedName function="false" hidden="false" name="Print_Area_MI" vbProcedure="false">#REF!</definedName>
    <definedName function="false" hidden="false" name="Print_Titles_MI" vbProcedure="false">'[8]'!$A$1:$XFD$7</definedName>
    <definedName function="false" hidden="false" name="Rules_for_Obligations" vbProcedure="false">'[4]#REF'!$BG$72</definedName>
    <definedName function="false" hidden="false" name="SJ" vbProcedure="false">[6]TW!$BK$63</definedName>
    <definedName function="false" hidden="false" name="SUMMARY" vbProcedure="false">#REF!</definedName>
    <definedName function="false" hidden="false" name="SYS" vbProcedure="false">[6]TW!$DH$112</definedName>
    <definedName function="false" hidden="false" name="TEMP" vbProcedure="false">#REF!</definedName>
    <definedName function="false" hidden="false" name="TEMP1" vbProcedure="false">#REF!</definedName>
    <definedName function="false" hidden="false" name="TEMP2" vbProcedure="false">#REF!</definedName>
    <definedName function="false" hidden="false" name="TEMPA" vbProcedure="false">#REF!</definedName>
    <definedName function="false" hidden="false" name="TEMPB" vbProcedure="false">#REF!</definedName>
    <definedName function="false" hidden="false" name="TITLE1" vbProcedure="false">#REF!</definedName>
    <definedName function="false" hidden="false" name="TITLE2" vbProcedure="false">#REF!</definedName>
    <definedName function="false" hidden="false" name="TITLECOL1" vbProcedure="false">#REF!</definedName>
    <definedName function="false" hidden="false" name="VARIANCE_RANGE" vbProcedure="false">[3]Variance!$D$7,[3]Variance!$D$7:$AB$70,[3]Variance!$D$77:$AB$153</definedName>
    <definedName function="false" hidden="false" name="YR1992" vbProcedure="false">NA()</definedName>
    <definedName function="false" hidden="false" name="YR9296" vbProcedure="false">#REF!</definedName>
    <definedName function="false" hidden="false" name="\A" vbProcedure="false">NA()</definedName>
    <definedName function="false" hidden="false" name="\B" vbProcedure="false">NA()</definedName>
    <definedName function="false" hidden="false" name="\C" vbProcedure="false">'[2]'!$C$126:$DW$126</definedName>
    <definedName function="false" hidden="false" name="\H" vbProcedure="false">'[4]#REF'!$BG$72</definedName>
    <definedName function="false" hidden="false" name="\I" vbProcedure="false">'[2]'!$C$123:$DT$123</definedName>
    <definedName function="false" hidden="false" name="\P" vbProcedure="false">#REF!</definedName>
    <definedName function="false" hidden="false" name="\R" vbProcedure="false">'[4]#REF'!$BG$72</definedName>
    <definedName function="false" hidden="false" name="\S" vbProcedure="false">'[4]#REF'!$BG$72</definedName>
    <definedName function="false" hidden="false" name="\U" vbProcedure="false">'[4]#REF'!$BG$72</definedName>
    <definedName function="false" hidden="false" name="\Z" vbProcedure="false">'[4]#REF'!$BG$72</definedName>
    <definedName function="false" hidden="false" name="_1" vbProcedure="false">#REF!</definedName>
    <definedName function="false" hidden="false" name="_2" vbProcedure="false">#REF!</definedName>
    <definedName function="false" hidden="false" name="_3" vbProcedure="false">#REF!</definedName>
    <definedName function="false" hidden="false" name="__123Graph_A" vbProcedure="false">[6]TW!$T$20</definedName>
    <definedName function="false" hidden="false" name="__123Graph_B" vbProcedure="false">[6]TW!$AH$34</definedName>
    <definedName function="false" hidden="false" name="__123Graph_C" vbProcedure="false">[6]TW!$T$20</definedName>
    <definedName function="false" hidden="false" name="__123Graph_D" vbProcedure="false">[6]TW!$T$20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<sst xmlns="http://schemas.openxmlformats.org/spreadsheetml/2006/main" count="700" uniqueCount="390">
  <si>
    <t xml:space="preserve">NORTHERN NATURAL GAS COMPANY</t>
  </si>
  <si>
    <t xml:space="preserve">COMMERCIAL GROUP</t>
  </si>
  <si>
    <t xml:space="preserve">2002 PLAN MARGIN</t>
  </si>
  <si>
    <t xml:space="preserve">Reconciliation Of 2002 Plan to 2001 2nd Current Estimate</t>
  </si>
  <si>
    <t xml:space="preserve">Millions of Dollars</t>
  </si>
  <si>
    <t xml:space="preserve">Total</t>
  </si>
  <si>
    <t xml:space="preserve">Revenue</t>
  </si>
  <si>
    <t xml:space="preserve">2001 2nd Current Estimate Margin</t>
  </si>
  <si>
    <t xml:space="preserve">Midwest Region</t>
  </si>
  <si>
    <t xml:space="preserve">Capital</t>
  </si>
  <si>
    <t xml:space="preserve">Alliant TFF Termination</t>
  </si>
  <si>
    <t xml:space="preserve">Surcharges - GRI</t>
  </si>
  <si>
    <t xml:space="preserve">Surcharges - Carlton Surcharge Decrease in Revenue</t>
  </si>
  <si>
    <t xml:space="preserve">Commodity</t>
  </si>
  <si>
    <t xml:space="preserve">Other</t>
  </si>
  <si>
    <t xml:space="preserve">Total North Region</t>
  </si>
  <si>
    <t xml:space="preserve">Pricing/Structuring</t>
  </si>
  <si>
    <t xml:space="preserve">Plants - depletion</t>
  </si>
  <si>
    <t xml:space="preserve">Virginia Pwr and CMS </t>
  </si>
  <si>
    <t xml:space="preserve">Volatility Adj.</t>
  </si>
  <si>
    <t xml:space="preserve">Other (ExxonMobil reduction)</t>
  </si>
  <si>
    <t xml:space="preserve">South Offshore</t>
  </si>
  <si>
    <t xml:space="preserve">Sale of MOPS</t>
  </si>
  <si>
    <t xml:space="preserve">Sale of Seagull</t>
  </si>
  <si>
    <t xml:space="preserve">Production Decline</t>
  </si>
  <si>
    <t xml:space="preserve">Storage</t>
  </si>
  <si>
    <t xml:space="preserve">Backdraft - Regression Analysis</t>
  </si>
  <si>
    <t xml:space="preserve">Backdraft - SBA Peaking Capacity</t>
  </si>
  <si>
    <t xml:space="preserve">IDD Capacity</t>
  </si>
  <si>
    <t xml:space="preserve">Structured Products</t>
  </si>
  <si>
    <t xml:space="preserve">UCU Partnering</t>
  </si>
  <si>
    <t xml:space="preserve">ENA/Demarc Strategy</t>
  </si>
  <si>
    <t xml:space="preserve">Pricing/Structuring </t>
  </si>
  <si>
    <t xml:space="preserve">Storage Asset Management </t>
  </si>
  <si>
    <t xml:space="preserve">Belleville - Grundy</t>
  </si>
  <si>
    <t xml:space="preserve">Resell intra-month Put Volume</t>
  </si>
  <si>
    <t xml:space="preserve">Line Pack Storage</t>
  </si>
  <si>
    <t xml:space="preserve">Unallocated/Other</t>
  </si>
  <si>
    <t xml:space="preserve">Other - Penalties</t>
  </si>
  <si>
    <t xml:space="preserve">Other - Bus. Dev., RM, Carlton</t>
  </si>
  <si>
    <t xml:space="preserve">Other - Discretionary Capital Pool</t>
  </si>
  <si>
    <t xml:space="preserve">Total Revenue Variance</t>
  </si>
  <si>
    <t xml:space="preserve">Other - Carlton Surcharge Decrease (Increases Margin)</t>
  </si>
  <si>
    <t xml:space="preserve">2002 Plan Margin</t>
  </si>
  <si>
    <t xml:space="preserve">North Team</t>
  </si>
  <si>
    <t xml:space="preserve">Summary Of Risk Categories</t>
  </si>
  <si>
    <t xml:space="preserve">Monthly</t>
  </si>
  <si>
    <t xml:space="preserve">Risk</t>
  </si>
  <si>
    <t xml:space="preserve">Net </t>
  </si>
  <si>
    <t xml:space="preserve">Customer</t>
  </si>
  <si>
    <t xml:space="preserve">Type</t>
  </si>
  <si>
    <t xml:space="preserve">Capacity</t>
  </si>
  <si>
    <t xml:space="preserve">Rate</t>
  </si>
  <si>
    <t xml:space="preserve">Months</t>
  </si>
  <si>
    <t xml:space="preserve">Factor</t>
  </si>
  <si>
    <t xml:space="preserve">Comments</t>
  </si>
  <si>
    <t xml:space="preserve">Uncontracted</t>
  </si>
  <si>
    <t xml:space="preserve">New Ulm</t>
  </si>
  <si>
    <t xml:space="preserve">Recontract short-term winter TFX (Dec-02)</t>
  </si>
  <si>
    <t xml:space="preserve">Winter 01-02 already under contract</t>
  </si>
  <si>
    <t xml:space="preserve">Reliant MGO</t>
  </si>
  <si>
    <t xml:space="preserve">TFX contract in exchange for Hastings branchline sale</t>
  </si>
  <si>
    <t xml:space="preserve">TFX contract for capacity at Winnebego/Anoka</t>
  </si>
  <si>
    <t xml:space="preserve">Winter propane TFX or Zone EF open season</t>
  </si>
  <si>
    <t xml:space="preserve">Reliant Energy Retail</t>
  </si>
  <si>
    <t xml:space="preserve">SMS on capacity release (winter)</t>
  </si>
  <si>
    <t xml:space="preserve">SMS on capacity release (summer)</t>
  </si>
  <si>
    <t xml:space="preserve">NSP-Generation</t>
  </si>
  <si>
    <t xml:space="preserve">Winter powerpak TFX</t>
  </si>
  <si>
    <t xml:space="preserve">Volumetric contract - avg demand rate reflected</t>
  </si>
  <si>
    <t xml:space="preserve">Summer powerpak TFX</t>
  </si>
  <si>
    <t xml:space="preserve">NSP-WI</t>
  </si>
  <si>
    <t xml:space="preserve">Recontract 38,518/MMBtu TF</t>
  </si>
  <si>
    <t xml:space="preserve">Avg annual demand max rate for TF12 and TF5</t>
  </si>
  <si>
    <t xml:space="preserve">NSP-MN</t>
  </si>
  <si>
    <t xml:space="preserve">TFX contract with enduser behind NSP</t>
  </si>
  <si>
    <t xml:space="preserve">SWL&amp;P</t>
  </si>
  <si>
    <t xml:space="preserve">TFX contract extension (Oct-Dec)</t>
  </si>
  <si>
    <t xml:space="preserve">Avg annual demand rate for various entitlement &amp; rates</t>
  </si>
  <si>
    <t xml:space="preserve">Axia (Koch)</t>
  </si>
  <si>
    <t xml:space="preserve">TI contract usage @ 20% load factor (winter)</t>
  </si>
  <si>
    <t xml:space="preserve">Remaining load on TFX cr 20510</t>
  </si>
  <si>
    <t xml:space="preserve">TI contract usage @ 40% load factor (summer)</t>
  </si>
  <si>
    <t xml:space="preserve">Heartland Corn</t>
  </si>
  <si>
    <t xml:space="preserve">TF12 contract from Willmar open season</t>
  </si>
  <si>
    <t xml:space="preserve">Avg annual demand rate</t>
  </si>
  <si>
    <t xml:space="preserve">US Energy</t>
  </si>
  <si>
    <t xml:space="preserve">TFX5 contract from Willmar open season</t>
  </si>
  <si>
    <t xml:space="preserve">AlCorn</t>
  </si>
  <si>
    <t xml:space="preserve">TF12 contract from Willmar open season (Nov-Dec 02)</t>
  </si>
  <si>
    <t xml:space="preserve">Semco</t>
  </si>
  <si>
    <t xml:space="preserve">Volumetric 1-pt to Semco pt</t>
  </si>
  <si>
    <t xml:space="preserve">TF commodity @ 1.5% of 2001 volumes</t>
  </si>
  <si>
    <t xml:space="preserve">Various</t>
  </si>
  <si>
    <t xml:space="preserve">TF/TFX Overrun</t>
  </si>
  <si>
    <t xml:space="preserve">IT service</t>
  </si>
  <si>
    <t xml:space="preserve">Stretch</t>
  </si>
  <si>
    <t xml:space="preserve">Austin</t>
  </si>
  <si>
    <t xml:space="preserve">Entitlement increase opportunity</t>
  </si>
  <si>
    <t xml:space="preserve">Owatonna</t>
  </si>
  <si>
    <t xml:space="preserve">TFX contract from Willmar open season (Nov-Dec 02)</t>
  </si>
  <si>
    <t xml:space="preserve">TFX peak shaving service for 8 days total (Nov-Mar)</t>
  </si>
  <si>
    <t xml:space="preserve">TFX winter volumetric for 18 days total (Jan,Feb,Dec)</t>
  </si>
  <si>
    <t xml:space="preserve">TI for Viking-Wheaton power plant powerpak</t>
  </si>
  <si>
    <t xml:space="preserve">TFX revenue for Red Wing branchline sale</t>
  </si>
  <si>
    <t xml:space="preserve">Recontract 15,000/MMBtu terminated from NSP-WI (Nov-Dec 02)</t>
  </si>
  <si>
    <t xml:space="preserve">Sheehan's</t>
  </si>
  <si>
    <t xml:space="preserve">TFX capacity release displacement</t>
  </si>
  <si>
    <t xml:space="preserve">Short-term TFX capacity</t>
  </si>
  <si>
    <t xml:space="preserve">Two Harbors</t>
  </si>
  <si>
    <t xml:space="preserve">MN Power</t>
  </si>
  <si>
    <t xml:space="preserve">TI to serve Blandin paper plant</t>
  </si>
  <si>
    <t xml:space="preserve">Unattached</t>
  </si>
  <si>
    <t xml:space="preserve">UNIDENTIFIED STRETCH</t>
  </si>
  <si>
    <t xml:space="preserve">Total Contracted</t>
  </si>
  <si>
    <t xml:space="preserve">Total Uncontracted</t>
  </si>
  <si>
    <t xml:space="preserve">Total Stretch</t>
  </si>
  <si>
    <t xml:space="preserve">Total Revenue</t>
  </si>
  <si>
    <t xml:space="preserve">Central Team 2002 Plan</t>
  </si>
  <si>
    <t xml:space="preserve">Seasonal Deals</t>
  </si>
  <si>
    <t xml:space="preserve">#2200</t>
  </si>
  <si>
    <t xml:space="preserve">East Dubuque - (Apr - Oct)</t>
  </si>
  <si>
    <t xml:space="preserve">Chicago Pricing</t>
  </si>
  <si>
    <t xml:space="preserve">#2210</t>
  </si>
  <si>
    <t xml:space="preserve">East Dubuque - (Nov - Dec) See Tranche 3</t>
  </si>
  <si>
    <t xml:space="preserve">#2201</t>
  </si>
  <si>
    <t xml:space="preserve">Belleville Available Capacity - Summer</t>
  </si>
  <si>
    <t xml:space="preserve">Michcon Pricing</t>
  </si>
  <si>
    <t xml:space="preserve">(Apr - Oct)</t>
  </si>
  <si>
    <t xml:space="preserve">#106980</t>
  </si>
  <si>
    <t xml:space="preserve">MidAm</t>
  </si>
  <si>
    <t xml:space="preserve">MidAm Winter TFX - (Jan - Mar, Nov, Dec)</t>
  </si>
  <si>
    <t xml:space="preserve">#107071</t>
  </si>
  <si>
    <t xml:space="preserve">UCU</t>
  </si>
  <si>
    <t xml:space="preserve">Utilicorp Incremental TFX (Nov - Mar)</t>
  </si>
  <si>
    <t xml:space="preserve">subtotal</t>
  </si>
  <si>
    <t xml:space="preserve">Potential Turnbacks</t>
  </si>
  <si>
    <t xml:space="preserve">#23844</t>
  </si>
  <si>
    <t xml:space="preserve">MidAm Cedar Rapids</t>
  </si>
  <si>
    <t xml:space="preserve">#105341/</t>
  </si>
  <si>
    <t xml:space="preserve">Nicor</t>
  </si>
  <si>
    <t xml:space="preserve">Nicor - (Apr - Oct) Term. @ 3/31/01 (20/d)</t>
  </si>
  <si>
    <t xml:space="preserve">Potential turnback of capacity.  Valued at the </t>
  </si>
  <si>
    <t xml:space="preserve">#107275</t>
  </si>
  <si>
    <t xml:space="preserve">Nicor - (Nov, Dec) Term. @ 3/31/01 (20/d)</t>
  </si>
  <si>
    <t xml:space="preserve">Chicago spread.</t>
  </si>
  <si>
    <t xml:space="preserve">#21527</t>
  </si>
  <si>
    <t xml:space="preserve">Nicor Potential 10% Contract Reduction (Nov, Dec)</t>
  </si>
  <si>
    <t xml:space="preserve">18,600/d reduction. Nicor must notify Northern by 2/1/01.</t>
  </si>
  <si>
    <t xml:space="preserve">#21340</t>
  </si>
  <si>
    <t xml:space="preserve">Madison</t>
  </si>
  <si>
    <t xml:space="preserve">Madison Gas Contract Reduction (Nov, Dec)</t>
  </si>
  <si>
    <t xml:space="preserve">Chicago plus 10</t>
  </si>
  <si>
    <t xml:space="preserve">#102944</t>
  </si>
  <si>
    <t xml:space="preserve">NWPS</t>
  </si>
  <si>
    <t xml:space="preserve">Renewal of Expiring TFX</t>
  </si>
  <si>
    <t xml:space="preserve">#21374</t>
  </si>
  <si>
    <t xml:space="preserve">Market Area TF to Replace 10% TFF Turnback</t>
  </si>
  <si>
    <t xml:space="preserve">Taconites/Industrials</t>
  </si>
  <si>
    <t xml:space="preserve">#102423</t>
  </si>
  <si>
    <t xml:space="preserve">Eveleth</t>
  </si>
  <si>
    <t xml:space="preserve">Eveleth Mine (Taconite)</t>
  </si>
  <si>
    <t xml:space="preserve">#22585</t>
  </si>
  <si>
    <t xml:space="preserve">CCI</t>
  </si>
  <si>
    <t xml:space="preserve">UCU - CCI</t>
  </si>
  <si>
    <t xml:space="preserve">#104684</t>
  </si>
  <si>
    <t xml:space="preserve">Terra</t>
  </si>
  <si>
    <t xml:space="preserve">Terra 50% of Reservation</t>
  </si>
  <si>
    <t xml:space="preserve">50% Tranche 1, 50% Tranche 2</t>
  </si>
  <si>
    <t xml:space="preserve">#103032</t>
  </si>
  <si>
    <t xml:space="preserve">Farmland</t>
  </si>
  <si>
    <t xml:space="preserve">Farmland 50% of Reservation</t>
  </si>
  <si>
    <t xml:space="preserve">Renewal of Expiring Contracts</t>
  </si>
  <si>
    <t xml:space="preserve">#106977</t>
  </si>
  <si>
    <t xml:space="preserve">MAPCO</t>
  </si>
  <si>
    <t xml:space="preserve">MAPCO Contracts Expiring (Nov, Dec)</t>
  </si>
  <si>
    <t xml:space="preserve">#106978</t>
  </si>
  <si>
    <t xml:space="preserve">#105597</t>
  </si>
  <si>
    <t xml:space="preserve">Wisconsin Gas</t>
  </si>
  <si>
    <t xml:space="preserve">Wisconsin Gas #105597 Contract Termination</t>
  </si>
  <si>
    <t xml:space="preserve">#105794</t>
  </si>
  <si>
    <t xml:space="preserve">WEPCO</t>
  </si>
  <si>
    <t xml:space="preserve">WEPCO #105794 Contract Termination</t>
  </si>
  <si>
    <t xml:space="preserve">#106082</t>
  </si>
  <si>
    <t xml:space="preserve">Interstate Power</t>
  </si>
  <si>
    <t xml:space="preserve">Interstate Power #106082 Contract Termination (Nov)</t>
  </si>
  <si>
    <t xml:space="preserve">Interstate Power #106082 Contract Termination (Dec)</t>
  </si>
  <si>
    <t xml:space="preserve">#106917</t>
  </si>
  <si>
    <t xml:space="preserve">WPS</t>
  </si>
  <si>
    <t xml:space="preserve">WPS Zone EF #106917 Contract Expires (Oct)</t>
  </si>
  <si>
    <t xml:space="preserve">WPS Zone EF #106917 Contract Expires (Nov, Dec)</t>
  </si>
  <si>
    <t xml:space="preserve">Tranche 2 Commodity (Taconites, Industrials, Overrun)</t>
  </si>
  <si>
    <t xml:space="preserve">Incremental Zone ABC - East  (Jan - Mar)</t>
  </si>
  <si>
    <t xml:space="preserve">Incremental Zone ABC - East  (Nov, Dec)</t>
  </si>
  <si>
    <t xml:space="preserve">#102968</t>
  </si>
  <si>
    <t xml:space="preserve">Manning</t>
  </si>
  <si>
    <t xml:space="preserve">Manning Turnback of Capacity  - TFX (Nov - Mar)</t>
  </si>
  <si>
    <t xml:space="preserve">#23614</t>
  </si>
  <si>
    <t xml:space="preserve">Utilicorp Partnering Agreement</t>
  </si>
  <si>
    <t xml:space="preserve">Grundy/White</t>
  </si>
  <si>
    <t xml:space="preserve">East Leg - (Jan - Mar)</t>
  </si>
  <si>
    <t xml:space="preserve">East Leg - (Nov - Dec)</t>
  </si>
  <si>
    <t xml:space="preserve">NNG Business Development - North</t>
  </si>
  <si>
    <t xml:space="preserve">Tall Corn Ethanol</t>
  </si>
  <si>
    <t xml:space="preserve">TFXM</t>
  </si>
  <si>
    <t xml:space="preserve">In-service July 1, 2002</t>
  </si>
  <si>
    <t xml:space="preserve">Little Sioux Ethanol</t>
  </si>
  <si>
    <t xml:space="preserve">TFXM    </t>
  </si>
  <si>
    <t xml:space="preserve">In-service Nov. 1, 2002</t>
  </si>
  <si>
    <t xml:space="preserve">Commodity                        TFX</t>
  </si>
  <si>
    <t xml:space="preserve">LES </t>
  </si>
  <si>
    <t xml:space="preserve">OTHER MARGIN</t>
  </si>
  <si>
    <t xml:space="preserve">Construction and Operation Consulting Agreement</t>
  </si>
  <si>
    <t xml:space="preserve">TFXM </t>
  </si>
  <si>
    <t xml:space="preserve">North Business Development Stretch</t>
  </si>
  <si>
    <t xml:space="preserve">Pricing &amp; Structuring Team</t>
  </si>
  <si>
    <t xml:space="preserve">Risk II upd'd 9/21</t>
  </si>
  <si>
    <t xml:space="preserve">AS OF 9/20 NOT UPDATED TO MATCH HIGH LEVEL SCHEDULES</t>
  </si>
  <si>
    <t xml:space="preserve">Demand</t>
  </si>
  <si>
    <t xml:space="preserve">Daily</t>
  </si>
  <si>
    <t xml:space="preserve">Commodity </t>
  </si>
  <si>
    <t xml:space="preserve">Risk </t>
  </si>
  <si>
    <t xml:space="preserve">Utility</t>
  </si>
  <si>
    <t xml:space="preserve">Units</t>
  </si>
  <si>
    <t xml:space="preserve">Volume</t>
  </si>
  <si>
    <t xml:space="preserve">Adj</t>
  </si>
  <si>
    <t xml:space="preserve">Plan</t>
  </si>
  <si>
    <t xml:space="preserve">Glenwood</t>
  </si>
  <si>
    <t xml:space="preserve">Transco-74038</t>
  </si>
  <si>
    <t xml:space="preserve">MGO-NGPL storage</t>
  </si>
  <si>
    <t xml:space="preserve">SBA-TI's (Tenaska &amp; Texaco)</t>
  </si>
  <si>
    <t xml:space="preserve">Midcontinent</t>
  </si>
  <si>
    <t xml:space="preserve">PEPL  demand</t>
  </si>
  <si>
    <t xml:space="preserve">Capacity release</t>
  </si>
  <si>
    <t xml:space="preserve">TFX commodity</t>
  </si>
  <si>
    <t xml:space="preserve">TI commodity</t>
  </si>
  <si>
    <t xml:space="preserve">Permian</t>
  </si>
  <si>
    <t xml:space="preserve">Capacity Release</t>
  </si>
  <si>
    <t xml:space="preserve">Plants</t>
  </si>
  <si>
    <t xml:space="preserve">Duke demand</t>
  </si>
  <si>
    <t xml:space="preserve">Pools</t>
  </si>
  <si>
    <t xml:space="preserve">TI Commodity</t>
  </si>
  <si>
    <t xml:space="preserve">Demarc</t>
  </si>
  <si>
    <t xml:space="preserve">Transport to Storage</t>
  </si>
  <si>
    <t xml:space="preserve">BP Amoco/Various West Sales</t>
  </si>
  <si>
    <t xml:space="preserve">Pools </t>
  </si>
  <si>
    <t xml:space="preserve">Anadarko</t>
  </si>
  <si>
    <t xml:space="preserve">TFX and other </t>
  </si>
  <si>
    <t xml:space="preserve">Total presented to Dave</t>
  </si>
  <si>
    <t xml:space="preserve">New Total</t>
  </si>
  <si>
    <t xml:space="preserve">Subtract from Categ I</t>
  </si>
  <si>
    <t xml:space="preserve">Contracted</t>
  </si>
  <si>
    <t xml:space="preserve">Categ I</t>
  </si>
  <si>
    <t xml:space="preserve">Categ II</t>
  </si>
  <si>
    <t xml:space="preserve">Categ III</t>
  </si>
  <si>
    <t xml:space="preserve"> Total Pricing &amp; Structuring</t>
  </si>
  <si>
    <t xml:space="preserve">Tot Dem</t>
  </si>
  <si>
    <t xml:space="preserve">Tot Comm</t>
  </si>
  <si>
    <t xml:space="preserve">Total All</t>
  </si>
  <si>
    <t xml:space="preserve">ET&amp;S</t>
  </si>
  <si>
    <t xml:space="preserve">2001 Storage Plan  </t>
  </si>
  <si>
    <t xml:space="preserve">Last Updated:</t>
  </si>
  <si>
    <t xml:space="preserve">Tranche 1</t>
  </si>
  <si>
    <t xml:space="preserve">Tranche 2</t>
  </si>
  <si>
    <t xml:space="preserve">Tranche 3</t>
  </si>
  <si>
    <t xml:space="preserve">Total Plan</t>
  </si>
  <si>
    <t xml:space="preserve">Category</t>
  </si>
  <si>
    <t xml:space="preserve">Quantity (BCF)</t>
  </si>
  <si>
    <t xml:space="preserve">Margin</t>
  </si>
  <si>
    <t xml:space="preserve">Revenue ($ 000's)</t>
  </si>
  <si>
    <t xml:space="preserve">Risk Weighted</t>
  </si>
  <si>
    <t xml:space="preserve">Risk Adj Revenues</t>
  </si>
  <si>
    <t xml:space="preserve">IDD</t>
  </si>
  <si>
    <t xml:space="preserve">Seasonal</t>
  </si>
  <si>
    <t xml:space="preserve">Traditional </t>
  </si>
  <si>
    <t xml:space="preserve">Withdrawal Dec 2001</t>
  </si>
  <si>
    <t xml:space="preserve">Withdrawal Jan 2002</t>
  </si>
  <si>
    <t xml:space="preserve">Back side of '00 deals</t>
  </si>
  <si>
    <t xml:space="preserve"> </t>
  </si>
  <si>
    <t xml:space="preserve">Sub-total - Traditional</t>
  </si>
  <si>
    <t xml:space="preserve">Nov - Dec</t>
  </si>
  <si>
    <t xml:space="preserve">Total Seasonal</t>
  </si>
  <si>
    <t xml:space="preserve">Backdraft</t>
  </si>
  <si>
    <t xml:space="preserve"> W/D Winter 00/01</t>
  </si>
  <si>
    <t xml:space="preserve">Traditional</t>
  </si>
  <si>
    <t xml:space="preserve">Incremental capacity - Feb 01</t>
  </si>
  <si>
    <t xml:space="preserve">Traditional w/ Call Back Rights</t>
  </si>
  <si>
    <t xml:space="preserve">Traditional - Regression Model</t>
  </si>
  <si>
    <t xml:space="preserve">Traditional w/ Expense SBA</t>
  </si>
  <si>
    <t xml:space="preserve">SBA Peaking</t>
  </si>
  <si>
    <t xml:space="preserve">Sub-total - Winter 00/01</t>
  </si>
  <si>
    <t xml:space="preserve"> W/D Winter 01/02</t>
  </si>
  <si>
    <t xml:space="preserve">Sub-total - Winter 01/02</t>
  </si>
  <si>
    <t xml:space="preserve">Total Backdraft</t>
  </si>
  <si>
    <t xml:space="preserve">Month-to-Month</t>
  </si>
  <si>
    <t xml:space="preserve">    Back side of '00 deals</t>
  </si>
  <si>
    <t xml:space="preserve">    Value Deals</t>
  </si>
  <si>
    <t xml:space="preserve">Total Month-to-Month</t>
  </si>
  <si>
    <t xml:space="preserve">Power Pac </t>
  </si>
  <si>
    <t xml:space="preserve">Summer</t>
  </si>
  <si>
    <t xml:space="preserve">Winter</t>
  </si>
  <si>
    <t xml:space="preserve">Great River Energy</t>
  </si>
  <si>
    <t xml:space="preserve">Sub-total - Power Pac</t>
  </si>
  <si>
    <t xml:space="preserve">Total Other</t>
  </si>
  <si>
    <t xml:space="preserve">Park n Ride</t>
  </si>
  <si>
    <t xml:space="preserve">12 mos * $82.5m/mo =</t>
  </si>
  <si>
    <t xml:space="preserve"> Expense SBA</t>
  </si>
  <si>
    <t xml:space="preserve">Total IDD</t>
  </si>
  <si>
    <t xml:space="preserve">2001 Storage Plan First Pass </t>
  </si>
  <si>
    <t xml:space="preserve">FDD</t>
  </si>
  <si>
    <t xml:space="preserve">Reservation</t>
  </si>
  <si>
    <t xml:space="preserve">Injection/Withdrawal</t>
  </si>
  <si>
    <t xml:space="preserve">Overrun</t>
  </si>
  <si>
    <t xml:space="preserve">Penalties (UMM, etc.)</t>
  </si>
  <si>
    <t xml:space="preserve">Total FDD</t>
  </si>
  <si>
    <t xml:space="preserve">Total Storage</t>
  </si>
  <si>
    <t xml:space="preserve">Storage Desk - 2001 Structured Products Ideas</t>
  </si>
  <si>
    <t xml:space="preserve">Operational Storage "Puts" or "Calls"</t>
  </si>
  <si>
    <t xml:space="preserve">Resell intra-month put volume when GDD&gt;Index;</t>
  </si>
  <si>
    <t xml:space="preserve">take increase through Storage</t>
  </si>
  <si>
    <t xml:space="preserve">Storage Asset Manage - WBI</t>
  </si>
  <si>
    <t xml:space="preserve">Total Structured Products</t>
  </si>
  <si>
    <t xml:space="preserve">Storage Team</t>
  </si>
  <si>
    <t xml:space="preserve">Summary of Risk Categories</t>
  </si>
  <si>
    <t xml:space="preserve">Withdrawal Dec 2002</t>
  </si>
  <si>
    <t xml:space="preserve">Withdrawal Jan 2003</t>
  </si>
  <si>
    <t xml:space="preserve">Incremental Seasonal - Lyons</t>
  </si>
  <si>
    <t xml:space="preserve">Back side of '01 deals</t>
  </si>
  <si>
    <t xml:space="preserve">Traditional - Model Increment</t>
  </si>
  <si>
    <t xml:space="preserve"> W/D Winter 02/03</t>
  </si>
  <si>
    <t xml:space="preserve">Sub-total - Winter 02/03</t>
  </si>
  <si>
    <t xml:space="preserve">    Back side of '01 deals</t>
  </si>
  <si>
    <t xml:space="preserve">Incremental Spring / Summer deals        </t>
  </si>
  <si>
    <t xml:space="preserve">Unidentified Stretch</t>
  </si>
  <si>
    <t xml:space="preserve">2000-2002 OPERATING &amp; STRATEGIC PLAN</t>
  </si>
  <si>
    <t xml:space="preserve">MARGIN ANALYSIS</t>
  </si>
  <si>
    <t xml:space="preserve">INCREMENTAL CHANGES 2000 TO 2001</t>
  </si>
  <si>
    <t xml:space="preserve">INCREMENTAL CHANGES 2001 TO 2002</t>
  </si>
  <si>
    <t xml:space="preserve">TOTAL</t>
  </si>
  <si>
    <t xml:space="preserve">2000</t>
  </si>
  <si>
    <t xml:space="preserve">ASSET</t>
  </si>
  <si>
    <t xml:space="preserve">TRANCHE 3</t>
  </si>
  <si>
    <t xml:space="preserve">2002</t>
  </si>
  <si>
    <t xml:space="preserve">MARGIN</t>
  </si>
  <si>
    <t xml:space="preserve">CAPITAL</t>
  </si>
  <si>
    <t xml:space="preserve">SALE</t>
  </si>
  <si>
    <t xml:space="preserve">MIDWEST</t>
  </si>
  <si>
    <t xml:space="preserve">PRICING &amp; STRUCTURING</t>
  </si>
  <si>
    <t xml:space="preserve">SOUTH OFFSHORE</t>
  </si>
  <si>
    <t xml:space="preserve">Subtotal</t>
  </si>
  <si>
    <t xml:space="preserve">STORAGE</t>
  </si>
  <si>
    <t xml:space="preserve"> OTHER:</t>
  </si>
  <si>
    <t xml:space="preserve">DDVC/Penalties</t>
  </si>
  <si>
    <t xml:space="preserve">Subtotal </t>
  </si>
  <si>
    <t xml:space="preserve">Revenue Management</t>
  </si>
  <si>
    <t xml:space="preserve">Business Devel. Projects</t>
  </si>
  <si>
    <t xml:space="preserve">Volumetric Rate Design</t>
  </si>
  <si>
    <t xml:space="preserve">Struct. Products Recur.</t>
  </si>
  <si>
    <t xml:space="preserve">Carlton Termination</t>
  </si>
  <si>
    <t xml:space="preserve">TOTAL REVENUES</t>
  </si>
  <si>
    <t xml:space="preserve">   LESS CARLTON</t>
  </si>
  <si>
    <t xml:space="preserve">TOTAL MARGINS</t>
  </si>
  <si>
    <t xml:space="preserve">Peak Day 2000</t>
  </si>
  <si>
    <t xml:space="preserve">Koch Hydrogen Plant</t>
  </si>
  <si>
    <t xml:space="preserve">Black Dog Power Plt</t>
  </si>
  <si>
    <t xml:space="preserve">GRE Power Plant</t>
  </si>
  <si>
    <t xml:space="preserve">Discretionary Pool</t>
  </si>
  <si>
    <t xml:space="preserve">Northern Natural Gas Company</t>
  </si>
  <si>
    <t xml:space="preserve">Capital Plan - 2001 Last Year To 2001 This Year</t>
  </si>
  <si>
    <t xml:space="preserve">Margin Summary  ($Millions)</t>
  </si>
  <si>
    <t xml:space="preserve">Capital Projects:</t>
  </si>
  <si>
    <t xml:space="preserve">Region</t>
  </si>
  <si>
    <t xml:space="preserve">2000 &amp;2001   from 99</t>
  </si>
  <si>
    <t xml:space="preserve">2000 &amp;2001   from 00</t>
  </si>
  <si>
    <t xml:space="preserve">Variance</t>
  </si>
  <si>
    <t xml:space="preserve">Comments:</t>
  </si>
  <si>
    <t xml:space="preserve">North</t>
  </si>
  <si>
    <t xml:space="preserve">Koch Hydrocarbon</t>
  </si>
  <si>
    <t xml:space="preserve">Other </t>
  </si>
  <si>
    <t xml:space="preserve">La Crosse</t>
  </si>
  <si>
    <t xml:space="preserve">Midwest Natural</t>
  </si>
  <si>
    <t xml:space="preserve">Zone EF</t>
  </si>
  <si>
    <t xml:space="preserve">(millions of dollars)</t>
  </si>
  <si>
    <t xml:space="preserve">NOTE ADD VERN0N'S BULLETS</t>
  </si>
  <si>
    <t xml:space="preserve">Revenues</t>
  </si>
  <si>
    <t xml:space="preserve">2001 2nd Current Estimate</t>
  </si>
  <si>
    <t xml:space="preserve">OK-KS East</t>
  </si>
  <si>
    <t xml:space="preserve"> unattached</t>
  </si>
  <si>
    <t xml:space="preserve">Total Variance</t>
  </si>
  <si>
    <t xml:space="preserve">2002 Plan - Pricing &amp; Structuring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</si>
</sst>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[$-409]#,##0_);\(#,##0\)"/>
    <numFmt numFmtId="166" formatCode="0.00_)"/>
    <numFmt numFmtId="167" formatCode="General_)"/>
    <numFmt numFmtId="168" formatCode="0.00%"/>
    <numFmt numFmtId="169" formatCode="mmmm\ d&quot;, &quot;yyyy"/>
    <numFmt numFmtId="170" formatCode="_(\$* #,##0.00_);_(\$* \(#,##0.00\);_(\$* \-??_);_(@_)"/>
    <numFmt numFmtId="171" formatCode="_(\$* #,##0.0_);_(\$* \(#,##0.0\);_(\$* \-??_);_(@_)"/>
    <numFmt numFmtId="172" formatCode="_(* #,##0.00_);_(* \(#,##0.00\);_(* \-??_);_(@_)"/>
    <numFmt numFmtId="173" formatCode="_(* #,##0.0_);_(* \(#,##0.0\);_(* \-??_);_(@_)"/>
    <numFmt numFmtId="174" formatCode="0.0"/>
    <numFmt numFmtId="175" formatCode="_(\$* #,##0_);_(\$* \(#,##0\);_(\$* \-??_);_(@_)"/>
    <numFmt numFmtId="176" formatCode="_(* #,##0_);_(* \(#,##0\);_(* \-??_);_(@_)"/>
    <numFmt numFmtId="177" formatCode="_(\$* #,##0.0000_);_(\$* \(#,##0.0000\);_(\$* \-??_);_(@_)"/>
    <numFmt numFmtId="178" formatCode="_(\$* #,##0.000_);_(\$* \(#,##0.000\);_(\$* \-??_);_(@_)"/>
    <numFmt numFmtId="179" formatCode="0%"/>
    <numFmt numFmtId="180" formatCode="_(\$* #,##0.00000_);_(\$* \(#,##0.00000\);_(\$* \-??_);_(@_)"/>
    <numFmt numFmtId="181" formatCode="0.0000"/>
    <numFmt numFmtId="182" formatCode="_(* #,##0.0000_);_(* \(#,##0.0000\);_(* \-??_);_(@_)"/>
    <numFmt numFmtId="183" formatCode="_(* #,##0.000_);_(* \(#,##0.000\);_(* \-??_);_(@_)"/>
    <numFmt numFmtId="184" formatCode="\$#,##0_);[RED]&quot;($&quot;#,##0\)"/>
    <numFmt numFmtId="185" formatCode="mm/dd/yy"/>
    <numFmt numFmtId="186" formatCode="@"/>
    <numFmt numFmtId="187" formatCode="0.0_);[RED]\(0.0\)"/>
    <numFmt numFmtId="188" formatCode="_(* #,##0.0_);_(* \(#,##0.0\);_(* \-?_);_(@_)"/>
  </numFmts>
  <fonts count="3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i val="true"/>
      <sz val="16"/>
      <name val="Arial"/>
      <family val="0"/>
    </font>
    <font>
      <sz val="10"/>
      <name val="Arial MT"/>
      <family val="0"/>
    </font>
    <font>
      <sz val="12"/>
      <name val="Arial MT"/>
      <family val="0"/>
    </font>
    <font>
      <b val="true"/>
      <sz val="28"/>
      <name val="Arial"/>
      <family val="2"/>
    </font>
    <font>
      <b val="true"/>
      <sz val="36"/>
      <name val="Arial"/>
      <family val="2"/>
    </font>
    <font>
      <sz val="36"/>
      <name val="Arial"/>
      <family val="2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20"/>
      <name val="Arial"/>
      <family val="2"/>
    </font>
    <font>
      <b val="true"/>
      <u val="single"/>
      <sz val="16"/>
      <name val="Arial"/>
      <family val="2"/>
    </font>
    <font>
      <b val="true"/>
      <sz val="10"/>
      <name val="Arial MT"/>
      <family val="0"/>
    </font>
    <font>
      <b val="true"/>
      <sz val="12"/>
      <color rgb="FFFF0000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0"/>
    </font>
    <font>
      <b val="true"/>
      <u val="single"/>
      <sz val="10"/>
      <name val="Arial"/>
      <family val="0"/>
    </font>
    <font>
      <b val="true"/>
      <sz val="11"/>
      <name val="Arial"/>
      <family val="2"/>
    </font>
    <font>
      <b val="true"/>
      <i val="true"/>
      <sz val="8"/>
      <name val="Arial"/>
      <family val="2"/>
    </font>
    <font>
      <b val="true"/>
      <i val="true"/>
      <sz val="10"/>
      <name val="Arial"/>
      <family val="2"/>
    </font>
    <font>
      <b val="true"/>
      <i val="true"/>
      <sz val="14"/>
      <name val="Arial"/>
      <family val="2"/>
    </font>
    <font>
      <b val="true"/>
      <sz val="12"/>
      <name val="Arial"/>
      <family val="0"/>
    </font>
    <font>
      <b val="true"/>
      <sz val="16"/>
      <name val="Arial MT"/>
      <family val="0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99CCFF"/>
      </patternFill>
    </fill>
    <fill>
      <patternFill patternType="solid">
        <fgColor rgb="FFFFFFCC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E3E3E3"/>
        <bgColor rgb="FFEFEFEF"/>
      </patternFill>
    </fill>
    <fill>
      <patternFill patternType="solid">
        <fgColor rgb="FFCCFFCC"/>
        <bgColor rgb="FFCCFFFF"/>
      </patternFill>
    </fill>
    <fill>
      <patternFill patternType="solid">
        <fgColor rgb="FFEFEFEF"/>
        <bgColor rgb="FFE3E3E3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9" fontId="0" fillId="0" borderId="0" applyFont="true" applyBorder="false" applyAlignment="false" applyProtection="false"/>
    <xf numFmtId="165" fontId="4" fillId="0" borderId="0" applyFont="true" applyBorder="false" applyAlignment="false" applyProtection="true">
      <protection locked="true" hidden="false"/>
    </xf>
    <xf numFmtId="164" fontId="5" fillId="2" borderId="0" applyFont="true" applyBorder="false" applyAlignment="false" applyProtection="false"/>
    <xf numFmtId="164" fontId="6" fillId="0" borderId="1" applyFont="true" applyBorder="true" applyAlignment="false" applyProtection="false"/>
    <xf numFmtId="164" fontId="6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0" applyFont="true" applyBorder="false" applyAlignment="false" applyProtection="false"/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5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1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5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8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8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3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6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5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3" fontId="2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7" fontId="24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5" fontId="24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9" fontId="24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7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5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5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7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3" fontId="15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7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5" fillId="7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5" fillId="7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9" fontId="1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7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9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9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9" fillId="7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29" fillId="7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9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7" borderId="0" xfId="0" applyFont="true" applyBorder="true" applyAlignment="true" applyProtection="false">
      <alignment horizontal="left" vertical="bottom" textRotation="0" wrapText="false" indent="5" shrinkToFit="false"/>
      <protection locked="true" hidden="false"/>
    </xf>
    <xf numFmtId="17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15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5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5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3" fontId="15" fillId="5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5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5" fillId="5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5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15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5" borderId="0" xfId="0" applyFont="true" applyBorder="true" applyAlignment="true" applyProtection="false">
      <alignment horizontal="left" vertical="bottom" textRotation="0" wrapText="false" indent="5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5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2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2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4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4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4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2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2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3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IELD" xfId="20"/>
    <cellStyle name="Grey" xfId="21"/>
    <cellStyle name="Header1" xfId="22"/>
    <cellStyle name="Header2" xfId="23"/>
    <cellStyle name="Input [yellow]" xfId="24"/>
    <cellStyle name="Normal - Style1" xfId="25"/>
    <cellStyle name="Normal_DMDEMREC" xfId="26"/>
    <cellStyle name="Normal_TW99-2CE" xfId="27"/>
    <cellStyle name="Percent [2]" xfId="28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externalLink" Target="externalLinks/externalLink1.xml"/><Relationship Id="rId18" Type="http://schemas.openxmlformats.org/officeDocument/2006/relationships/externalLink" Target="externalLinks/externalLink2.xml"/><Relationship Id="rId19" Type="http://schemas.openxmlformats.org/officeDocument/2006/relationships/externalLink" Target="externalLinks/externalLink3.xml"/><Relationship Id="rId20" Type="http://schemas.openxmlformats.org/officeDocument/2006/relationships/externalLink" Target="externalLinks/externalLink4.xml"/><Relationship Id="rId21" Type="http://schemas.openxmlformats.org/officeDocument/2006/relationships/externalLink" Target="externalLinks/externalLink5.xml"/><Relationship Id="rId22" Type="http://schemas.openxmlformats.org/officeDocument/2006/relationships/externalLink" Target="externalLinks/externalLink6.xml"/><Relationship Id="rId23" Type="http://schemas.openxmlformats.org/officeDocument/2006/relationships/externalLink" Target="externalLinks/externalLink7.xml"/><Relationship Id="rId24" Type="http://schemas.openxmlformats.org/officeDocument/2006/relationships/externalLink" Target="externalLinks/externalLink8.xml"/><Relationship Id="rId2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834840</xdr:colOff>
      <xdr:row>38</xdr:row>
      <xdr:rowOff>75960</xdr:rowOff>
    </xdr:from>
    <xdr:to>
      <xdr:col>4</xdr:col>
      <xdr:colOff>835920</xdr:colOff>
      <xdr:row>43</xdr:row>
      <xdr:rowOff>162000</xdr:rowOff>
    </xdr:to>
    <xdr:sp>
      <xdr:nvSpPr>
        <xdr:cNvPr id="0" name="Line 2"/>
        <xdr:cNvSpPr/>
      </xdr:nvSpPr>
      <xdr:spPr>
        <a:xfrm>
          <a:off x="4376160" y="6543360"/>
          <a:ext cx="1080" cy="905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834840</xdr:colOff>
      <xdr:row>38</xdr:row>
      <xdr:rowOff>114480</xdr:rowOff>
    </xdr:from>
    <xdr:to>
      <xdr:col>10</xdr:col>
      <xdr:colOff>835920</xdr:colOff>
      <xdr:row>43</xdr:row>
      <xdr:rowOff>162000</xdr:rowOff>
    </xdr:to>
    <xdr:sp>
      <xdr:nvSpPr>
        <xdr:cNvPr id="1" name="Line 5"/>
        <xdr:cNvSpPr/>
      </xdr:nvSpPr>
      <xdr:spPr>
        <a:xfrm>
          <a:off x="9023760" y="6581880"/>
          <a:ext cx="1080" cy="8668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APITAL/eXTRA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9901Plan/cap_ch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URREST/1st98/Model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~ME173A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arketing/Market%20Knowledge%20Survey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APITAL/98/1stCE/TWCAPEX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2000%20Plan/&apos;00-02%20GPG%20SCHDULES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Pricing%202002%20Plan/2002_Plan_8_21_01Neubauer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RR"/>
      <sheetName val="Peak Day"/>
      <sheetName val="Summary TW"/>
      <sheetName val="Summary NNG"/>
      <sheetName val="highlights"/>
      <sheetName val="CONTEN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ORMAT"/>
      <sheetName val="cap_ch"/>
      <sheetName val="#REF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thly"/>
      <sheetName val="CoSumm"/>
      <sheetName val="GPG"/>
      <sheetName val="ECT"/>
      <sheetName val="EUROPE"/>
      <sheetName val="EOG"/>
      <sheetName val="EINT"/>
      <sheetName val="CFEOTT"/>
      <sheetName val="PGC"/>
      <sheetName val="EREC"/>
      <sheetName val="EES"/>
      <sheetName val="CORP"/>
      <sheetName val="ECM"/>
      <sheetName val="FIN"/>
      <sheetName val="EOGMI"/>
      <sheetName val="EESMI"/>
      <sheetName val="ERECMI"/>
      <sheetName val="MAC"/>
      <sheetName val="IndCoVariance"/>
      <sheetName val="Variance"/>
      <sheetName val="CONSOL_MOD"/>
      <sheetName val="PRINT_MOD"/>
      <sheetName val="PRINT_RESET_MOD"/>
      <sheetName val="CO_SUM_MOD"/>
      <sheetName val="MISC_MOD"/>
      <sheetName val="VARIANCE_MO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ntest"/>
      <sheetName val="Scores"/>
      <sheetName val="Sheet2"/>
      <sheetName val="Sheet3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F_QTR"/>
      <sheetName val="CF"/>
      <sheetName val="TW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AJASSUM-TW"/>
      <sheetName val="MAJASSUM-NNG"/>
      <sheetName val="STATS-TW"/>
      <sheetName val="STATS-NNG"/>
      <sheetName val="TW Detail NI "/>
      <sheetName val="NNG Detail NI "/>
      <sheetName val="NNG Other"/>
      <sheetName val="TW Other"/>
      <sheetName val="TW QTR INC"/>
      <sheetName val="NNG QTR INC"/>
      <sheetName val="TW YR-YR IBIT"/>
      <sheetName val="NNG YR-YR IBIT"/>
      <sheetName val="O&amp;M_NNG"/>
      <sheetName val="O&amp;M-TW"/>
      <sheetName val="NNG YR-YR FF"/>
      <sheetName val="TW YR-YR FF"/>
      <sheetName val="NNG YR-YR OB "/>
      <sheetName val="TW YR-YR OB "/>
      <sheetName val="NNG Exposure"/>
      <sheetName val="TW Exposure"/>
      <sheetName val="NNG Capital Sum"/>
      <sheetName val="NNG Cap Detail"/>
      <sheetName val="TW Capital Sum"/>
      <sheetName val="TW Cap Detail"/>
      <sheetName val="NNG STAFFING BY EMPLOYEE STATUS"/>
      <sheetName val="NNG STAFFING BY LOCATION"/>
      <sheetName val="TW STAFFING BY EMPLOYEE STATUS"/>
      <sheetName val="TW STAFFING BY LOCATION"/>
      <sheetName val="NNG Detail NI"/>
      <sheetName val="NNG CAPITAL SUMMARY"/>
      <sheetName val="NNG CAPITAL DETAIL"/>
      <sheetName val="TW CAPITAL SUMMARY"/>
      <sheetName val="TW CAPITAL DETA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Dept_Contribution"/>
      <sheetName val="Revenuest 2CE"/>
      <sheetName val="tranche "/>
      <sheetName val="Pricing &amp; Structuring"/>
      <sheetName val="2000_2CE to 2001"/>
      <sheetName val="Pricing &amp; Structuring Rec"/>
      <sheetName val="MN Tranche"/>
      <sheetName val="OMA Tranche"/>
      <sheetName val="EU Tranche"/>
      <sheetName val="Storage Tranche"/>
      <sheetName val="Items"/>
      <sheetName val="suppl"/>
      <sheetName val="NNG 00-02 Rollover"/>
      <sheetName val="Capital"/>
      <sheetName val="carlton "/>
      <sheetName val="MN Rec"/>
      <sheetName val="OM Rec"/>
      <sheetName val="DM Rec"/>
      <sheetName val="EU Rec"/>
      <sheetName val="S_Off Rec"/>
      <sheetName val="Stor  Rec"/>
      <sheetName val="Sheet1"/>
      <sheetName val="Sheet2"/>
      <sheetName val="Sheet3"/>
    </sheetNames>
    <sheetDataSet>
      <sheetData sheetId="0"/>
      <sheetData sheetId="1"/>
      <sheetData sheetId="2">
        <row r="16">
          <cell r="G16">
            <v>20.161</v>
          </cell>
          <cell r="H16">
            <v>11.551</v>
          </cell>
        </row>
        <row r="29">
          <cell r="G29">
            <v>0</v>
          </cell>
          <cell r="H29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O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7.56"/>
    <col collapsed="false" customWidth="true" hidden="false" outlineLevel="0" max="14" min="14" style="0" width="17.7"/>
    <col collapsed="false" customWidth="true" hidden="false" outlineLevel="0" max="15" min="15" style="0" width="1.13"/>
  </cols>
  <sheetData>
    <row r="9" customFormat="false" ht="35.25" hidden="false" customHeight="false" outlineLevel="0" collapsed="false">
      <c r="E9" s="1" t="s">
        <v>0</v>
      </c>
      <c r="F9" s="1"/>
      <c r="G9" s="1"/>
      <c r="H9" s="1"/>
      <c r="I9" s="1"/>
      <c r="J9" s="1"/>
      <c r="K9" s="1"/>
      <c r="L9" s="1"/>
    </row>
    <row r="10" customFormat="false" ht="35.25" hidden="false" customHeight="false" outlineLevel="0" collapsed="false">
      <c r="E10" s="1" t="s">
        <v>1</v>
      </c>
      <c r="F10" s="1"/>
      <c r="G10" s="1"/>
      <c r="H10" s="1"/>
      <c r="I10" s="1"/>
      <c r="J10" s="1"/>
      <c r="K10" s="1"/>
      <c r="L10" s="1"/>
    </row>
    <row r="11" customFormat="false" ht="35.25" hidden="false" customHeight="false" outlineLevel="0" collapsed="false">
      <c r="E11" s="1" t="s">
        <v>2</v>
      </c>
      <c r="F11" s="1"/>
      <c r="G11" s="1"/>
      <c r="H11" s="1"/>
      <c r="I11" s="1"/>
      <c r="J11" s="1"/>
      <c r="K11" s="1"/>
      <c r="L11" s="1"/>
    </row>
    <row r="12" customFormat="false" ht="35.25" hidden="false" customHeight="false" outlineLevel="0" collapsed="false">
      <c r="E12" s="2"/>
      <c r="F12" s="2"/>
      <c r="G12" s="2"/>
      <c r="H12" s="2"/>
      <c r="I12" s="2"/>
      <c r="J12" s="2"/>
      <c r="K12" s="2"/>
      <c r="L12" s="2"/>
    </row>
    <row r="13" customFormat="false" ht="35.25" hidden="false" customHeight="false" outlineLevel="0" collapsed="false">
      <c r="E13" s="2"/>
      <c r="F13" s="2"/>
      <c r="G13" s="2"/>
      <c r="H13" s="2"/>
      <c r="I13" s="2"/>
      <c r="J13" s="2"/>
      <c r="K13" s="2"/>
      <c r="L13" s="2"/>
    </row>
    <row r="14" customFormat="false" ht="45" hidden="false" customHeight="false" outlineLevel="0" collapsed="false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6" customFormat="false" ht="35.25" hidden="false" customHeight="true" outlineLevel="0" collapsed="false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5"/>
    </row>
    <row r="20" customFormat="false" ht="20.25" hidden="false" customHeight="false" outlineLevel="0" collapsed="false">
      <c r="B20" s="6"/>
    </row>
    <row r="38" customFormat="false" ht="12.75" hidden="false" customHeight="false" outlineLevel="0" collapsed="false">
      <c r="A38" s="0" t="str">
        <f aca="true">CELL("filename")</f>
        <v>'file:///mnt/12tb/@roms/datasets/enron/EDRM Enron Email Data Set v2 XML/filtered-attachments/xls/2002_Plan_Contracted_uncontracted_stretch_9_21_01.xls'#$Cover</v>
      </c>
    </row>
  </sheetData>
  <mergeCells count="5">
    <mergeCell ref="E9:L9"/>
    <mergeCell ref="E10:L10"/>
    <mergeCell ref="E11:L11"/>
    <mergeCell ref="A14:N14"/>
    <mergeCell ref="A16:N16"/>
  </mergeCells>
  <printOptions headings="false" gridLines="false" gridLinesSet="true" horizontalCentered="false" verticalCentered="false"/>
  <pageMargins left="0.370138888888889" right="0.329861111111111" top="0.340277777777778" bottom="0.359722222222222" header="0.511811023622047" footer="0.20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
&amp;T&amp;CPage &amp;P of &amp;N&amp;R&amp;F
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O2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17" activeCellId="0" sqref="H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9.85"/>
    <col collapsed="false" customWidth="true" hidden="false" outlineLevel="0" max="3" min="3" style="0" width="4.41"/>
    <col collapsed="false" customWidth="true" hidden="false" outlineLevel="0" max="4" min="4" style="0" width="12.42"/>
    <col collapsed="false" customWidth="true" hidden="false" outlineLevel="0" max="5" min="5" style="0" width="4.41"/>
    <col collapsed="false" customWidth="true" hidden="false" outlineLevel="0" max="6" min="6" style="0" width="8.99"/>
    <col collapsed="false" customWidth="true" hidden="false" outlineLevel="0" max="7" min="7" style="0" width="4.41"/>
    <col collapsed="false" customWidth="true" hidden="false" outlineLevel="0" max="8" min="8" style="0" width="8.99"/>
    <col collapsed="false" customWidth="true" hidden="false" outlineLevel="0" max="9" min="9" style="0" width="4.41"/>
    <col collapsed="false" customWidth="true" hidden="false" outlineLevel="0" max="10" min="10" style="0" width="8.99"/>
    <col collapsed="false" customWidth="true" hidden="false" outlineLevel="0" max="11" min="11" style="0" width="3.85"/>
  </cols>
  <sheetData>
    <row r="2" customFormat="false" ht="20.25" hidden="false" customHeight="false" outlineLevel="0" collapsed="false">
      <c r="B2" s="250" t="s">
        <v>367</v>
      </c>
    </row>
    <row r="3" customFormat="false" ht="20.25" hidden="false" customHeight="false" outlineLevel="0" collapsed="false">
      <c r="B3" s="250" t="s">
        <v>368</v>
      </c>
    </row>
    <row r="4" customFormat="false" ht="20.25" hidden="false" customHeight="false" outlineLevel="0" collapsed="false">
      <c r="B4" s="250" t="s">
        <v>369</v>
      </c>
    </row>
    <row r="5" customFormat="false" ht="20.25" hidden="false" customHeight="false" outlineLevel="0" collapsed="false">
      <c r="B5" s="250"/>
    </row>
    <row r="6" customFormat="false" ht="20.25" hidden="false" customHeight="false" outlineLevel="0" collapsed="false">
      <c r="B6" s="250"/>
    </row>
    <row r="7" customFormat="false" ht="38.25" hidden="false" customHeight="false" outlineLevel="0" collapsed="false">
      <c r="B7" s="98" t="s">
        <v>370</v>
      </c>
      <c r="D7" s="98" t="s">
        <v>371</v>
      </c>
      <c r="F7" s="251" t="s">
        <v>372</v>
      </c>
      <c r="H7" s="251" t="s">
        <v>373</v>
      </c>
      <c r="J7" s="98" t="s">
        <v>374</v>
      </c>
      <c r="L7" s="98" t="s">
        <v>375</v>
      </c>
      <c r="M7" s="98"/>
      <c r="N7" s="98"/>
      <c r="O7" s="98"/>
    </row>
    <row r="8" customFormat="false" ht="12.75" hidden="false" customHeight="false" outlineLevel="0" collapsed="false">
      <c r="B8" s="14"/>
      <c r="D8" s="14"/>
      <c r="F8" s="252"/>
      <c r="H8" s="252"/>
      <c r="J8" s="14"/>
      <c r="L8" s="14"/>
      <c r="M8" s="14"/>
      <c r="N8" s="14"/>
      <c r="O8" s="14"/>
    </row>
    <row r="9" customFormat="false" ht="14.25" hidden="false" customHeight="false" outlineLevel="0" collapsed="false">
      <c r="B9" s="0" t="s">
        <v>362</v>
      </c>
      <c r="D9" s="0" t="s">
        <v>376</v>
      </c>
      <c r="F9" s="253" t="n">
        <v>1.4</v>
      </c>
      <c r="G9" s="254"/>
      <c r="H9" s="253" t="n">
        <v>1.9</v>
      </c>
      <c r="I9" s="254"/>
      <c r="J9" s="253" t="n">
        <f aca="false">+H9-F9</f>
        <v>0.5</v>
      </c>
      <c r="L9" s="27"/>
    </row>
    <row r="10" customFormat="false" ht="14.25" hidden="false" customHeight="false" outlineLevel="0" collapsed="false">
      <c r="B10" s="0" t="s">
        <v>377</v>
      </c>
      <c r="D10" s="0" t="s">
        <v>376</v>
      </c>
      <c r="F10" s="255" t="n">
        <v>1.4</v>
      </c>
      <c r="H10" s="255" t="n">
        <v>0.2</v>
      </c>
      <c r="J10" s="255" t="n">
        <f aca="false">+H10-F10</f>
        <v>-1.2</v>
      </c>
    </row>
    <row r="11" customFormat="false" ht="14.25" hidden="false" customHeight="false" outlineLevel="0" collapsed="false">
      <c r="B11" s="14" t="s">
        <v>365</v>
      </c>
      <c r="D11" s="0" t="s">
        <v>376</v>
      </c>
      <c r="F11" s="255" t="n">
        <v>0.6</v>
      </c>
      <c r="H11" s="255" t="n">
        <v>0.2</v>
      </c>
      <c r="J11" s="255" t="n">
        <f aca="false">+H11-F11</f>
        <v>-0.4</v>
      </c>
    </row>
    <row r="12" customFormat="false" ht="14.25" hidden="false" customHeight="false" outlineLevel="0" collapsed="false">
      <c r="B12" s="14" t="s">
        <v>378</v>
      </c>
      <c r="D12" s="0" t="s">
        <v>376</v>
      </c>
      <c r="F12" s="255" t="n">
        <v>0.3</v>
      </c>
      <c r="H12" s="255" t="n">
        <v>0.1</v>
      </c>
      <c r="J12" s="255" t="n">
        <f aca="false">+H12-F12</f>
        <v>-0.2</v>
      </c>
    </row>
    <row r="13" customFormat="false" ht="14.25" hidden="false" customHeight="false" outlineLevel="0" collapsed="false">
      <c r="B13" s="0" t="s">
        <v>379</v>
      </c>
      <c r="D13" s="0" t="s">
        <v>376</v>
      </c>
      <c r="F13" s="255" t="n">
        <v>0</v>
      </c>
      <c r="H13" s="255" t="n">
        <v>0</v>
      </c>
      <c r="J13" s="255" t="n">
        <f aca="false">+H13-F13</f>
        <v>0</v>
      </c>
    </row>
    <row r="14" customFormat="false" ht="14.25" hidden="false" customHeight="false" outlineLevel="0" collapsed="false">
      <c r="B14" s="14" t="s">
        <v>380</v>
      </c>
      <c r="D14" s="0" t="s">
        <v>376</v>
      </c>
      <c r="F14" s="255" t="n">
        <v>0</v>
      </c>
      <c r="H14" s="255" t="n">
        <v>0.1</v>
      </c>
      <c r="J14" s="255" t="n">
        <f aca="false">+H14-F14</f>
        <v>0.1</v>
      </c>
    </row>
    <row r="15" customFormat="false" ht="14.25" hidden="false" customHeight="false" outlineLevel="0" collapsed="false">
      <c r="B15" s="14" t="s">
        <v>381</v>
      </c>
      <c r="D15" s="0" t="s">
        <v>376</v>
      </c>
      <c r="F15" s="255" t="n">
        <v>0.1</v>
      </c>
      <c r="H15" s="255" t="n">
        <v>0.1</v>
      </c>
      <c r="J15" s="255" t="n">
        <f aca="false">+H15-F15</f>
        <v>0</v>
      </c>
    </row>
    <row r="16" customFormat="false" ht="14.25" hidden="false" customHeight="false" outlineLevel="0" collapsed="false">
      <c r="B16" s="14" t="s">
        <v>366</v>
      </c>
      <c r="D16" s="0" t="s">
        <v>93</v>
      </c>
      <c r="F16" s="255" t="n">
        <v>7.2</v>
      </c>
      <c r="H16" s="255" t="n">
        <v>0.8</v>
      </c>
      <c r="J16" s="255" t="n">
        <f aca="false">+H16-F16</f>
        <v>-6.4</v>
      </c>
    </row>
    <row r="17" customFormat="false" ht="14.25" hidden="false" customHeight="false" outlineLevel="0" collapsed="false">
      <c r="B17" s="14"/>
      <c r="F17" s="255"/>
      <c r="H17" s="255"/>
      <c r="J17" s="255"/>
    </row>
    <row r="18" customFormat="false" ht="14.25" hidden="false" customHeight="false" outlineLevel="0" collapsed="false">
      <c r="B18" s="14"/>
      <c r="F18" s="255"/>
      <c r="H18" s="255"/>
      <c r="J18" s="255"/>
    </row>
    <row r="19" customFormat="false" ht="14.25" hidden="false" customHeight="false" outlineLevel="0" collapsed="false">
      <c r="B19" s="14"/>
      <c r="F19" s="255"/>
      <c r="H19" s="255"/>
      <c r="J19" s="255"/>
    </row>
    <row r="20" customFormat="false" ht="14.25" hidden="false" customHeight="false" outlineLevel="0" collapsed="false">
      <c r="F20" s="255"/>
      <c r="H20" s="255"/>
      <c r="J20" s="255"/>
      <c r="L20" s="16"/>
      <c r="M20" s="16"/>
    </row>
    <row r="21" customFormat="false" ht="14.25" hidden="false" customHeight="false" outlineLevel="0" collapsed="false">
      <c r="F21" s="256"/>
      <c r="H21" s="256"/>
      <c r="J21" s="256"/>
    </row>
    <row r="22" customFormat="false" ht="14.25" hidden="false" customHeight="false" outlineLevel="0" collapsed="false">
      <c r="B22" s="14"/>
      <c r="F22" s="253" t="n">
        <f aca="false">SUM(F9:F21)</f>
        <v>11</v>
      </c>
      <c r="G22" s="254"/>
      <c r="H22" s="253" t="n">
        <f aca="false">SUM(H9:H21)</f>
        <v>3.4</v>
      </c>
      <c r="I22" s="254"/>
      <c r="J22" s="253" t="n">
        <f aca="false">SUM(J9:J21)</f>
        <v>-7.6</v>
      </c>
    </row>
  </sheetData>
  <printOptions headings="false" gridLines="false" gridLinesSet="true" horizontalCentered="false" verticalCentered="false"/>
  <pageMargins left="0.340277777777778" right="0.320138888888889" top="0.370138888888889" bottom="0.559722222222222" header="0.170138888888889" footer="0.20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&amp;L&amp;D
&amp;T&amp;CPage &amp;P of &amp;N&amp;R&amp;F
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41"/>
    <col collapsed="false" customWidth="true" hidden="false" outlineLevel="0" max="4" min="4" style="0" width="11.28"/>
    <col collapsed="false" customWidth="true" hidden="false" outlineLevel="0" max="6" min="6" style="0" width="11.7"/>
    <col collapsed="false" customWidth="true" hidden="false" outlineLevel="0" max="8" min="8" style="0" width="9.99"/>
  </cols>
  <sheetData>
    <row r="1" customFormat="false" ht="18" hidden="false" customHeight="true" outlineLevel="0" collapsed="false">
      <c r="A1" s="7" t="s">
        <v>3</v>
      </c>
      <c r="B1" s="7"/>
      <c r="C1" s="7"/>
      <c r="D1" s="7"/>
      <c r="E1" s="7"/>
      <c r="F1" s="7"/>
      <c r="G1" s="7"/>
      <c r="H1" s="7"/>
    </row>
    <row r="2" customFormat="false" ht="18" hidden="false" customHeight="true" outlineLevel="0" collapsed="false">
      <c r="A2" s="7" t="s">
        <v>215</v>
      </c>
      <c r="B2" s="7"/>
      <c r="C2" s="7"/>
      <c r="D2" s="7"/>
      <c r="E2" s="7"/>
      <c r="F2" s="7"/>
      <c r="G2" s="7"/>
      <c r="H2" s="7"/>
    </row>
    <row r="3" customFormat="false" ht="18" hidden="false" customHeight="true" outlineLevel="0" collapsed="false">
      <c r="A3" s="7" t="s">
        <v>382</v>
      </c>
      <c r="B3" s="7"/>
      <c r="C3" s="7"/>
      <c r="D3" s="7"/>
      <c r="E3" s="7"/>
      <c r="F3" s="7"/>
      <c r="G3" s="7"/>
      <c r="H3" s="7"/>
    </row>
    <row r="4" customFormat="false" ht="15.75" hidden="false" customHeight="false" outlineLevel="0" collapsed="false">
      <c r="A4" s="257" t="s">
        <v>383</v>
      </c>
      <c r="B4" s="10"/>
      <c r="C4" s="10"/>
      <c r="D4" s="10"/>
    </row>
    <row r="5" customFormat="false" ht="15.75" hidden="false" customHeight="false" outlineLevel="0" collapsed="false">
      <c r="A5" s="10"/>
      <c r="B5" s="10"/>
      <c r="C5" s="10"/>
      <c r="D5" s="13" t="s">
        <v>218</v>
      </c>
      <c r="F5" s="13" t="s">
        <v>13</v>
      </c>
      <c r="H5" s="13" t="s">
        <v>5</v>
      </c>
    </row>
    <row r="6" customFormat="false" ht="12.75" hidden="false" customHeight="false" outlineLevel="0" collapsed="false">
      <c r="D6" s="15" t="s">
        <v>384</v>
      </c>
      <c r="F6" s="15" t="s">
        <v>384</v>
      </c>
      <c r="H6" s="15" t="s">
        <v>384</v>
      </c>
    </row>
    <row r="8" customFormat="false" ht="12.75" hidden="false" customHeight="false" outlineLevel="0" collapsed="false">
      <c r="A8" s="16" t="s">
        <v>385</v>
      </c>
      <c r="B8" s="16"/>
      <c r="C8" s="16"/>
      <c r="D8" s="18" t="n">
        <v>18.423</v>
      </c>
      <c r="E8" s="16"/>
      <c r="F8" s="18" t="n">
        <v>13.785</v>
      </c>
      <c r="G8" s="16"/>
      <c r="H8" s="19" t="n">
        <v>32.208</v>
      </c>
    </row>
    <row r="9" customFormat="false" ht="12.75" hidden="false" customHeight="false" outlineLevel="0" collapsed="false">
      <c r="A9" s="17"/>
      <c r="B9" s="17"/>
      <c r="C9" s="17"/>
      <c r="D9" s="18"/>
      <c r="E9" s="17"/>
      <c r="F9" s="17"/>
      <c r="G9" s="17"/>
      <c r="H9" s="17"/>
    </row>
    <row r="10" customFormat="false" ht="12.75" hidden="false" customHeight="false" outlineLevel="0" collapsed="false">
      <c r="D10" s="26"/>
      <c r="F10" s="21"/>
      <c r="H10" s="258" t="n">
        <v>0</v>
      </c>
    </row>
    <row r="11" customFormat="false" ht="12.75" hidden="false" customHeight="false" outlineLevel="0" collapsed="false">
      <c r="A11" s="20" t="s">
        <v>227</v>
      </c>
      <c r="D11" s="21" t="n">
        <v>-0.131</v>
      </c>
      <c r="F11" s="21" t="n">
        <v>0.167</v>
      </c>
      <c r="H11" s="258" t="n">
        <v>0.0360000000000003</v>
      </c>
    </row>
    <row r="12" customFormat="false" ht="12.75" hidden="false" customHeight="false" outlineLevel="0" collapsed="false">
      <c r="A12" s="0" t="s">
        <v>386</v>
      </c>
      <c r="D12" s="21" t="n">
        <v>-0.117</v>
      </c>
      <c r="F12" s="21" t="n">
        <v>-0.413</v>
      </c>
      <c r="H12" s="258" t="n">
        <v>-0.53</v>
      </c>
    </row>
    <row r="13" customFormat="false" ht="12.75" hidden="false" customHeight="false" outlineLevel="0" collapsed="false">
      <c r="A13" s="20" t="s">
        <v>236</v>
      </c>
      <c r="D13" s="21" t="n">
        <v>1.901</v>
      </c>
      <c r="F13" s="21" t="n">
        <v>-1.023</v>
      </c>
      <c r="H13" s="258" t="n">
        <v>0.878</v>
      </c>
    </row>
    <row r="14" customFormat="false" ht="12.75" hidden="false" customHeight="false" outlineLevel="0" collapsed="false">
      <c r="A14" s="20" t="s">
        <v>238</v>
      </c>
      <c r="D14" s="21" t="n">
        <v>0</v>
      </c>
      <c r="F14" s="21" t="n">
        <v>0</v>
      </c>
      <c r="H14" s="258" t="n">
        <v>0</v>
      </c>
    </row>
    <row r="15" customFormat="false" ht="12.75" hidden="false" customHeight="false" outlineLevel="0" collapsed="false">
      <c r="A15" s="20" t="s">
        <v>240</v>
      </c>
      <c r="D15" s="21" t="n">
        <v>-1.63</v>
      </c>
      <c r="F15" s="21" t="n">
        <v>-0.658</v>
      </c>
      <c r="H15" s="258" t="n">
        <v>-2.288</v>
      </c>
    </row>
    <row r="16" customFormat="false" ht="12.75" hidden="false" customHeight="false" outlineLevel="0" collapsed="false">
      <c r="A16" s="20" t="s">
        <v>242</v>
      </c>
      <c r="D16" s="21" t="n">
        <v>0.00600000000000001</v>
      </c>
      <c r="F16" s="21" t="n">
        <v>-0.06</v>
      </c>
      <c r="H16" s="258" t="n">
        <v>-0.054</v>
      </c>
    </row>
    <row r="17" customFormat="false" ht="12.75" hidden="false" customHeight="false" outlineLevel="0" collapsed="false">
      <c r="A17" s="20" t="s">
        <v>387</v>
      </c>
      <c r="D17" s="21" t="n">
        <v>2.735</v>
      </c>
      <c r="F17" s="21" t="n">
        <v>-1.48</v>
      </c>
      <c r="H17" s="258" t="n">
        <v>1.255</v>
      </c>
    </row>
    <row r="18" customFormat="false" ht="12.75" hidden="false" customHeight="false" outlineLevel="0" collapsed="false">
      <c r="A18" s="20"/>
      <c r="D18" s="21"/>
      <c r="F18" s="21"/>
      <c r="H18" s="258"/>
    </row>
    <row r="19" customFormat="false" ht="12.75" hidden="false" customHeight="false" outlineLevel="0" collapsed="false">
      <c r="A19" s="20"/>
      <c r="D19" s="21" t="n">
        <v>-1.058</v>
      </c>
      <c r="F19" s="21" t="n">
        <v>0.906</v>
      </c>
      <c r="H19" s="258" t="n">
        <v>-0.152</v>
      </c>
    </row>
    <row r="20" customFormat="false" ht="12.75" hidden="false" customHeight="false" outlineLevel="0" collapsed="false">
      <c r="A20" s="20"/>
      <c r="D20" s="21"/>
      <c r="F20" s="21"/>
      <c r="H20" s="258"/>
    </row>
    <row r="21" customFormat="false" ht="12.75" hidden="false" customHeight="false" outlineLevel="0" collapsed="false">
      <c r="A21" s="20"/>
      <c r="D21" s="23"/>
      <c r="E21" s="14"/>
      <c r="F21" s="23"/>
      <c r="G21" s="14"/>
      <c r="H21" s="259"/>
    </row>
    <row r="22" customFormat="false" ht="12.75" hidden="false" customHeight="false" outlineLevel="0" collapsed="false">
      <c r="B22" s="0" t="s">
        <v>388</v>
      </c>
      <c r="D22" s="258" t="n">
        <f aca="false">SUM(D11:D17)</f>
        <v>2.764</v>
      </c>
      <c r="F22" s="258" t="n">
        <f aca="false">SUM(F11:F17)</f>
        <v>-3.467</v>
      </c>
      <c r="H22" s="258" t="n">
        <f aca="false">SUM(H11:H17)</f>
        <v>-0.703</v>
      </c>
    </row>
    <row r="23" customFormat="false" ht="12.75" hidden="false" customHeight="false" outlineLevel="0" collapsed="false">
      <c r="D23" s="21"/>
      <c r="H23" s="14"/>
    </row>
    <row r="24" customFormat="false" ht="12.75" hidden="false" customHeight="false" outlineLevel="0" collapsed="false">
      <c r="A24" s="260" t="s">
        <v>389</v>
      </c>
      <c r="B24" s="261"/>
      <c r="C24" s="261"/>
      <c r="D24" s="262" t="n">
        <f aca="false">+'[8]Revenuest 2CE'!G16+'[8]Revenuest 2CE'!G29</f>
        <v>20.161</v>
      </c>
      <c r="E24" s="263"/>
      <c r="F24" s="262" t="n">
        <f aca="false">+'[8]Revenuest 2CE'!H16+'[8]Revenuest 2CE'!H29</f>
        <v>11.551</v>
      </c>
      <c r="G24" s="263"/>
      <c r="H24" s="264" t="n">
        <f aca="false">H22+H8</f>
        <v>31.505</v>
      </c>
    </row>
    <row r="25" customFormat="false" ht="12.75" hidden="false" customHeight="false" outlineLevel="0" collapsed="false">
      <c r="D25" s="24"/>
      <c r="E25" s="16"/>
      <c r="F25" s="16"/>
      <c r="G25" s="16"/>
      <c r="H25" s="16"/>
    </row>
    <row r="27" customFormat="false" ht="15" hidden="false" customHeight="false" outlineLevel="0" collapsed="false">
      <c r="A27" s="33"/>
    </row>
  </sheetData>
  <mergeCells count="3">
    <mergeCell ref="A1:H1"/>
    <mergeCell ref="A2:H2"/>
    <mergeCell ref="A3:H3"/>
  </mergeCells>
  <printOptions headings="false" gridLines="false" gridLinesSet="true" horizontalCentered="false" verticalCentered="false"/>
  <pageMargins left="0.370138888888889" right="0.329861111111111" top="0.340277777777778" bottom="0.359722222222222" header="0.511811023622047" footer="0.20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
&amp;T&amp;CPage &amp;P of &amp;N&amp;R&amp;F
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2" activeCellId="0" sqref="A2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370138888888889" right="0.329861111111111" top="0.340277777777778" bottom="0.359722222222222" header="0.511811023622047" footer="0.20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
&amp;T&amp;CPage &amp;P of &amp;N&amp;R&amp;F
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3" activeCellId="0" sqref="L4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370138888888889" right="0.329861111111111" top="0.340277777777778" bottom="0.359722222222222" header="0.511811023622047" footer="0.20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
&amp;T&amp;CPage &amp;P of &amp;N&amp;R&amp;F
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3" activeCellId="0" sqref="L4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370138888888889" right="0.329861111111111" top="0.340277777777778" bottom="0.359722222222222" header="0.511811023622047" footer="0.20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
&amp;T&amp;CPage &amp;P of &amp;N&amp;R&amp;F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20" activeCellId="0" sqref="E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41"/>
    <col collapsed="false" customWidth="true" hidden="false" outlineLevel="0" max="4" min="4" style="0" width="9.99"/>
    <col collapsed="false" customWidth="true" hidden="false" outlineLevel="0" max="6" min="6" style="0" width="9.99"/>
    <col collapsed="false" customWidth="true" hidden="false" outlineLevel="0" max="8" min="8" style="0" width="9.99"/>
  </cols>
  <sheetData>
    <row r="1" customFormat="false" ht="18" hidden="false" customHeight="true" outlineLevel="0" collapsed="false">
      <c r="A1" s="7" t="s">
        <v>3</v>
      </c>
      <c r="B1" s="7"/>
      <c r="C1" s="7"/>
      <c r="D1" s="7"/>
      <c r="E1" s="7"/>
      <c r="F1" s="7"/>
      <c r="G1" s="7"/>
      <c r="H1" s="7"/>
    </row>
    <row r="2" customFormat="false" ht="18" hidden="false" customHeight="true" outlineLevel="0" collapsed="false">
      <c r="A2" s="7" t="s">
        <v>4</v>
      </c>
      <c r="B2" s="7"/>
      <c r="C2" s="7"/>
      <c r="D2" s="7"/>
      <c r="E2" s="7"/>
      <c r="F2" s="7"/>
      <c r="G2" s="7"/>
      <c r="H2" s="7"/>
    </row>
    <row r="3" customFormat="false" ht="18" hidden="false" customHeight="false" outlineLevel="0" collapsed="false">
      <c r="B3" s="8"/>
      <c r="C3" s="8"/>
      <c r="D3" s="8"/>
      <c r="E3" s="9"/>
      <c r="F3" s="9"/>
      <c r="G3" s="9"/>
      <c r="H3" s="9"/>
    </row>
    <row r="4" customFormat="false" ht="15.75" hidden="false" customHeight="false" outlineLevel="0" collapsed="false">
      <c r="A4" s="10"/>
      <c r="B4" s="11"/>
      <c r="C4" s="11"/>
      <c r="D4" s="12"/>
      <c r="F4" s="13" t="s">
        <v>5</v>
      </c>
    </row>
    <row r="5" customFormat="false" ht="12.75" hidden="false" customHeight="false" outlineLevel="0" collapsed="false">
      <c r="B5" s="14"/>
      <c r="C5" s="14"/>
      <c r="D5" s="12"/>
      <c r="F5" s="15" t="s">
        <v>6</v>
      </c>
    </row>
    <row r="6" customFormat="false" ht="12.75" hidden="false" customHeight="false" outlineLevel="0" collapsed="false">
      <c r="B6" s="14"/>
      <c r="C6" s="14"/>
      <c r="D6" s="14"/>
    </row>
    <row r="7" customFormat="false" ht="12.75" hidden="false" customHeight="false" outlineLevel="0" collapsed="false">
      <c r="A7" s="16" t="s">
        <v>7</v>
      </c>
      <c r="B7" s="17"/>
      <c r="C7" s="17"/>
      <c r="D7" s="18"/>
      <c r="E7" s="16"/>
      <c r="F7" s="19" t="n">
        <v>0</v>
      </c>
    </row>
    <row r="8" customFormat="false" ht="12.75" hidden="false" customHeight="false" outlineLevel="0" collapsed="false">
      <c r="A8" s="16"/>
      <c r="B8" s="17"/>
      <c r="C8" s="17"/>
      <c r="D8" s="18"/>
      <c r="E8" s="16"/>
      <c r="F8" s="19"/>
    </row>
    <row r="9" customFormat="false" ht="12.75" hidden="false" customHeight="false" outlineLevel="0" collapsed="false">
      <c r="A9" s="17" t="s">
        <v>8</v>
      </c>
      <c r="B9" s="17"/>
      <c r="C9" s="17"/>
      <c r="D9" s="18"/>
      <c r="E9" s="17"/>
      <c r="F9" s="17"/>
      <c r="G9" s="14"/>
      <c r="H9" s="14"/>
    </row>
    <row r="10" customFormat="false" ht="12.75" hidden="false" customHeight="false" outlineLevel="0" collapsed="false">
      <c r="A10" s="20" t="s">
        <v>9</v>
      </c>
      <c r="B10" s="14"/>
      <c r="C10" s="14"/>
      <c r="D10" s="21"/>
      <c r="E10" s="21" t="n">
        <v>0</v>
      </c>
    </row>
    <row r="11" customFormat="false" ht="12.75" hidden="false" customHeight="false" outlineLevel="0" collapsed="false">
      <c r="A11" s="20" t="s">
        <v>10</v>
      </c>
      <c r="B11" s="14"/>
      <c r="C11" s="14"/>
      <c r="D11" s="21"/>
      <c r="E11" s="21" t="n">
        <v>0</v>
      </c>
    </row>
    <row r="12" customFormat="false" ht="12.75" hidden="false" customHeight="false" outlineLevel="0" collapsed="false">
      <c r="A12" s="20" t="s">
        <v>11</v>
      </c>
      <c r="B12" s="14"/>
      <c r="C12" s="14"/>
      <c r="D12" s="22"/>
      <c r="E12" s="21" t="n">
        <v>0</v>
      </c>
    </row>
    <row r="13" customFormat="false" ht="12.75" hidden="false" customHeight="false" outlineLevel="0" collapsed="false">
      <c r="A13" s="20" t="s">
        <v>12</v>
      </c>
      <c r="B13" s="14"/>
      <c r="C13" s="14"/>
      <c r="D13" s="21"/>
      <c r="E13" s="21" t="n">
        <v>0</v>
      </c>
    </row>
    <row r="14" customFormat="false" ht="12.75" hidden="false" customHeight="false" outlineLevel="0" collapsed="false">
      <c r="A14" s="20" t="s">
        <v>13</v>
      </c>
      <c r="B14" s="14"/>
      <c r="C14" s="14"/>
      <c r="D14" s="21"/>
      <c r="E14" s="21" t="n">
        <v>0</v>
      </c>
    </row>
    <row r="15" customFormat="false" ht="12.75" hidden="false" customHeight="false" outlineLevel="0" collapsed="false">
      <c r="A15" s="20" t="s">
        <v>14</v>
      </c>
      <c r="B15" s="14"/>
      <c r="C15" s="14"/>
      <c r="D15" s="22"/>
      <c r="E15" s="23" t="n">
        <v>0</v>
      </c>
      <c r="F15" s="24" t="n">
        <f aca="false">SUM(E9:E15)</f>
        <v>0</v>
      </c>
    </row>
    <row r="16" customFormat="false" ht="12.75" hidden="false" customHeight="false" outlineLevel="0" collapsed="false">
      <c r="A16" s="20" t="s">
        <v>15</v>
      </c>
      <c r="B16" s="14"/>
      <c r="C16" s="14"/>
      <c r="D16" s="21"/>
      <c r="E16" s="21"/>
    </row>
    <row r="17" customFormat="false" ht="12.75" hidden="false" customHeight="false" outlineLevel="0" collapsed="false">
      <c r="A17" s="20"/>
      <c r="B17" s="14"/>
      <c r="C17" s="14"/>
      <c r="D17" s="21"/>
      <c r="E17" s="21"/>
    </row>
    <row r="18" customFormat="false" ht="12.75" hidden="false" customHeight="false" outlineLevel="0" collapsed="false">
      <c r="A18" s="17" t="s">
        <v>16</v>
      </c>
      <c r="B18" s="14"/>
      <c r="C18" s="14"/>
      <c r="D18" s="21"/>
      <c r="E18" s="21"/>
    </row>
    <row r="19" customFormat="false" ht="12.75" hidden="false" customHeight="false" outlineLevel="0" collapsed="false">
      <c r="A19" s="20" t="s">
        <v>17</v>
      </c>
      <c r="B19" s="14"/>
      <c r="C19" s="14"/>
      <c r="D19" s="21"/>
      <c r="E19" s="21" t="n">
        <f aca="false">1.27</f>
        <v>1.27</v>
      </c>
    </row>
    <row r="20" customFormat="false" ht="12.75" hidden="false" customHeight="false" outlineLevel="0" collapsed="false">
      <c r="A20" s="20" t="s">
        <v>18</v>
      </c>
      <c r="B20" s="14"/>
      <c r="C20" s="14"/>
      <c r="D20" s="21"/>
      <c r="E20" s="21" t="n">
        <f aca="false">4.418+3.192</f>
        <v>7.61</v>
      </c>
      <c r="F20" s="25"/>
    </row>
    <row r="21" customFormat="false" ht="12.75" hidden="false" customHeight="false" outlineLevel="0" collapsed="false">
      <c r="A21" s="20" t="s">
        <v>19</v>
      </c>
      <c r="B21" s="14"/>
      <c r="C21" s="14"/>
      <c r="D21" s="21"/>
      <c r="E21" s="21" t="n">
        <v>-5</v>
      </c>
      <c r="F21" s="26"/>
    </row>
    <row r="22" customFormat="false" ht="12.75" hidden="false" customHeight="false" outlineLevel="0" collapsed="false">
      <c r="A22" s="20" t="s">
        <v>20</v>
      </c>
      <c r="B22" s="14"/>
      <c r="C22" s="14"/>
      <c r="D22" s="21"/>
      <c r="E22" s="26" t="n">
        <v>-6.79</v>
      </c>
      <c r="F22" s="24" t="n">
        <f aca="false">SUM(E19:E22)</f>
        <v>-2.91</v>
      </c>
    </row>
    <row r="23" customFormat="false" ht="12.75" hidden="false" customHeight="false" outlineLevel="0" collapsed="false">
      <c r="A23" s="20"/>
      <c r="B23" s="14"/>
      <c r="C23" s="14"/>
      <c r="D23" s="21"/>
      <c r="E23" s="26"/>
      <c r="F23" s="24"/>
    </row>
    <row r="24" customFormat="false" ht="12.75" hidden="false" customHeight="false" outlineLevel="0" collapsed="false">
      <c r="A24" s="17" t="s">
        <v>21</v>
      </c>
      <c r="B24" s="14"/>
      <c r="C24" s="14"/>
      <c r="D24" s="21"/>
      <c r="E24" s="21"/>
    </row>
    <row r="25" customFormat="false" ht="12.75" hidden="false" customHeight="false" outlineLevel="0" collapsed="false">
      <c r="A25" s="20" t="s">
        <v>22</v>
      </c>
      <c r="B25" s="14"/>
      <c r="C25" s="14"/>
      <c r="D25" s="21"/>
      <c r="E25" s="21" t="n">
        <v>0</v>
      </c>
    </row>
    <row r="26" customFormat="false" ht="12.75" hidden="false" customHeight="false" outlineLevel="0" collapsed="false">
      <c r="A26" s="20" t="s">
        <v>23</v>
      </c>
      <c r="B26" s="14"/>
      <c r="C26" s="14"/>
      <c r="D26" s="21"/>
      <c r="E26" s="21" t="n">
        <v>0</v>
      </c>
    </row>
    <row r="27" customFormat="false" ht="12.75" hidden="false" customHeight="false" outlineLevel="0" collapsed="false">
      <c r="A27" s="20" t="s">
        <v>24</v>
      </c>
      <c r="B27" s="14"/>
      <c r="C27" s="14"/>
      <c r="D27" s="21"/>
      <c r="E27" s="23" t="n">
        <v>0</v>
      </c>
      <c r="F27" s="25" t="n">
        <f aca="false">SUM(E25:E27)</f>
        <v>0</v>
      </c>
    </row>
    <row r="28" customFormat="false" ht="12.75" hidden="false" customHeight="false" outlineLevel="0" collapsed="false">
      <c r="A28" s="20"/>
      <c r="B28" s="14"/>
      <c r="C28" s="14"/>
      <c r="D28" s="21"/>
      <c r="E28" s="21"/>
    </row>
    <row r="29" customFormat="false" ht="12.75" hidden="false" customHeight="false" outlineLevel="0" collapsed="false">
      <c r="A29" s="17" t="s">
        <v>25</v>
      </c>
      <c r="B29" s="14"/>
      <c r="C29" s="14"/>
      <c r="D29" s="21"/>
      <c r="E29" s="21"/>
    </row>
    <row r="30" customFormat="false" ht="12.75" hidden="false" customHeight="false" outlineLevel="0" collapsed="false">
      <c r="A30" s="20" t="s">
        <v>26</v>
      </c>
      <c r="B30" s="14"/>
      <c r="C30" s="14"/>
      <c r="D30" s="21"/>
      <c r="E30" s="21" t="n">
        <v>0</v>
      </c>
    </row>
    <row r="31" customFormat="false" ht="12.75" hidden="false" customHeight="false" outlineLevel="0" collapsed="false">
      <c r="A31" s="20" t="s">
        <v>27</v>
      </c>
      <c r="B31" s="14"/>
      <c r="C31" s="14"/>
      <c r="D31" s="21"/>
      <c r="E31" s="21" t="n">
        <v>0</v>
      </c>
    </row>
    <row r="32" customFormat="false" ht="12.75" hidden="false" customHeight="false" outlineLevel="0" collapsed="false">
      <c r="A32" s="20" t="s">
        <v>28</v>
      </c>
      <c r="B32" s="14"/>
      <c r="C32" s="14"/>
      <c r="D32" s="21"/>
      <c r="E32" s="23" t="n">
        <v>0</v>
      </c>
      <c r="F32" s="25" t="n">
        <f aca="false">SUM(E30:E32)</f>
        <v>0</v>
      </c>
    </row>
    <row r="33" customFormat="false" ht="12.75" hidden="false" customHeight="false" outlineLevel="0" collapsed="false">
      <c r="A33" s="20"/>
      <c r="B33" s="14"/>
      <c r="C33" s="14"/>
      <c r="D33" s="21"/>
      <c r="E33" s="21"/>
    </row>
    <row r="34" customFormat="false" ht="12.75" hidden="false" customHeight="false" outlineLevel="0" collapsed="false">
      <c r="A34" s="17" t="s">
        <v>29</v>
      </c>
      <c r="B34" s="14"/>
      <c r="C34" s="14"/>
      <c r="D34" s="21"/>
      <c r="E34" s="21"/>
      <c r="F34" s="16"/>
    </row>
    <row r="35" customFormat="false" ht="12.75" hidden="false" customHeight="false" outlineLevel="0" collapsed="false">
      <c r="A35" s="20" t="s">
        <v>30</v>
      </c>
      <c r="B35" s="14"/>
      <c r="C35" s="14"/>
      <c r="D35" s="21"/>
      <c r="E35" s="21" t="n">
        <v>0</v>
      </c>
    </row>
    <row r="36" customFormat="false" ht="12.75" hidden="false" customHeight="false" outlineLevel="0" collapsed="false">
      <c r="A36" s="20" t="s">
        <v>31</v>
      </c>
      <c r="B36" s="14"/>
      <c r="C36" s="14"/>
      <c r="D36" s="21"/>
      <c r="E36" s="21" t="n">
        <v>0</v>
      </c>
    </row>
    <row r="37" customFormat="false" ht="12.75" hidden="false" customHeight="false" outlineLevel="0" collapsed="false">
      <c r="A37" s="20" t="s">
        <v>32</v>
      </c>
      <c r="B37" s="14"/>
      <c r="C37" s="14"/>
      <c r="D37" s="21"/>
      <c r="E37" s="21" t="n">
        <v>0</v>
      </c>
      <c r="F37" s="26"/>
    </row>
    <row r="38" customFormat="false" ht="12.75" hidden="false" customHeight="false" outlineLevel="0" collapsed="false">
      <c r="A38" s="20" t="s">
        <v>33</v>
      </c>
      <c r="B38" s="14"/>
      <c r="C38" s="14"/>
      <c r="D38" s="21"/>
      <c r="E38" s="21" t="n">
        <v>0</v>
      </c>
    </row>
    <row r="39" customFormat="false" ht="12.75" hidden="false" customHeight="false" outlineLevel="0" collapsed="false">
      <c r="A39" s="20" t="s">
        <v>34</v>
      </c>
      <c r="B39" s="14"/>
      <c r="C39" s="14"/>
      <c r="D39" s="21"/>
      <c r="E39" s="21" t="n">
        <v>0</v>
      </c>
    </row>
    <row r="40" customFormat="false" ht="12.75" hidden="false" customHeight="false" outlineLevel="0" collapsed="false">
      <c r="A40" s="20" t="s">
        <v>35</v>
      </c>
      <c r="B40" s="14"/>
      <c r="C40" s="14"/>
      <c r="D40" s="21"/>
      <c r="E40" s="21" t="n">
        <v>0</v>
      </c>
    </row>
    <row r="41" customFormat="false" ht="12.75" hidden="false" customHeight="false" outlineLevel="0" collapsed="false">
      <c r="A41" s="20" t="s">
        <v>36</v>
      </c>
      <c r="B41" s="14"/>
      <c r="C41" s="14"/>
      <c r="D41" s="21"/>
      <c r="E41" s="21" t="n">
        <v>0</v>
      </c>
    </row>
    <row r="42" customFormat="false" ht="12.75" hidden="false" customHeight="false" outlineLevel="0" collapsed="false">
      <c r="A42" s="20" t="s">
        <v>37</v>
      </c>
      <c r="B42" s="14"/>
      <c r="C42" s="14"/>
      <c r="D42" s="21"/>
      <c r="E42" s="23" t="n">
        <v>0</v>
      </c>
      <c r="F42" s="25" t="n">
        <f aca="false">SUM(E35:E42)</f>
        <v>0</v>
      </c>
    </row>
    <row r="43" customFormat="false" ht="12.75" hidden="false" customHeight="false" outlineLevel="0" collapsed="false">
      <c r="A43" s="20"/>
      <c r="B43" s="14"/>
      <c r="C43" s="14"/>
      <c r="D43" s="21"/>
      <c r="E43" s="21"/>
    </row>
    <row r="44" customFormat="false" ht="12.75" hidden="false" customHeight="false" outlineLevel="0" collapsed="false">
      <c r="A44" s="20" t="s">
        <v>38</v>
      </c>
      <c r="B44" s="14"/>
      <c r="C44" s="14"/>
      <c r="D44" s="21"/>
      <c r="E44" s="21"/>
      <c r="F44" s="24" t="n">
        <v>0</v>
      </c>
    </row>
    <row r="45" customFormat="false" ht="12.75" hidden="false" customHeight="false" outlineLevel="0" collapsed="false">
      <c r="A45" s="20" t="s">
        <v>39</v>
      </c>
      <c r="B45" s="14"/>
      <c r="C45" s="14"/>
      <c r="D45" s="21"/>
      <c r="E45" s="21"/>
      <c r="F45" s="24" t="n">
        <v>0</v>
      </c>
    </row>
    <row r="46" customFormat="false" ht="12.75" hidden="false" customHeight="false" outlineLevel="0" collapsed="false">
      <c r="A46" s="27" t="s">
        <v>40</v>
      </c>
      <c r="B46" s="14"/>
      <c r="C46" s="14"/>
      <c r="D46" s="21"/>
      <c r="E46" s="21"/>
      <c r="F46" s="28" t="n">
        <v>0</v>
      </c>
    </row>
    <row r="47" customFormat="false" ht="12.75" hidden="false" customHeight="false" outlineLevel="0" collapsed="false">
      <c r="A47" s="27"/>
      <c r="B47" s="14"/>
      <c r="C47" s="14"/>
      <c r="D47" s="21"/>
      <c r="E47" s="21"/>
      <c r="F47" s="24"/>
    </row>
    <row r="48" customFormat="false" ht="12.75" hidden="false" customHeight="false" outlineLevel="0" collapsed="false">
      <c r="A48" s="29" t="s">
        <v>41</v>
      </c>
      <c r="B48" s="14"/>
      <c r="C48" s="14"/>
      <c r="D48" s="21"/>
      <c r="E48" s="21"/>
      <c r="F48" s="24" t="n">
        <f aca="false">SUM(F15:F46)</f>
        <v>-2.91</v>
      </c>
    </row>
    <row r="49" customFormat="false" ht="12.75" hidden="false" customHeight="false" outlineLevel="0" collapsed="false">
      <c r="B49" s="14"/>
      <c r="C49" s="14"/>
      <c r="D49" s="21"/>
    </row>
    <row r="50" customFormat="false" ht="12.75" hidden="false" customHeight="false" outlineLevel="0" collapsed="false">
      <c r="A50" s="27" t="s">
        <v>42</v>
      </c>
      <c r="B50" s="14"/>
      <c r="C50" s="14"/>
      <c r="D50" s="14"/>
      <c r="E50" s="14"/>
      <c r="F50" s="30" t="n">
        <v>0</v>
      </c>
    </row>
    <row r="51" customFormat="false" ht="13.5" hidden="false" customHeight="false" outlineLevel="0" collapsed="false">
      <c r="A51" s="31" t="s">
        <v>43</v>
      </c>
      <c r="F51" s="32" t="n">
        <f aca="false">+F50+F48+F7</f>
        <v>-2.91</v>
      </c>
    </row>
    <row r="52" customFormat="false" ht="13.5" hidden="false" customHeight="false" outlineLevel="0" collapsed="false"/>
    <row r="54" customFormat="false" ht="15" hidden="false" customHeight="false" outlineLevel="0" collapsed="false">
      <c r="A54" s="33"/>
    </row>
  </sheetData>
  <mergeCells count="2">
    <mergeCell ref="A1:H1"/>
    <mergeCell ref="A2:H2"/>
  </mergeCells>
  <printOptions headings="false" gridLines="false" gridLinesSet="true" horizontalCentered="false" verticalCentered="false"/>
  <pageMargins left="0.370138888888889" right="0.329861111111111" top="0.340277777777778" bottom="0.359722222222222" header="0.511811023622047" footer="0.20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
&amp;T&amp;CPage &amp;P of &amp;N&amp;R&amp;F
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28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pane xSplit="2" ySplit="7" topLeftCell="F77" activePane="bottomRight" state="frozen"/>
      <selection pane="topLeft" activeCell="A1" activeCellId="0" sqref="A1"/>
      <selection pane="topRight" activeCell="F1" activeCellId="0" sqref="F1"/>
      <selection pane="bottomLeft" activeCell="A77" activeCellId="0" sqref="A77"/>
      <selection pane="bottomRight" activeCell="J92" activeCellId="0" sqref="J9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61.14"/>
    <col collapsed="false" customWidth="true" hidden="false" outlineLevel="0" max="3" min="3" style="0" width="11.99"/>
    <col collapsed="false" customWidth="true" hidden="false" outlineLevel="0" max="4" min="4" style="0" width="10.28"/>
    <col collapsed="false" customWidth="true" hidden="false" outlineLevel="0" max="5" min="5" style="0" width="10.56"/>
    <col collapsed="false" customWidth="true" hidden="false" outlineLevel="0" max="6" min="6" style="0" width="12.28"/>
    <col collapsed="false" customWidth="true" hidden="false" outlineLevel="0" max="8" min="8" style="0" width="17.14"/>
    <col collapsed="false" customWidth="true" hidden="false" outlineLevel="0" max="9" min="9" style="0" width="11.99"/>
    <col collapsed="false" customWidth="true" hidden="false" outlineLevel="0" max="10" min="10" style="0" width="21.84"/>
    <col collapsed="false" customWidth="true" hidden="false" outlineLevel="0" max="11" min="11" style="0" width="49.13"/>
    <col collapsed="false" customWidth="true" hidden="false" outlineLevel="0" max="12" min="12" style="0" width="2.42"/>
    <col collapsed="false" customWidth="true" hidden="false" outlineLevel="0" max="14" min="13" style="0" width="12.85"/>
    <col collapsed="false" customWidth="true" hidden="false" outlineLevel="0" max="15" min="15" style="0" width="12.7"/>
    <col collapsed="false" customWidth="true" hidden="false" outlineLevel="0" max="17" min="16" style="0" width="12.85"/>
    <col collapsed="false" customWidth="true" hidden="false" outlineLevel="0" max="18" min="18" style="0" width="14.28"/>
    <col collapsed="false" customWidth="true" hidden="false" outlineLevel="0" max="19" min="19" style="0" width="11.28"/>
  </cols>
  <sheetData>
    <row r="1" customFormat="false" ht="26.25" hidden="false" customHeight="false" outlineLevel="0" collapsed="false">
      <c r="A1" s="34" t="s">
        <v>44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customFormat="false" ht="15.75" hidden="false" customHeight="false" outlineLevel="0" collapsed="false">
      <c r="A2" s="11" t="s">
        <v>45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customFormat="false" ht="12.75" hidden="false" customHeight="false" outlineLevel="0" collapsed="false">
      <c r="B3" s="16"/>
    </row>
    <row r="4" customFormat="false" ht="12.75" hidden="false" customHeight="false" outlineLevel="0" collapsed="false">
      <c r="B4" s="16"/>
      <c r="M4" s="14"/>
      <c r="N4" s="14"/>
      <c r="O4" s="14"/>
      <c r="P4" s="14"/>
      <c r="Q4" s="14"/>
      <c r="R4" s="14"/>
      <c r="S4" s="14"/>
      <c r="T4" s="14"/>
    </row>
    <row r="5" customFormat="false" ht="12.75" hidden="false" customHeight="false" outlineLevel="0" collapsed="false">
      <c r="M5" s="14"/>
      <c r="N5" s="14"/>
      <c r="O5" s="14"/>
      <c r="P5" s="14"/>
      <c r="Q5" s="14"/>
      <c r="R5" s="14"/>
      <c r="S5" s="14"/>
      <c r="T5" s="14"/>
    </row>
    <row r="6" customFormat="false" ht="12.75" hidden="false" customHeight="false" outlineLevel="0" collapsed="false">
      <c r="A6" s="35"/>
      <c r="B6" s="35"/>
      <c r="C6" s="35"/>
      <c r="D6" s="35"/>
      <c r="E6" s="35" t="s">
        <v>46</v>
      </c>
      <c r="F6" s="35" t="s">
        <v>46</v>
      </c>
      <c r="G6" s="35"/>
      <c r="H6" s="35" t="s">
        <v>5</v>
      </c>
      <c r="I6" s="36" t="s">
        <v>47</v>
      </c>
      <c r="J6" s="35" t="s">
        <v>48</v>
      </c>
      <c r="K6" s="35"/>
      <c r="M6" s="14"/>
      <c r="N6" s="14"/>
      <c r="O6" s="14"/>
      <c r="P6" s="14"/>
      <c r="Q6" s="14"/>
      <c r="R6" s="14"/>
      <c r="S6" s="14"/>
      <c r="T6" s="14"/>
    </row>
    <row r="7" customFormat="false" ht="12.75" hidden="false" customHeight="false" outlineLevel="0" collapsed="false">
      <c r="A7" s="37" t="s">
        <v>49</v>
      </c>
      <c r="B7" s="37" t="s">
        <v>50</v>
      </c>
      <c r="C7" s="37" t="s">
        <v>51</v>
      </c>
      <c r="D7" s="37" t="s">
        <v>52</v>
      </c>
      <c r="E7" s="37" t="s">
        <v>52</v>
      </c>
      <c r="F7" s="37" t="s">
        <v>6</v>
      </c>
      <c r="G7" s="37" t="s">
        <v>53</v>
      </c>
      <c r="H7" s="37" t="s">
        <v>6</v>
      </c>
      <c r="I7" s="37" t="s">
        <v>54</v>
      </c>
      <c r="J7" s="37" t="s">
        <v>6</v>
      </c>
      <c r="K7" s="37" t="s">
        <v>55</v>
      </c>
      <c r="M7" s="36"/>
      <c r="N7" s="36"/>
      <c r="O7" s="36"/>
      <c r="P7" s="36"/>
      <c r="Q7" s="36"/>
      <c r="R7" s="14"/>
      <c r="S7" s="14"/>
      <c r="T7" s="14"/>
    </row>
    <row r="8" customFormat="false" ht="12.75" hidden="false" customHeight="false" outlineLevel="0" collapsed="false">
      <c r="F8" s="38"/>
      <c r="J8" s="38"/>
      <c r="K8" s="38"/>
      <c r="M8" s="14"/>
      <c r="N8" s="14"/>
      <c r="O8" s="14"/>
      <c r="P8" s="14"/>
      <c r="Q8" s="14"/>
      <c r="R8" s="14"/>
      <c r="S8" s="14"/>
      <c r="T8" s="14"/>
    </row>
    <row r="9" customFormat="false" ht="12.75" hidden="false" customHeight="false" outlineLevel="0" collapsed="false">
      <c r="F9" s="38"/>
      <c r="J9" s="38"/>
      <c r="K9" s="38"/>
      <c r="M9" s="14"/>
      <c r="N9" s="14"/>
      <c r="O9" s="14"/>
      <c r="P9" s="14"/>
      <c r="Q9" s="14"/>
      <c r="R9" s="14"/>
      <c r="S9" s="14"/>
      <c r="T9" s="14"/>
    </row>
    <row r="10" customFormat="false" ht="20.25" hidden="false" customHeight="false" outlineLevel="0" collapsed="false">
      <c r="A10" s="39" t="s">
        <v>56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M10" s="14"/>
      <c r="N10" s="14"/>
      <c r="O10" s="14"/>
      <c r="P10" s="14"/>
      <c r="Q10" s="14"/>
      <c r="R10" s="14"/>
      <c r="S10" s="14"/>
      <c r="T10" s="14"/>
    </row>
    <row r="11" customFormat="false" ht="12.75" hidden="false" customHeight="false" outlineLevel="0" collapsed="false">
      <c r="F11" s="38"/>
      <c r="J11" s="38"/>
      <c r="K11" s="38"/>
      <c r="M11" s="14"/>
      <c r="N11" s="14"/>
      <c r="O11" s="14"/>
      <c r="P11" s="14"/>
      <c r="Q11" s="14"/>
      <c r="R11" s="14"/>
      <c r="S11" s="14"/>
      <c r="T11" s="14"/>
    </row>
    <row r="12" customFormat="false" ht="12.75" hidden="false" customHeight="false" outlineLevel="0" collapsed="false">
      <c r="A12" s="0" t="s">
        <v>57</v>
      </c>
      <c r="B12" s="40" t="s">
        <v>58</v>
      </c>
      <c r="C12" s="41" t="n">
        <v>1500</v>
      </c>
      <c r="D12" s="42" t="n">
        <f aca="false">E12/30.4</f>
        <v>0.394539473684211</v>
      </c>
      <c r="E12" s="43" t="n">
        <v>11.994</v>
      </c>
      <c r="F12" s="38" t="n">
        <f aca="false">+E12*C12</f>
        <v>17991</v>
      </c>
      <c r="G12" s="35" t="n">
        <v>1</v>
      </c>
      <c r="H12" s="38" t="n">
        <f aca="false">+G12*F12</f>
        <v>17991</v>
      </c>
      <c r="I12" s="44"/>
      <c r="J12" s="38"/>
      <c r="K12" s="38" t="s">
        <v>59</v>
      </c>
      <c r="M12" s="45"/>
      <c r="N12" s="14"/>
      <c r="O12" s="14"/>
      <c r="P12" s="14"/>
      <c r="Q12" s="14"/>
      <c r="R12" s="14"/>
      <c r="S12" s="14"/>
      <c r="T12" s="14"/>
    </row>
    <row r="13" customFormat="false" ht="12.75" hidden="false" customHeight="false" outlineLevel="0" collapsed="false">
      <c r="B13" s="46"/>
      <c r="C13" s="41"/>
      <c r="D13" s="46"/>
      <c r="E13" s="43"/>
      <c r="F13" s="38"/>
      <c r="G13" s="35"/>
      <c r="H13" s="38"/>
      <c r="I13" s="44"/>
      <c r="J13" s="38"/>
      <c r="K13" s="38"/>
      <c r="M13" s="45"/>
      <c r="N13" s="14"/>
      <c r="O13" s="14"/>
      <c r="P13" s="14"/>
      <c r="Q13" s="14"/>
      <c r="R13" s="14"/>
      <c r="S13" s="14"/>
      <c r="T13" s="14"/>
    </row>
    <row r="14" customFormat="false" ht="12.75" hidden="false" customHeight="false" outlineLevel="0" collapsed="false">
      <c r="A14" s="0" t="s">
        <v>60</v>
      </c>
      <c r="B14" s="0" t="s">
        <v>61</v>
      </c>
      <c r="C14" s="41" t="n">
        <v>7500</v>
      </c>
      <c r="D14" s="42" t="n">
        <f aca="false">E14/30.4</f>
        <v>0.39671052631579</v>
      </c>
      <c r="E14" s="43" t="n">
        <f aca="false">11.994+0.066</f>
        <v>12.06</v>
      </c>
      <c r="F14" s="38" t="n">
        <f aca="false">+E14*C14</f>
        <v>90450</v>
      </c>
      <c r="G14" s="35" t="n">
        <v>5</v>
      </c>
      <c r="H14" s="38" t="n">
        <f aca="false">+G14*F14</f>
        <v>452250</v>
      </c>
      <c r="I14" s="44"/>
      <c r="J14" s="38"/>
      <c r="K14" s="38"/>
      <c r="M14" s="14"/>
      <c r="N14" s="14"/>
      <c r="O14" s="14"/>
      <c r="P14" s="14"/>
      <c r="Q14" s="14"/>
      <c r="R14" s="14"/>
      <c r="S14" s="14"/>
      <c r="T14" s="14"/>
    </row>
    <row r="15" customFormat="false" ht="12.75" hidden="false" customHeight="false" outlineLevel="0" collapsed="false">
      <c r="B15" s="46"/>
      <c r="C15" s="41"/>
      <c r="D15" s="46"/>
      <c r="E15" s="43"/>
      <c r="F15" s="38"/>
      <c r="G15" s="35"/>
      <c r="H15" s="38"/>
      <c r="I15" s="44"/>
      <c r="J15" s="38"/>
      <c r="K15" s="38"/>
      <c r="M15" s="47"/>
      <c r="N15" s="45"/>
      <c r="O15" s="14"/>
      <c r="P15" s="14"/>
      <c r="Q15" s="14"/>
      <c r="R15" s="14"/>
      <c r="S15" s="14"/>
      <c r="T15" s="14"/>
    </row>
    <row r="16" customFormat="false" ht="12.75" hidden="false" customHeight="false" outlineLevel="0" collapsed="false">
      <c r="A16" s="0" t="s">
        <v>60</v>
      </c>
      <c r="B16" s="0" t="s">
        <v>62</v>
      </c>
      <c r="C16" s="41" t="n">
        <v>2150</v>
      </c>
      <c r="D16" s="42" t="n">
        <f aca="false">E16/30.4</f>
        <v>0.39671052631579</v>
      </c>
      <c r="E16" s="43" t="n">
        <f aca="false">11.994+0.066</f>
        <v>12.06</v>
      </c>
      <c r="F16" s="38" t="n">
        <f aca="false">+E16*C16</f>
        <v>25929</v>
      </c>
      <c r="G16" s="35" t="n">
        <v>5</v>
      </c>
      <c r="H16" s="38" t="n">
        <f aca="false">+G16*F16</f>
        <v>129645</v>
      </c>
      <c r="I16" s="44"/>
      <c r="J16" s="38"/>
      <c r="K16" s="38"/>
      <c r="M16" s="47"/>
      <c r="N16" s="14"/>
      <c r="O16" s="14"/>
      <c r="P16" s="14"/>
      <c r="Q16" s="14"/>
      <c r="R16" s="14"/>
      <c r="S16" s="14"/>
      <c r="T16" s="14"/>
    </row>
    <row r="17" customFormat="false" ht="12.75" hidden="false" customHeight="false" outlineLevel="0" collapsed="false">
      <c r="C17" s="41"/>
      <c r="D17" s="43"/>
      <c r="E17" s="43"/>
      <c r="F17" s="38"/>
      <c r="G17" s="35"/>
      <c r="H17" s="38"/>
      <c r="I17" s="44"/>
      <c r="J17" s="38"/>
      <c r="K17" s="38"/>
      <c r="M17" s="47"/>
      <c r="N17" s="14"/>
      <c r="O17" s="14"/>
      <c r="P17" s="14"/>
      <c r="Q17" s="14"/>
      <c r="R17" s="14"/>
      <c r="S17" s="14"/>
      <c r="T17" s="14"/>
    </row>
    <row r="18" customFormat="false" ht="12.75" hidden="false" customHeight="false" outlineLevel="0" collapsed="false">
      <c r="A18" s="0" t="s">
        <v>60</v>
      </c>
      <c r="B18" s="0" t="s">
        <v>63</v>
      </c>
      <c r="C18" s="41" t="n">
        <v>10000</v>
      </c>
      <c r="D18" s="42" t="n">
        <f aca="false">E18/30.4</f>
        <v>0.2</v>
      </c>
      <c r="E18" s="43" t="n">
        <v>6.08</v>
      </c>
      <c r="F18" s="38" t="n">
        <f aca="false">+E18*C18</f>
        <v>60800</v>
      </c>
      <c r="G18" s="35" t="n">
        <v>5</v>
      </c>
      <c r="H18" s="38" t="n">
        <f aca="false">+G18*F18</f>
        <v>304000</v>
      </c>
      <c r="I18" s="44"/>
      <c r="J18" s="38"/>
      <c r="K18" s="38"/>
      <c r="M18" s="47"/>
      <c r="N18" s="14"/>
      <c r="O18" s="14"/>
      <c r="P18" s="14"/>
      <c r="Q18" s="14"/>
      <c r="R18" s="14"/>
      <c r="S18" s="14"/>
      <c r="T18" s="14"/>
    </row>
    <row r="19" customFormat="false" ht="12.75" hidden="false" customHeight="false" outlineLevel="0" collapsed="false">
      <c r="C19" s="41"/>
      <c r="D19" s="46"/>
      <c r="E19" s="43"/>
      <c r="F19" s="38"/>
      <c r="G19" s="35"/>
      <c r="H19" s="38"/>
      <c r="I19" s="44"/>
      <c r="J19" s="38"/>
      <c r="K19" s="38"/>
      <c r="M19" s="47"/>
      <c r="N19" s="45"/>
      <c r="O19" s="14"/>
      <c r="P19" s="14"/>
      <c r="Q19" s="14"/>
      <c r="R19" s="14"/>
      <c r="S19" s="14"/>
      <c r="T19" s="14"/>
    </row>
    <row r="20" customFormat="false" ht="12.75" hidden="false" customHeight="false" outlineLevel="0" collapsed="false">
      <c r="A20" s="0" t="s">
        <v>64</v>
      </c>
      <c r="B20" s="0" t="s">
        <v>65</v>
      </c>
      <c r="C20" s="48" t="n">
        <v>3500</v>
      </c>
      <c r="D20" s="49"/>
      <c r="E20" s="50" t="n">
        <v>1.75</v>
      </c>
      <c r="F20" s="38" t="n">
        <f aca="false">E20*C20</f>
        <v>6125</v>
      </c>
      <c r="G20" s="51" t="n">
        <v>5</v>
      </c>
      <c r="H20" s="38" t="n">
        <f aca="false">+G20*F20</f>
        <v>30625</v>
      </c>
      <c r="I20" s="52"/>
      <c r="J20" s="53"/>
      <c r="K20" s="53"/>
      <c r="L20" s="27"/>
      <c r="M20" s="54"/>
      <c r="N20" s="55"/>
      <c r="O20" s="56"/>
      <c r="P20" s="56"/>
      <c r="Q20" s="56"/>
      <c r="R20" s="56"/>
      <c r="S20" s="56"/>
      <c r="T20" s="56"/>
    </row>
    <row r="21" customFormat="false" ht="12.75" hidden="false" customHeight="false" outlineLevel="0" collapsed="false">
      <c r="B21" s="0" t="s">
        <v>66</v>
      </c>
      <c r="C21" s="41" t="n">
        <v>2500</v>
      </c>
      <c r="D21" s="41"/>
      <c r="E21" s="43" t="n">
        <v>1.75</v>
      </c>
      <c r="F21" s="38" t="n">
        <f aca="false">E21*C21</f>
        <v>4375</v>
      </c>
      <c r="G21" s="35" t="n">
        <v>7</v>
      </c>
      <c r="H21" s="38" t="n">
        <f aca="false">+G21*F21</f>
        <v>30625</v>
      </c>
      <c r="I21" s="44"/>
      <c r="J21" s="38"/>
      <c r="K21" s="38"/>
      <c r="M21" s="47"/>
      <c r="N21" s="14"/>
      <c r="O21" s="14"/>
      <c r="P21" s="14"/>
      <c r="Q21" s="14"/>
      <c r="R21" s="14"/>
      <c r="S21" s="14"/>
      <c r="T21" s="14"/>
    </row>
    <row r="22" customFormat="false" ht="12.75" hidden="false" customHeight="false" outlineLevel="0" collapsed="false">
      <c r="C22" s="41"/>
      <c r="D22" s="41"/>
      <c r="E22" s="43"/>
      <c r="F22" s="38"/>
      <c r="G22" s="35"/>
      <c r="H22" s="38"/>
      <c r="I22" s="44"/>
      <c r="J22" s="38"/>
      <c r="K22" s="38"/>
      <c r="M22" s="47"/>
      <c r="N22" s="14"/>
      <c r="O22" s="14"/>
      <c r="P22" s="14"/>
      <c r="Q22" s="14"/>
      <c r="R22" s="14"/>
      <c r="S22" s="14"/>
      <c r="T22" s="14"/>
    </row>
    <row r="23" customFormat="false" ht="12.75" hidden="false" customHeight="false" outlineLevel="0" collapsed="false">
      <c r="A23" s="0" t="s">
        <v>67</v>
      </c>
      <c r="B23" s="20" t="s">
        <v>68</v>
      </c>
      <c r="C23" s="41" t="n">
        <v>30000</v>
      </c>
      <c r="D23" s="41"/>
      <c r="E23" s="43" t="n">
        <f aca="false">F23/C23</f>
        <v>1</v>
      </c>
      <c r="F23" s="38" t="n">
        <f aca="false">H23/G23</f>
        <v>30000</v>
      </c>
      <c r="G23" s="35" t="n">
        <v>5</v>
      </c>
      <c r="H23" s="38" t="n">
        <v>150000</v>
      </c>
      <c r="I23" s="44"/>
      <c r="J23" s="38"/>
      <c r="K23" s="53" t="s">
        <v>69</v>
      </c>
      <c r="M23" s="47"/>
      <c r="N23" s="45"/>
      <c r="O23" s="14"/>
      <c r="P23" s="14"/>
      <c r="Q23" s="14"/>
      <c r="R23" s="14"/>
      <c r="S23" s="14"/>
      <c r="T23" s="14"/>
    </row>
    <row r="24" customFormat="false" ht="12.75" hidden="false" customHeight="false" outlineLevel="0" collapsed="false">
      <c r="B24" s="0" t="s">
        <v>70</v>
      </c>
      <c r="C24" s="41" t="n">
        <v>30000</v>
      </c>
      <c r="D24" s="46"/>
      <c r="E24" s="43" t="n">
        <f aca="false">F24/C24</f>
        <v>1.21428571428571</v>
      </c>
      <c r="F24" s="38" t="n">
        <f aca="false">H24/G24</f>
        <v>36428.5714285714</v>
      </c>
      <c r="G24" s="35" t="n">
        <v>7</v>
      </c>
      <c r="H24" s="38" t="n">
        <v>255000</v>
      </c>
      <c r="I24" s="44"/>
      <c r="J24" s="38"/>
      <c r="K24" s="53" t="s">
        <v>69</v>
      </c>
      <c r="M24" s="47"/>
      <c r="N24" s="45"/>
      <c r="O24" s="14"/>
      <c r="P24" s="14"/>
      <c r="Q24" s="14"/>
      <c r="R24" s="14"/>
      <c r="S24" s="14"/>
      <c r="T24" s="14"/>
    </row>
    <row r="25" customFormat="false" ht="12.75" hidden="false" customHeight="false" outlineLevel="0" collapsed="false">
      <c r="B25" s="20"/>
      <c r="C25" s="41"/>
      <c r="D25" s="41"/>
      <c r="E25" s="43"/>
      <c r="F25" s="38"/>
      <c r="G25" s="35"/>
      <c r="H25" s="38"/>
      <c r="I25" s="44"/>
      <c r="J25" s="38"/>
      <c r="K25" s="38"/>
      <c r="M25" s="47"/>
      <c r="N25" s="45"/>
      <c r="O25" s="14"/>
      <c r="P25" s="14"/>
      <c r="Q25" s="14"/>
      <c r="R25" s="14"/>
      <c r="S25" s="14"/>
      <c r="T25" s="14"/>
    </row>
    <row r="26" customFormat="false" ht="12.75" hidden="false" customHeight="false" outlineLevel="0" collapsed="false">
      <c r="A26" s="0" t="s">
        <v>71</v>
      </c>
      <c r="B26" s="20" t="s">
        <v>72</v>
      </c>
      <c r="C26" s="41" t="n">
        <v>38518</v>
      </c>
      <c r="D26" s="46"/>
      <c r="E26" s="43" t="n">
        <f aca="false">F26/C26</f>
        <v>10.275689288125</v>
      </c>
      <c r="F26" s="38" t="n">
        <f aca="false">H26/G26</f>
        <v>395799</v>
      </c>
      <c r="G26" s="35" t="n">
        <v>2</v>
      </c>
      <c r="H26" s="38" t="n">
        <v>791598</v>
      </c>
      <c r="I26" s="44"/>
      <c r="J26" s="38"/>
      <c r="K26" s="38" t="s">
        <v>73</v>
      </c>
      <c r="M26" s="14"/>
      <c r="N26" s="14"/>
      <c r="O26" s="14"/>
      <c r="P26" s="14"/>
      <c r="Q26" s="14"/>
      <c r="R26" s="14"/>
      <c r="S26" s="14"/>
      <c r="T26" s="14"/>
    </row>
    <row r="27" customFormat="false" ht="12.75" hidden="false" customHeight="false" outlineLevel="0" collapsed="false">
      <c r="C27" s="41"/>
      <c r="D27" s="41"/>
      <c r="E27" s="43"/>
      <c r="F27" s="38"/>
      <c r="G27" s="35"/>
      <c r="H27" s="38"/>
      <c r="I27" s="44"/>
      <c r="J27" s="38"/>
      <c r="K27" s="38"/>
      <c r="M27" s="14"/>
      <c r="N27" s="14"/>
      <c r="O27" s="14"/>
      <c r="P27" s="14"/>
      <c r="Q27" s="14"/>
      <c r="R27" s="14"/>
      <c r="S27" s="14"/>
      <c r="T27" s="14"/>
    </row>
    <row r="28" customFormat="false" ht="12.75" hidden="false" customHeight="false" outlineLevel="0" collapsed="false">
      <c r="A28" s="0" t="s">
        <v>74</v>
      </c>
      <c r="B28" s="20" t="s">
        <v>75</v>
      </c>
      <c r="C28" s="41" t="n">
        <v>425</v>
      </c>
      <c r="D28" s="57" t="n">
        <f aca="false">E28/30.4</f>
        <v>0.394539473684211</v>
      </c>
      <c r="E28" s="43" t="n">
        <v>11.994</v>
      </c>
      <c r="F28" s="38" t="n">
        <f aca="false">C28*E28</f>
        <v>5097.45</v>
      </c>
      <c r="G28" s="35" t="n">
        <v>5</v>
      </c>
      <c r="H28" s="38" t="n">
        <f aca="false">G28*F28-2</f>
        <v>25485.25</v>
      </c>
      <c r="I28" s="44"/>
      <c r="J28" s="38"/>
      <c r="K28" s="38"/>
      <c r="M28" s="14"/>
      <c r="N28" s="14"/>
      <c r="O28" s="45"/>
      <c r="P28" s="14"/>
      <c r="Q28" s="14"/>
      <c r="R28" s="14"/>
      <c r="S28" s="14"/>
      <c r="T28" s="14"/>
    </row>
    <row r="29" customFormat="false" ht="12.75" hidden="false" customHeight="false" outlineLevel="0" collapsed="false">
      <c r="C29" s="41"/>
      <c r="D29" s="41"/>
      <c r="E29" s="43"/>
      <c r="F29" s="38"/>
      <c r="G29" s="35"/>
      <c r="H29" s="38"/>
      <c r="I29" s="44"/>
      <c r="J29" s="38"/>
      <c r="K29" s="38"/>
      <c r="M29" s="14"/>
      <c r="N29" s="14"/>
      <c r="O29" s="14"/>
      <c r="P29" s="14"/>
      <c r="Q29" s="14"/>
      <c r="R29" s="14"/>
      <c r="S29" s="14"/>
      <c r="T29" s="14"/>
    </row>
    <row r="30" customFormat="false" ht="12.75" hidden="false" customHeight="false" outlineLevel="0" collapsed="false">
      <c r="A30" s="0" t="s">
        <v>76</v>
      </c>
      <c r="B30" s="0" t="s">
        <v>77</v>
      </c>
      <c r="C30" s="41" t="n">
        <v>6670</v>
      </c>
      <c r="D30" s="58"/>
      <c r="E30" s="43" t="n">
        <f aca="false">H30/C30</f>
        <v>7.35817091454273</v>
      </c>
      <c r="F30" s="38" t="n">
        <f aca="false">H30/G30</f>
        <v>16359.6666666667</v>
      </c>
      <c r="G30" s="35" t="n">
        <v>3</v>
      </c>
      <c r="H30" s="38" t="n">
        <v>49079</v>
      </c>
      <c r="I30" s="44"/>
      <c r="J30" s="38"/>
      <c r="K30" s="38" t="s">
        <v>78</v>
      </c>
      <c r="M30" s="14"/>
      <c r="N30" s="14"/>
      <c r="O30" s="45"/>
      <c r="P30" s="14"/>
      <c r="Q30" s="14"/>
      <c r="R30" s="14"/>
      <c r="S30" s="14"/>
      <c r="T30" s="14"/>
    </row>
    <row r="31" customFormat="false" ht="12.75" hidden="false" customHeight="false" outlineLevel="0" collapsed="false">
      <c r="C31" s="41"/>
      <c r="D31" s="41"/>
      <c r="E31" s="43"/>
      <c r="F31" s="38"/>
      <c r="G31" s="35"/>
      <c r="H31" s="38"/>
      <c r="I31" s="44"/>
      <c r="J31" s="38"/>
      <c r="K31" s="38"/>
      <c r="M31" s="14"/>
      <c r="N31" s="14"/>
      <c r="O31" s="14"/>
      <c r="P31" s="14"/>
      <c r="Q31" s="14"/>
      <c r="R31" s="14"/>
      <c r="S31" s="14"/>
      <c r="T31" s="14"/>
    </row>
    <row r="32" customFormat="false" ht="12.75" hidden="false" customHeight="false" outlineLevel="0" collapsed="false">
      <c r="A32" s="0" t="s">
        <v>79</v>
      </c>
      <c r="B32" s="0" t="s">
        <v>80</v>
      </c>
      <c r="C32" s="41"/>
      <c r="D32" s="41"/>
      <c r="E32" s="43" t="n">
        <f aca="false">H32/1057000</f>
        <v>0.152106906338694</v>
      </c>
      <c r="F32" s="38"/>
      <c r="G32" s="35" t="n">
        <v>5</v>
      </c>
      <c r="H32" s="38" t="n">
        <v>160777</v>
      </c>
      <c r="I32" s="44"/>
      <c r="J32" s="38"/>
      <c r="K32" s="38" t="s">
        <v>81</v>
      </c>
      <c r="M32" s="14"/>
      <c r="N32" s="14"/>
      <c r="O32" s="14"/>
      <c r="P32" s="14"/>
      <c r="Q32" s="14"/>
      <c r="R32" s="14"/>
      <c r="S32" s="14"/>
      <c r="T32" s="14"/>
    </row>
    <row r="33" customFormat="false" ht="12.75" hidden="false" customHeight="false" outlineLevel="0" collapsed="false">
      <c r="A33" s="0" t="s">
        <v>79</v>
      </c>
      <c r="B33" s="0" t="s">
        <v>82</v>
      </c>
      <c r="C33" s="41"/>
      <c r="D33" s="41"/>
      <c r="E33" s="43" t="n">
        <f aca="false">H33/2996000</f>
        <v>0.101</v>
      </c>
      <c r="F33" s="38"/>
      <c r="G33" s="35" t="n">
        <v>7</v>
      </c>
      <c r="H33" s="38" t="n">
        <v>302596</v>
      </c>
      <c r="I33" s="44"/>
      <c r="J33" s="38"/>
      <c r="K33" s="38" t="s">
        <v>81</v>
      </c>
      <c r="M33" s="14"/>
      <c r="N33" s="14"/>
      <c r="O33" s="14"/>
      <c r="P33" s="14"/>
      <c r="Q33" s="14"/>
      <c r="R33" s="14"/>
      <c r="S33" s="14"/>
      <c r="T33" s="14"/>
    </row>
    <row r="34" customFormat="false" ht="12.75" hidden="false" customHeight="false" outlineLevel="0" collapsed="false">
      <c r="C34" s="41"/>
      <c r="D34" s="41"/>
      <c r="E34" s="43"/>
      <c r="F34" s="38"/>
      <c r="G34" s="35"/>
      <c r="H34" s="38"/>
      <c r="I34" s="44"/>
      <c r="J34" s="38"/>
      <c r="K34" s="38"/>
      <c r="M34" s="14"/>
      <c r="N34" s="14"/>
      <c r="O34" s="14"/>
      <c r="P34" s="14"/>
      <c r="Q34" s="14"/>
      <c r="R34" s="14"/>
      <c r="S34" s="14"/>
      <c r="T34" s="14"/>
    </row>
    <row r="35" customFormat="false" ht="12.75" hidden="false" customHeight="false" outlineLevel="0" collapsed="false">
      <c r="A35" s="0" t="s">
        <v>83</v>
      </c>
      <c r="B35" s="0" t="s">
        <v>84</v>
      </c>
      <c r="C35" s="41" t="n">
        <v>740</v>
      </c>
      <c r="D35" s="42" t="n">
        <f aca="false">E35/30.4</f>
        <v>0.197286925082978</v>
      </c>
      <c r="E35" s="43" t="n">
        <f aca="false">F35/C35</f>
        <v>5.99752252252252</v>
      </c>
      <c r="F35" s="38" t="n">
        <f aca="false">H35/G35</f>
        <v>4438.16666666667</v>
      </c>
      <c r="G35" s="35" t="n">
        <v>12</v>
      </c>
      <c r="H35" s="38" t="n">
        <v>53258</v>
      </c>
      <c r="I35" s="44"/>
      <c r="J35" s="38"/>
      <c r="K35" s="38" t="s">
        <v>85</v>
      </c>
      <c r="M35" s="14"/>
      <c r="N35" s="14"/>
      <c r="O35" s="14"/>
      <c r="P35" s="14"/>
      <c r="Q35" s="14"/>
      <c r="R35" s="14"/>
      <c r="S35" s="14"/>
      <c r="T35" s="14"/>
    </row>
    <row r="36" customFormat="false" ht="12.75" hidden="false" customHeight="false" outlineLevel="0" collapsed="false">
      <c r="C36" s="41"/>
      <c r="D36" s="41"/>
      <c r="E36" s="43"/>
      <c r="F36" s="38"/>
      <c r="G36" s="35"/>
      <c r="H36" s="38"/>
      <c r="I36" s="44"/>
      <c r="J36" s="38"/>
      <c r="K36" s="38"/>
      <c r="M36" s="14"/>
      <c r="N36" s="14"/>
      <c r="O36" s="14"/>
      <c r="P36" s="14"/>
      <c r="Q36" s="14"/>
      <c r="R36" s="14"/>
      <c r="S36" s="14"/>
      <c r="T36" s="14"/>
    </row>
    <row r="37" customFormat="false" ht="12.75" hidden="false" customHeight="false" outlineLevel="0" collapsed="false">
      <c r="A37" s="0" t="s">
        <v>86</v>
      </c>
      <c r="B37" s="0" t="s">
        <v>87</v>
      </c>
      <c r="C37" s="41" t="n">
        <v>400</v>
      </c>
      <c r="D37" s="42" t="n">
        <f aca="false">E37/30.4</f>
        <v>0.394539473684211</v>
      </c>
      <c r="E37" s="43" t="n">
        <v>11.994</v>
      </c>
      <c r="F37" s="38" t="n">
        <f aca="false">H37/G37</f>
        <v>4798</v>
      </c>
      <c r="G37" s="35" t="n">
        <v>5</v>
      </c>
      <c r="H37" s="38" t="n">
        <v>23990</v>
      </c>
      <c r="I37" s="44"/>
      <c r="J37" s="38"/>
      <c r="K37" s="38"/>
      <c r="M37" s="14"/>
      <c r="N37" s="14"/>
      <c r="O37" s="14"/>
      <c r="P37" s="14"/>
      <c r="Q37" s="14"/>
      <c r="R37" s="14"/>
      <c r="S37" s="14"/>
      <c r="T37" s="14"/>
    </row>
    <row r="38" customFormat="false" ht="12.75" hidden="false" customHeight="false" outlineLevel="0" collapsed="false">
      <c r="C38" s="41"/>
      <c r="D38" s="42"/>
      <c r="E38" s="43"/>
      <c r="F38" s="38"/>
      <c r="G38" s="35"/>
      <c r="H38" s="38"/>
      <c r="I38" s="44"/>
      <c r="J38" s="38"/>
      <c r="K38" s="38"/>
      <c r="M38" s="14"/>
      <c r="N38" s="14"/>
      <c r="O38" s="14"/>
      <c r="P38" s="14"/>
      <c r="Q38" s="14"/>
      <c r="R38" s="14"/>
      <c r="S38" s="14"/>
      <c r="T38" s="14"/>
    </row>
    <row r="39" customFormat="false" ht="12.75" hidden="false" customHeight="false" outlineLevel="0" collapsed="false">
      <c r="A39" s="0" t="s">
        <v>86</v>
      </c>
      <c r="B39" s="0" t="s">
        <v>84</v>
      </c>
      <c r="C39" s="41" t="n">
        <v>700</v>
      </c>
      <c r="D39" s="42" t="n">
        <f aca="false">E39/30.4</f>
        <v>0.197282268170426</v>
      </c>
      <c r="E39" s="43" t="n">
        <f aca="false">F39/C39</f>
        <v>5.99738095238095</v>
      </c>
      <c r="F39" s="38" t="n">
        <f aca="false">H39/G39</f>
        <v>4198.16666666667</v>
      </c>
      <c r="G39" s="35" t="n">
        <v>12</v>
      </c>
      <c r="H39" s="38" t="n">
        <v>50378</v>
      </c>
      <c r="I39" s="44"/>
      <c r="J39" s="38"/>
      <c r="K39" s="38" t="s">
        <v>85</v>
      </c>
      <c r="M39" s="14"/>
      <c r="N39" s="14"/>
      <c r="O39" s="14"/>
      <c r="P39" s="14"/>
      <c r="Q39" s="14"/>
      <c r="R39" s="14"/>
      <c r="S39" s="14"/>
      <c r="T39" s="14"/>
    </row>
    <row r="40" customFormat="false" ht="12.75" hidden="false" customHeight="false" outlineLevel="0" collapsed="false">
      <c r="C40" s="41"/>
      <c r="D40" s="42"/>
      <c r="E40" s="43"/>
      <c r="F40" s="38"/>
      <c r="G40" s="35"/>
      <c r="H40" s="38"/>
      <c r="I40" s="44"/>
      <c r="J40" s="38"/>
      <c r="K40" s="38"/>
      <c r="M40" s="14"/>
      <c r="N40" s="14"/>
      <c r="O40" s="14"/>
      <c r="P40" s="14"/>
      <c r="Q40" s="14"/>
      <c r="R40" s="14"/>
      <c r="S40" s="14"/>
      <c r="T40" s="14"/>
    </row>
    <row r="41" customFormat="false" ht="12.75" hidden="false" customHeight="false" outlineLevel="0" collapsed="false">
      <c r="A41" s="0" t="s">
        <v>88</v>
      </c>
      <c r="B41" s="0" t="s">
        <v>89</v>
      </c>
      <c r="C41" s="41" t="n">
        <v>1580</v>
      </c>
      <c r="D41" s="42" t="n">
        <f aca="false">E41/30.4</f>
        <v>0.266322451698867</v>
      </c>
      <c r="E41" s="43" t="n">
        <f aca="false">F41/C41</f>
        <v>8.09620253164557</v>
      </c>
      <c r="F41" s="38" t="n">
        <f aca="false">H41/G41</f>
        <v>12792</v>
      </c>
      <c r="G41" s="35" t="n">
        <v>2</v>
      </c>
      <c r="H41" s="38" t="n">
        <v>25584</v>
      </c>
      <c r="I41" s="44"/>
      <c r="J41" s="38"/>
      <c r="K41" s="38"/>
      <c r="M41" s="14"/>
      <c r="N41" s="14"/>
      <c r="O41" s="14"/>
      <c r="P41" s="14"/>
      <c r="Q41" s="14"/>
      <c r="R41" s="14"/>
      <c r="S41" s="14"/>
      <c r="T41" s="14"/>
    </row>
    <row r="42" customFormat="false" ht="12.75" hidden="false" customHeight="false" outlineLevel="0" collapsed="false">
      <c r="C42" s="41"/>
      <c r="D42" s="42"/>
      <c r="E42" s="43"/>
      <c r="F42" s="38"/>
      <c r="G42" s="35"/>
      <c r="H42" s="38"/>
      <c r="I42" s="44"/>
      <c r="J42" s="38"/>
      <c r="K42" s="38"/>
      <c r="M42" s="14"/>
      <c r="N42" s="14"/>
      <c r="O42" s="14"/>
      <c r="P42" s="14"/>
      <c r="Q42" s="14"/>
      <c r="R42" s="14"/>
      <c r="S42" s="14"/>
      <c r="T42" s="14"/>
    </row>
    <row r="43" customFormat="false" ht="12.75" hidden="false" customHeight="false" outlineLevel="0" collapsed="false">
      <c r="A43" s="0" t="s">
        <v>90</v>
      </c>
      <c r="B43" s="0" t="s">
        <v>91</v>
      </c>
      <c r="C43" s="41"/>
      <c r="D43" s="42" t="n">
        <v>0.07</v>
      </c>
      <c r="E43" s="43"/>
      <c r="F43" s="38"/>
      <c r="G43" s="35"/>
      <c r="H43" s="38" t="n">
        <v>21266</v>
      </c>
      <c r="I43" s="44"/>
      <c r="J43" s="38"/>
      <c r="K43" s="38"/>
      <c r="M43" s="14"/>
      <c r="N43" s="14"/>
      <c r="O43" s="14"/>
      <c r="P43" s="14"/>
      <c r="Q43" s="14"/>
      <c r="R43" s="14"/>
      <c r="S43" s="14"/>
      <c r="T43" s="14"/>
    </row>
    <row r="44" customFormat="false" ht="12.75" hidden="false" customHeight="false" outlineLevel="0" collapsed="false">
      <c r="C44" s="41"/>
      <c r="D44" s="41"/>
      <c r="E44" s="43"/>
      <c r="F44" s="38"/>
      <c r="G44" s="35"/>
      <c r="H44" s="38"/>
      <c r="I44" s="59"/>
      <c r="J44" s="38"/>
      <c r="K44" s="38"/>
      <c r="M44" s="38"/>
      <c r="N44" s="38"/>
      <c r="O44" s="38"/>
      <c r="P44" s="38"/>
      <c r="Q44" s="38"/>
      <c r="R44" s="14"/>
      <c r="S44" s="45"/>
      <c r="T44" s="14"/>
    </row>
    <row r="45" customFormat="false" ht="12.75" hidden="false" customHeight="false" outlineLevel="0" collapsed="false">
      <c r="A45" s="0" t="s">
        <v>60</v>
      </c>
      <c r="B45" s="0" t="s">
        <v>92</v>
      </c>
      <c r="C45" s="41"/>
      <c r="D45" s="42" t="n">
        <v>0.0327</v>
      </c>
      <c r="E45" s="43"/>
      <c r="F45" s="38"/>
      <c r="G45" s="35" t="n">
        <v>5</v>
      </c>
      <c r="H45" s="38" t="n">
        <v>41865</v>
      </c>
      <c r="I45" s="59"/>
      <c r="J45" s="38"/>
      <c r="K45" s="38"/>
      <c r="M45" s="38"/>
      <c r="N45" s="38"/>
      <c r="O45" s="38"/>
      <c r="P45" s="38"/>
      <c r="Q45" s="38"/>
      <c r="R45" s="14"/>
      <c r="S45" s="45"/>
      <c r="T45" s="14"/>
    </row>
    <row r="46" customFormat="false" ht="12.75" hidden="false" customHeight="false" outlineLevel="0" collapsed="false">
      <c r="C46" s="41"/>
      <c r="D46" s="42"/>
      <c r="E46" s="43"/>
      <c r="F46" s="38"/>
      <c r="G46" s="35"/>
      <c r="H46" s="38"/>
      <c r="I46" s="59"/>
      <c r="J46" s="38"/>
      <c r="K46" s="38"/>
      <c r="M46" s="38"/>
      <c r="N46" s="38"/>
      <c r="O46" s="38"/>
      <c r="P46" s="38"/>
      <c r="Q46" s="38"/>
      <c r="R46" s="14"/>
      <c r="S46" s="45"/>
      <c r="T46" s="14"/>
    </row>
    <row r="47" customFormat="false" ht="12.75" hidden="false" customHeight="false" outlineLevel="0" collapsed="false">
      <c r="A47" s="0" t="s">
        <v>74</v>
      </c>
      <c r="B47" s="0" t="s">
        <v>92</v>
      </c>
      <c r="C47" s="41"/>
      <c r="D47" s="42" t="n">
        <v>0.0327</v>
      </c>
      <c r="E47" s="43"/>
      <c r="F47" s="38"/>
      <c r="G47" s="35" t="n">
        <v>5</v>
      </c>
      <c r="H47" s="38" t="n">
        <v>16005</v>
      </c>
      <c r="I47" s="59"/>
      <c r="J47" s="38"/>
      <c r="K47" s="38"/>
      <c r="M47" s="38"/>
      <c r="N47" s="38"/>
      <c r="O47" s="38"/>
      <c r="P47" s="38"/>
      <c r="Q47" s="38"/>
      <c r="R47" s="14"/>
      <c r="S47" s="45"/>
      <c r="T47" s="14"/>
    </row>
    <row r="48" customFormat="false" ht="12.75" hidden="false" customHeight="false" outlineLevel="0" collapsed="false">
      <c r="C48" s="41"/>
      <c r="D48" s="41"/>
      <c r="E48" s="43"/>
      <c r="F48" s="38"/>
      <c r="G48" s="35"/>
      <c r="H48" s="38"/>
      <c r="I48" s="59"/>
      <c r="J48" s="38"/>
      <c r="K48" s="38"/>
      <c r="M48" s="38"/>
      <c r="N48" s="38"/>
      <c r="O48" s="38"/>
      <c r="P48" s="38"/>
      <c r="Q48" s="38"/>
      <c r="R48" s="14"/>
      <c r="S48" s="45"/>
      <c r="T48" s="14"/>
    </row>
    <row r="49" customFormat="false" ht="12.75" hidden="false" customHeight="false" outlineLevel="0" collapsed="false">
      <c r="A49" s="0" t="s">
        <v>93</v>
      </c>
      <c r="B49" s="0" t="s">
        <v>94</v>
      </c>
      <c r="C49" s="41"/>
      <c r="D49" s="41"/>
      <c r="E49" s="43"/>
      <c r="F49" s="38"/>
      <c r="G49" s="35"/>
      <c r="H49" s="38" t="n">
        <v>78897</v>
      </c>
      <c r="I49" s="59"/>
      <c r="J49" s="38"/>
      <c r="K49" s="38"/>
      <c r="M49" s="14"/>
      <c r="N49" s="14"/>
      <c r="O49" s="14"/>
      <c r="P49" s="14"/>
      <c r="Q49" s="14"/>
      <c r="R49" s="14"/>
      <c r="S49" s="14"/>
      <c r="T49" s="14"/>
    </row>
    <row r="50" customFormat="false" ht="12.75" hidden="false" customHeight="false" outlineLevel="0" collapsed="false">
      <c r="C50" s="41"/>
      <c r="D50" s="41"/>
      <c r="E50" s="43"/>
      <c r="F50" s="38"/>
      <c r="G50" s="35"/>
      <c r="H50" s="38"/>
      <c r="I50" s="59"/>
      <c r="J50" s="38"/>
      <c r="K50" s="38"/>
      <c r="M50" s="14"/>
      <c r="N50" s="14"/>
      <c r="O50" s="14"/>
      <c r="P50" s="14"/>
      <c r="Q50" s="14"/>
      <c r="R50" s="14"/>
      <c r="S50" s="14"/>
      <c r="T50" s="14"/>
    </row>
    <row r="51" customFormat="false" ht="12.75" hidden="false" customHeight="false" outlineLevel="0" collapsed="false">
      <c r="A51" s="0" t="s">
        <v>93</v>
      </c>
      <c r="B51" s="0" t="s">
        <v>95</v>
      </c>
      <c r="C51" s="41"/>
      <c r="D51" s="41"/>
      <c r="E51" s="43"/>
      <c r="F51" s="38"/>
      <c r="G51" s="35"/>
      <c r="H51" s="38" t="n">
        <v>14163</v>
      </c>
      <c r="I51" s="59"/>
      <c r="J51" s="38"/>
      <c r="K51" s="38"/>
      <c r="M51" s="14"/>
      <c r="N51" s="14"/>
      <c r="O51" s="14"/>
      <c r="P51" s="14"/>
      <c r="Q51" s="14"/>
      <c r="R51" s="14"/>
      <c r="S51" s="14"/>
      <c r="T51" s="14"/>
    </row>
    <row r="52" customFormat="false" ht="12.75" hidden="false" customHeight="false" outlineLevel="0" collapsed="false">
      <c r="C52" s="41"/>
      <c r="D52" s="41"/>
      <c r="E52" s="43"/>
      <c r="F52" s="38"/>
      <c r="G52" s="35"/>
      <c r="H52" s="38"/>
      <c r="I52" s="59"/>
      <c r="J52" s="38"/>
      <c r="K52" s="38"/>
      <c r="M52" s="14"/>
      <c r="N52" s="14"/>
      <c r="O52" s="14"/>
      <c r="P52" s="14"/>
      <c r="Q52" s="14"/>
      <c r="R52" s="14"/>
      <c r="S52" s="14"/>
      <c r="T52" s="14"/>
    </row>
    <row r="53" customFormat="false" ht="13.5" hidden="false" customHeight="false" outlineLevel="0" collapsed="false">
      <c r="C53" s="41"/>
      <c r="D53" s="41"/>
      <c r="E53" s="43"/>
      <c r="F53" s="38"/>
      <c r="H53" s="60" t="n">
        <f aca="false">SUM(H12:H52)</f>
        <v>3025077.25</v>
      </c>
      <c r="I53" s="61"/>
      <c r="K53" s="38"/>
      <c r="M53" s="38"/>
      <c r="N53" s="38"/>
      <c r="O53" s="38"/>
      <c r="P53" s="38"/>
      <c r="Q53" s="38"/>
      <c r="R53" s="14"/>
      <c r="S53" s="45"/>
      <c r="T53" s="14"/>
    </row>
    <row r="54" customFormat="false" ht="13.5" hidden="false" customHeight="false" outlineLevel="0" collapsed="false">
      <c r="C54" s="41"/>
      <c r="D54" s="41"/>
      <c r="E54" s="43"/>
      <c r="F54" s="38"/>
      <c r="H54" s="38"/>
      <c r="I54" s="59"/>
      <c r="J54" s="38"/>
      <c r="K54" s="38"/>
      <c r="M54" s="14"/>
      <c r="N54" s="14"/>
      <c r="O54" s="14"/>
      <c r="P54" s="14"/>
      <c r="Q54" s="14"/>
      <c r="R54" s="14"/>
      <c r="S54" s="14"/>
      <c r="T54" s="14"/>
    </row>
    <row r="55" customFormat="false" ht="12.75" hidden="false" customHeight="false" outlineLevel="0" collapsed="false">
      <c r="C55" s="41"/>
      <c r="D55" s="41"/>
      <c r="E55" s="43"/>
      <c r="F55" s="38"/>
      <c r="H55" s="38"/>
      <c r="I55" s="59"/>
      <c r="J55" s="38"/>
      <c r="K55" s="38"/>
      <c r="M55" s="14"/>
      <c r="N55" s="14"/>
      <c r="O55" s="14"/>
      <c r="P55" s="14"/>
      <c r="Q55" s="14"/>
      <c r="R55" s="14"/>
      <c r="S55" s="14"/>
      <c r="T55" s="14"/>
    </row>
    <row r="56" customFormat="false" ht="20.25" hidden="false" customHeight="false" outlineLevel="0" collapsed="false">
      <c r="A56" s="39" t="s">
        <v>96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M56" s="14"/>
      <c r="N56" s="14"/>
      <c r="O56" s="14"/>
      <c r="P56" s="14"/>
      <c r="Q56" s="14"/>
      <c r="R56" s="14"/>
      <c r="S56" s="14"/>
      <c r="T56" s="14"/>
    </row>
    <row r="57" customFormat="false" ht="12.75" hidden="false" customHeight="false" outlineLevel="0" collapsed="false">
      <c r="C57" s="41"/>
      <c r="D57" s="41"/>
      <c r="E57" s="43"/>
      <c r="F57" s="38"/>
      <c r="H57" s="38"/>
      <c r="I57" s="59"/>
      <c r="J57" s="38"/>
      <c r="K57" s="38"/>
      <c r="M57" s="14"/>
      <c r="N57" s="14"/>
      <c r="O57" s="14"/>
      <c r="P57" s="14"/>
      <c r="Q57" s="14"/>
      <c r="R57" s="14"/>
      <c r="S57" s="14"/>
      <c r="T57" s="14"/>
    </row>
    <row r="58" customFormat="false" ht="12.75" hidden="false" customHeight="false" outlineLevel="0" collapsed="false">
      <c r="A58" s="0" t="s">
        <v>97</v>
      </c>
      <c r="B58" s="0" t="s">
        <v>98</v>
      </c>
      <c r="C58" s="41" t="n">
        <v>1000</v>
      </c>
      <c r="D58" s="42" t="n">
        <v>0.2</v>
      </c>
      <c r="E58" s="43" t="n">
        <v>6.08</v>
      </c>
      <c r="F58" s="38" t="n">
        <f aca="false">C58*E58</f>
        <v>6080</v>
      </c>
      <c r="G58" s="35" t="n">
        <v>5</v>
      </c>
      <c r="H58" s="38" t="n">
        <f aca="false">F58*G58</f>
        <v>30400</v>
      </c>
      <c r="I58" s="44" t="n">
        <v>0.1</v>
      </c>
      <c r="J58" s="38" t="n">
        <f aca="false">H58*0.1</f>
        <v>3040</v>
      </c>
      <c r="K58" s="38"/>
      <c r="M58" s="45"/>
      <c r="N58" s="14"/>
      <c r="O58" s="14"/>
      <c r="P58" s="14"/>
      <c r="Q58" s="14"/>
      <c r="R58" s="14"/>
      <c r="S58" s="14"/>
      <c r="T58" s="14"/>
    </row>
    <row r="59" customFormat="false" ht="12.75" hidden="false" customHeight="false" outlineLevel="0" collapsed="false">
      <c r="C59" s="41"/>
      <c r="D59" s="41"/>
      <c r="E59" s="43"/>
      <c r="F59" s="38"/>
      <c r="G59" s="35"/>
      <c r="H59" s="38"/>
      <c r="I59" s="44"/>
      <c r="J59" s="38"/>
      <c r="K59" s="38"/>
      <c r="M59" s="14"/>
      <c r="N59" s="14"/>
      <c r="O59" s="14"/>
      <c r="P59" s="14"/>
      <c r="Q59" s="14"/>
      <c r="R59" s="14"/>
      <c r="S59" s="14"/>
      <c r="T59" s="14"/>
    </row>
    <row r="60" customFormat="false" ht="12.75" hidden="false" customHeight="false" outlineLevel="0" collapsed="false">
      <c r="A60" s="0" t="s">
        <v>99</v>
      </c>
      <c r="B60" s="0" t="s">
        <v>98</v>
      </c>
      <c r="C60" s="41" t="n">
        <v>1500</v>
      </c>
      <c r="D60" s="42" t="n">
        <v>0.2</v>
      </c>
      <c r="E60" s="43" t="n">
        <v>6.08</v>
      </c>
      <c r="F60" s="38" t="n">
        <f aca="false">C60*E60</f>
        <v>9120</v>
      </c>
      <c r="G60" s="35" t="n">
        <v>5</v>
      </c>
      <c r="H60" s="38" t="n">
        <f aca="false">G60*F60</f>
        <v>45600</v>
      </c>
      <c r="I60" s="44" t="n">
        <v>0.1</v>
      </c>
      <c r="J60" s="38" t="n">
        <f aca="false">I60*H60</f>
        <v>4560</v>
      </c>
      <c r="K60" s="38"/>
      <c r="M60" s="14"/>
      <c r="N60" s="45"/>
      <c r="O60" s="14"/>
      <c r="P60" s="14"/>
      <c r="Q60" s="14"/>
      <c r="R60" s="14"/>
      <c r="S60" s="14"/>
      <c r="T60" s="14"/>
    </row>
    <row r="61" customFormat="false" ht="12.75" hidden="false" customHeight="false" outlineLevel="0" collapsed="false">
      <c r="C61" s="41"/>
      <c r="D61" s="42"/>
      <c r="E61" s="43"/>
      <c r="F61" s="38"/>
      <c r="G61" s="35"/>
      <c r="H61" s="38"/>
      <c r="I61" s="44"/>
      <c r="J61" s="38"/>
      <c r="K61" s="38"/>
      <c r="M61" s="14"/>
      <c r="N61" s="14"/>
      <c r="O61" s="14"/>
      <c r="P61" s="14"/>
      <c r="Q61" s="14"/>
      <c r="R61" s="14"/>
      <c r="S61" s="14"/>
      <c r="T61" s="14"/>
    </row>
    <row r="62" customFormat="false" ht="12.75" hidden="false" customHeight="false" outlineLevel="0" collapsed="false">
      <c r="A62" s="0" t="s">
        <v>74</v>
      </c>
      <c r="B62" s="0" t="s">
        <v>100</v>
      </c>
      <c r="C62" s="41" t="n">
        <v>4200</v>
      </c>
      <c r="D62" s="42" t="n">
        <f aca="false">E62/30.4</f>
        <v>0.394539473684211</v>
      </c>
      <c r="E62" s="43" t="n">
        <v>11.994</v>
      </c>
      <c r="F62" s="38" t="n">
        <f aca="false">E62*C62</f>
        <v>50374.8</v>
      </c>
      <c r="G62" s="35" t="n">
        <v>2</v>
      </c>
      <c r="H62" s="38" t="n">
        <f aca="false">F62*G62</f>
        <v>100749.6</v>
      </c>
      <c r="I62" s="44" t="n">
        <v>0.3</v>
      </c>
      <c r="J62" s="38" t="n">
        <v>30224</v>
      </c>
      <c r="K62" s="38"/>
      <c r="M62" s="14"/>
      <c r="N62" s="45"/>
      <c r="O62" s="14"/>
      <c r="P62" s="14"/>
      <c r="Q62" s="14"/>
      <c r="R62" s="14"/>
      <c r="S62" s="14"/>
      <c r="T62" s="14"/>
    </row>
    <row r="63" customFormat="false" ht="12.75" hidden="false" customHeight="false" outlineLevel="0" collapsed="false">
      <c r="C63" s="41"/>
      <c r="D63" s="42"/>
      <c r="E63" s="43"/>
      <c r="F63" s="38"/>
      <c r="G63" s="35"/>
      <c r="H63" s="38"/>
      <c r="I63" s="44"/>
      <c r="J63" s="38"/>
      <c r="K63" s="38"/>
      <c r="M63" s="14"/>
      <c r="N63" s="45"/>
      <c r="O63" s="14"/>
      <c r="P63" s="14"/>
      <c r="Q63" s="14"/>
      <c r="R63" s="14"/>
      <c r="S63" s="14"/>
      <c r="T63" s="14"/>
    </row>
    <row r="64" customFormat="false" ht="12.75" hidden="false" customHeight="false" outlineLevel="0" collapsed="false">
      <c r="A64" s="0" t="s">
        <v>74</v>
      </c>
      <c r="B64" s="0" t="s">
        <v>101</v>
      </c>
      <c r="C64" s="41" t="n">
        <v>60000</v>
      </c>
      <c r="E64" s="42" t="n">
        <v>0.55</v>
      </c>
      <c r="F64" s="38"/>
      <c r="G64" s="35"/>
      <c r="H64" s="38" t="n">
        <f aca="false">C64*E64*8</f>
        <v>264000</v>
      </c>
      <c r="I64" s="44" t="n">
        <v>0.1</v>
      </c>
      <c r="J64" s="38" t="n">
        <f aca="false">I64*H64</f>
        <v>26400</v>
      </c>
      <c r="K64" s="38"/>
      <c r="M64" s="14"/>
      <c r="N64" s="45"/>
      <c r="O64" s="14"/>
      <c r="P64" s="14"/>
      <c r="Q64" s="14"/>
      <c r="R64" s="14"/>
      <c r="S64" s="14"/>
      <c r="T64" s="14"/>
    </row>
    <row r="65" customFormat="false" ht="12.75" hidden="false" customHeight="false" outlineLevel="0" collapsed="false">
      <c r="E65" s="42"/>
    </row>
    <row r="66" customFormat="false" ht="12.75" hidden="false" customHeight="false" outlineLevel="0" collapsed="false">
      <c r="A66" s="0" t="s">
        <v>74</v>
      </c>
      <c r="B66" s="0" t="s">
        <v>102</v>
      </c>
      <c r="C66" s="41" t="n">
        <v>25000</v>
      </c>
      <c r="E66" s="42" t="n">
        <v>0.7</v>
      </c>
      <c r="F66" s="38"/>
      <c r="G66" s="35"/>
      <c r="H66" s="38" t="n">
        <f aca="false">C66*E66*18</f>
        <v>315000</v>
      </c>
      <c r="I66" s="44" t="n">
        <v>0.3</v>
      </c>
      <c r="J66" s="38" t="n">
        <f aca="false">I66*H66</f>
        <v>94500</v>
      </c>
      <c r="K66" s="38"/>
      <c r="M66" s="14"/>
      <c r="N66" s="45"/>
      <c r="O66" s="14"/>
      <c r="P66" s="14"/>
      <c r="Q66" s="14"/>
      <c r="R66" s="14"/>
      <c r="S66" s="14"/>
      <c r="T66" s="14"/>
    </row>
    <row r="67" customFormat="false" ht="12.75" hidden="false" customHeight="false" outlineLevel="0" collapsed="false">
      <c r="C67" s="41"/>
      <c r="E67" s="42"/>
      <c r="F67" s="38"/>
      <c r="G67" s="35"/>
      <c r="H67" s="38"/>
      <c r="I67" s="44"/>
      <c r="J67" s="38"/>
      <c r="K67" s="38"/>
      <c r="M67" s="14"/>
      <c r="N67" s="45"/>
      <c r="O67" s="14"/>
      <c r="P67" s="14"/>
      <c r="Q67" s="14"/>
      <c r="R67" s="14"/>
      <c r="S67" s="14"/>
      <c r="T67" s="14"/>
    </row>
    <row r="68" customFormat="false" ht="12.75" hidden="false" customHeight="false" outlineLevel="0" collapsed="false">
      <c r="A68" s="0" t="s">
        <v>67</v>
      </c>
      <c r="B68" s="0" t="s">
        <v>103</v>
      </c>
      <c r="C68" s="41" t="n">
        <v>40000</v>
      </c>
      <c r="E68" s="42" t="n">
        <v>0.4</v>
      </c>
      <c r="F68" s="38"/>
      <c r="G68" s="35" t="n">
        <v>5</v>
      </c>
      <c r="H68" s="38" t="n">
        <f aca="false">G68*E68*C68</f>
        <v>80000</v>
      </c>
      <c r="I68" s="44" t="n">
        <v>0.1</v>
      </c>
      <c r="J68" s="38" t="n">
        <f aca="false">I68*H68</f>
        <v>8000</v>
      </c>
      <c r="K68" s="38"/>
      <c r="M68" s="14"/>
      <c r="N68" s="45"/>
      <c r="O68" s="14"/>
      <c r="P68" s="14"/>
      <c r="Q68" s="14"/>
      <c r="R68" s="14"/>
      <c r="S68" s="14"/>
      <c r="T68" s="14"/>
    </row>
    <row r="69" customFormat="false" ht="12.75" hidden="false" customHeight="false" outlineLevel="0" collapsed="false">
      <c r="C69" s="41"/>
      <c r="D69" s="42"/>
      <c r="E69" s="43"/>
      <c r="F69" s="38"/>
      <c r="G69" s="35"/>
      <c r="H69" s="38"/>
      <c r="I69" s="44"/>
      <c r="J69" s="38"/>
      <c r="K69" s="38"/>
      <c r="M69" s="14"/>
      <c r="N69" s="45"/>
      <c r="O69" s="14"/>
      <c r="P69" s="14"/>
      <c r="Q69" s="14"/>
      <c r="R69" s="14"/>
      <c r="S69" s="14"/>
      <c r="T69" s="14"/>
    </row>
    <row r="70" customFormat="false" ht="12.75" hidden="false" customHeight="false" outlineLevel="0" collapsed="false">
      <c r="A70" s="0" t="s">
        <v>74</v>
      </c>
      <c r="B70" s="0" t="s">
        <v>104</v>
      </c>
      <c r="C70" s="41" t="n">
        <v>10000</v>
      </c>
      <c r="D70" s="42" t="n">
        <f aca="false">E70/30.4</f>
        <v>0.328947368421053</v>
      </c>
      <c r="E70" s="43" t="n">
        <v>10</v>
      </c>
      <c r="F70" s="38" t="n">
        <f aca="false">E70*C70</f>
        <v>100000</v>
      </c>
      <c r="G70" s="35" t="n">
        <v>5</v>
      </c>
      <c r="H70" s="38" t="n">
        <f aca="false">G70*F70</f>
        <v>500000</v>
      </c>
      <c r="I70" s="44" t="n">
        <v>0.2</v>
      </c>
      <c r="J70" s="38" t="n">
        <f aca="false">I70*H70</f>
        <v>100000</v>
      </c>
      <c r="K70" s="38"/>
      <c r="M70" s="14"/>
      <c r="N70" s="45"/>
      <c r="O70" s="14"/>
      <c r="P70" s="14"/>
      <c r="Q70" s="14"/>
      <c r="R70" s="14"/>
      <c r="S70" s="14"/>
      <c r="T70" s="14"/>
    </row>
    <row r="71" customFormat="false" ht="12.75" hidden="false" customHeight="false" outlineLevel="0" collapsed="false">
      <c r="C71" s="41"/>
      <c r="D71" s="41"/>
      <c r="E71" s="43"/>
      <c r="F71" s="38"/>
      <c r="G71" s="35"/>
      <c r="H71" s="38"/>
      <c r="I71" s="44"/>
      <c r="J71" s="38"/>
      <c r="K71" s="38"/>
      <c r="M71" s="14"/>
      <c r="N71" s="45"/>
      <c r="O71" s="14"/>
      <c r="P71" s="14"/>
      <c r="Q71" s="14"/>
      <c r="R71" s="14"/>
      <c r="S71" s="14"/>
      <c r="T71" s="14"/>
    </row>
    <row r="72" customFormat="false" ht="12.75" hidden="false" customHeight="false" outlineLevel="0" collapsed="false">
      <c r="A72" s="0" t="s">
        <v>93</v>
      </c>
      <c r="B72" s="0" t="s">
        <v>105</v>
      </c>
      <c r="C72" s="41" t="n">
        <v>15000</v>
      </c>
      <c r="D72" s="42" t="n">
        <f aca="false">E72/30.4</f>
        <v>0.2</v>
      </c>
      <c r="E72" s="43" t="n">
        <v>6.08</v>
      </c>
      <c r="F72" s="38" t="n">
        <f aca="false">E72*C72</f>
        <v>91200</v>
      </c>
      <c r="G72" s="35" t="n">
        <v>2</v>
      </c>
      <c r="H72" s="38" t="n">
        <f aca="false">G72*F72</f>
        <v>182400</v>
      </c>
      <c r="I72" s="44" t="n">
        <v>0.2</v>
      </c>
      <c r="J72" s="38" t="n">
        <f aca="false">I72*H72</f>
        <v>36480</v>
      </c>
      <c r="K72" s="38"/>
      <c r="M72" s="14"/>
      <c r="N72" s="45"/>
      <c r="O72" s="14"/>
      <c r="P72" s="14"/>
      <c r="Q72" s="14"/>
      <c r="R72" s="14"/>
      <c r="S72" s="14"/>
      <c r="T72" s="14"/>
    </row>
    <row r="73" customFormat="false" ht="12.75" hidden="false" customHeight="false" outlineLevel="0" collapsed="false">
      <c r="C73" s="41"/>
      <c r="D73" s="41"/>
      <c r="E73" s="43"/>
      <c r="F73" s="38"/>
      <c r="G73" s="35"/>
      <c r="H73" s="38"/>
      <c r="I73" s="44"/>
      <c r="J73" s="38"/>
      <c r="K73" s="38"/>
      <c r="M73" s="14"/>
      <c r="N73" s="45"/>
      <c r="O73" s="14"/>
      <c r="P73" s="14"/>
      <c r="Q73" s="14"/>
      <c r="R73" s="14"/>
      <c r="S73" s="14"/>
      <c r="T73" s="14"/>
    </row>
    <row r="74" customFormat="false" ht="12.75" hidden="false" customHeight="false" outlineLevel="0" collapsed="false">
      <c r="A74" s="0" t="s">
        <v>106</v>
      </c>
      <c r="B74" s="0" t="s">
        <v>107</v>
      </c>
      <c r="C74" s="41" t="n">
        <v>1000</v>
      </c>
      <c r="D74" s="42" t="n">
        <v>0.04</v>
      </c>
      <c r="E74" s="43" t="n">
        <v>1.216</v>
      </c>
      <c r="F74" s="38" t="n">
        <f aca="false">E74*C74</f>
        <v>1216</v>
      </c>
      <c r="G74" s="35" t="n">
        <v>7</v>
      </c>
      <c r="H74" s="38" t="n">
        <f aca="false">G74*F74</f>
        <v>8512</v>
      </c>
      <c r="I74" s="44" t="n">
        <v>0.1</v>
      </c>
      <c r="J74" s="38" t="n">
        <v>854</v>
      </c>
      <c r="K74" s="38"/>
      <c r="M74" s="14"/>
      <c r="N74" s="45"/>
      <c r="O74" s="14"/>
      <c r="P74" s="14"/>
      <c r="Q74" s="14"/>
      <c r="R74" s="14"/>
      <c r="S74" s="14"/>
      <c r="T74" s="14"/>
    </row>
    <row r="75" customFormat="false" ht="12.75" hidden="false" customHeight="false" outlineLevel="0" collapsed="false">
      <c r="C75" s="41"/>
      <c r="D75" s="42"/>
      <c r="E75" s="43"/>
      <c r="F75" s="38"/>
      <c r="G75" s="35"/>
      <c r="H75" s="38"/>
      <c r="I75" s="44"/>
      <c r="J75" s="62"/>
      <c r="K75" s="38"/>
      <c r="M75" s="14"/>
      <c r="N75" s="45"/>
      <c r="O75" s="14"/>
      <c r="P75" s="14"/>
      <c r="Q75" s="14"/>
      <c r="R75" s="14"/>
      <c r="S75" s="14"/>
      <c r="T75" s="14"/>
    </row>
    <row r="76" customFormat="false" ht="12.75" hidden="false" customHeight="false" outlineLevel="0" collapsed="false">
      <c r="A76" s="0" t="s">
        <v>86</v>
      </c>
      <c r="B76" s="0" t="s">
        <v>108</v>
      </c>
      <c r="C76" s="41" t="n">
        <v>2000</v>
      </c>
      <c r="D76" s="42" t="n">
        <v>0.2</v>
      </c>
      <c r="E76" s="43" t="n">
        <v>6.08</v>
      </c>
      <c r="F76" s="38" t="n">
        <f aca="false">E76*C76</f>
        <v>12160</v>
      </c>
      <c r="G76" s="35" t="n">
        <v>5</v>
      </c>
      <c r="H76" s="38" t="n">
        <f aca="false">G76*F76</f>
        <v>60800</v>
      </c>
      <c r="I76" s="44" t="n">
        <v>0.5</v>
      </c>
      <c r="J76" s="38" t="n">
        <f aca="false">I76*H76</f>
        <v>30400</v>
      </c>
      <c r="K76" s="38"/>
      <c r="M76" s="14"/>
      <c r="N76" s="45"/>
      <c r="O76" s="14"/>
      <c r="P76" s="14"/>
      <c r="Q76" s="14"/>
      <c r="R76" s="14"/>
      <c r="S76" s="14"/>
      <c r="T76" s="14"/>
    </row>
    <row r="77" customFormat="false" ht="12.75" hidden="false" customHeight="false" outlineLevel="0" collapsed="false">
      <c r="C77" s="41"/>
      <c r="D77" s="42"/>
      <c r="E77" s="43"/>
      <c r="F77" s="38"/>
      <c r="G77" s="35"/>
      <c r="H77" s="38"/>
      <c r="I77" s="44"/>
      <c r="J77" s="38"/>
      <c r="K77" s="38"/>
      <c r="M77" s="14"/>
      <c r="N77" s="45"/>
      <c r="O77" s="14"/>
      <c r="P77" s="14"/>
      <c r="Q77" s="14"/>
      <c r="R77" s="14"/>
      <c r="S77" s="14"/>
      <c r="T77" s="14"/>
    </row>
    <row r="78" customFormat="false" ht="12.75" hidden="false" customHeight="false" outlineLevel="0" collapsed="false">
      <c r="A78" s="0" t="s">
        <v>109</v>
      </c>
      <c r="B78" s="0" t="s">
        <v>98</v>
      </c>
      <c r="C78" s="41" t="n">
        <v>200</v>
      </c>
      <c r="D78" s="42" t="n">
        <f aca="false">E78/30.4</f>
        <v>0.394539473684211</v>
      </c>
      <c r="E78" s="43" t="n">
        <v>11.994</v>
      </c>
      <c r="F78" s="38" t="n">
        <f aca="false">E78*C78</f>
        <v>2398.8</v>
      </c>
      <c r="G78" s="35" t="n">
        <v>5</v>
      </c>
      <c r="H78" s="38" t="n">
        <f aca="false">G78*F78</f>
        <v>11994</v>
      </c>
      <c r="I78" s="44" t="n">
        <v>0.5</v>
      </c>
      <c r="J78" s="38" t="n">
        <v>5995</v>
      </c>
      <c r="K78" s="38"/>
      <c r="M78" s="14"/>
      <c r="N78" s="45"/>
      <c r="O78" s="14"/>
      <c r="P78" s="14"/>
      <c r="Q78" s="14"/>
      <c r="R78" s="14"/>
      <c r="S78" s="14"/>
      <c r="T78" s="14"/>
    </row>
    <row r="79" customFormat="false" ht="12.75" hidden="false" customHeight="false" outlineLevel="0" collapsed="false">
      <c r="C79" s="41"/>
      <c r="D79" s="42"/>
      <c r="E79" s="43"/>
      <c r="F79" s="38"/>
      <c r="G79" s="35"/>
      <c r="H79" s="38"/>
      <c r="I79" s="44"/>
      <c r="J79" s="38"/>
      <c r="K79" s="38"/>
      <c r="M79" s="14"/>
      <c r="N79" s="45"/>
      <c r="O79" s="14"/>
      <c r="P79" s="14"/>
      <c r="Q79" s="14"/>
      <c r="R79" s="14"/>
      <c r="S79" s="14"/>
      <c r="T79" s="14"/>
    </row>
    <row r="80" customFormat="false" ht="12.75" hidden="false" customHeight="false" outlineLevel="0" collapsed="false">
      <c r="A80" s="0" t="s">
        <v>110</v>
      </c>
      <c r="B80" s="0" t="s">
        <v>111</v>
      </c>
      <c r="C80" s="41" t="n">
        <v>243200</v>
      </c>
      <c r="E80" s="42" t="n">
        <v>0.1</v>
      </c>
      <c r="F80" s="38"/>
      <c r="G80" s="35" t="n">
        <v>7</v>
      </c>
      <c r="H80" s="38" t="n">
        <f aca="false">C80*E80*G80</f>
        <v>170240</v>
      </c>
      <c r="I80" s="44" t="n">
        <v>0.5</v>
      </c>
      <c r="J80" s="38" t="n">
        <f aca="false">I80*H80</f>
        <v>85120</v>
      </c>
      <c r="K80" s="38"/>
      <c r="M80" s="38"/>
      <c r="N80" s="38"/>
      <c r="O80" s="38"/>
      <c r="P80" s="38"/>
      <c r="Q80" s="38"/>
      <c r="R80" s="14"/>
      <c r="S80" s="45"/>
      <c r="T80" s="14"/>
    </row>
    <row r="81" customFormat="false" ht="12.75" hidden="false" customHeight="false" outlineLevel="0" collapsed="false">
      <c r="C81" s="41"/>
      <c r="D81" s="42"/>
      <c r="E81" s="43"/>
      <c r="F81" s="38"/>
      <c r="G81" s="35"/>
      <c r="H81" s="38"/>
      <c r="I81" s="59"/>
      <c r="J81" s="38"/>
      <c r="K81" s="38"/>
      <c r="M81" s="14"/>
      <c r="N81" s="14"/>
      <c r="O81" s="14"/>
      <c r="P81" s="14"/>
      <c r="Q81" s="14"/>
      <c r="R81" s="14"/>
      <c r="S81" s="14"/>
      <c r="T81" s="14"/>
    </row>
    <row r="82" customFormat="false" ht="12.75" hidden="false" customHeight="false" outlineLevel="0" collapsed="false">
      <c r="A82" s="0" t="s">
        <v>112</v>
      </c>
      <c r="B82" s="0" t="s">
        <v>113</v>
      </c>
      <c r="C82" s="41"/>
      <c r="D82" s="42"/>
      <c r="E82" s="43"/>
      <c r="F82" s="38"/>
      <c r="G82" s="35"/>
      <c r="H82" s="38"/>
      <c r="I82" s="44"/>
      <c r="J82" s="38" t="n">
        <v>700000</v>
      </c>
      <c r="K82" s="38"/>
      <c r="M82" s="14"/>
      <c r="N82" s="45"/>
      <c r="O82" s="14"/>
      <c r="P82" s="14"/>
      <c r="Q82" s="14"/>
      <c r="R82" s="14"/>
      <c r="S82" s="14"/>
      <c r="T82" s="14"/>
    </row>
    <row r="83" customFormat="false" ht="12.75" hidden="false" customHeight="false" outlineLevel="0" collapsed="false">
      <c r="C83" s="41"/>
      <c r="D83" s="42"/>
      <c r="E83" s="43"/>
      <c r="F83" s="38"/>
      <c r="G83" s="35"/>
      <c r="H83" s="38"/>
      <c r="I83" s="44"/>
      <c r="J83" s="38"/>
      <c r="K83" s="38"/>
      <c r="M83" s="14"/>
      <c r="N83" s="45"/>
      <c r="O83" s="14"/>
      <c r="P83" s="14"/>
      <c r="Q83" s="14"/>
      <c r="R83" s="14"/>
      <c r="S83" s="14"/>
      <c r="T83" s="14"/>
    </row>
    <row r="84" customFormat="false" ht="12.75" hidden="false" customHeight="false" outlineLevel="0" collapsed="false">
      <c r="C84" s="41"/>
      <c r="D84" s="41"/>
      <c r="E84" s="43"/>
      <c r="F84" s="38"/>
      <c r="G84" s="35"/>
      <c r="H84" s="38"/>
      <c r="I84" s="44"/>
      <c r="J84" s="38"/>
      <c r="K84" s="38"/>
      <c r="M84" s="14"/>
      <c r="N84" s="45"/>
      <c r="O84" s="14"/>
      <c r="P84" s="14"/>
      <c r="Q84" s="14"/>
      <c r="R84" s="14"/>
      <c r="S84" s="14"/>
      <c r="T84" s="14"/>
    </row>
    <row r="85" customFormat="false" ht="12.75" hidden="false" customHeight="false" outlineLevel="0" collapsed="false">
      <c r="C85" s="41"/>
      <c r="D85" s="41"/>
      <c r="E85" s="43"/>
      <c r="F85" s="38"/>
      <c r="G85" s="35"/>
      <c r="H85" s="38"/>
      <c r="I85" s="44"/>
      <c r="J85" s="38"/>
      <c r="K85" s="38"/>
      <c r="M85" s="14"/>
      <c r="N85" s="45"/>
      <c r="O85" s="14"/>
      <c r="P85" s="14"/>
      <c r="Q85" s="14"/>
      <c r="R85" s="14"/>
      <c r="S85" s="14"/>
      <c r="T85" s="14"/>
    </row>
    <row r="86" customFormat="false" ht="12.75" hidden="false" customHeight="false" outlineLevel="0" collapsed="false">
      <c r="C86" s="41"/>
      <c r="D86" s="41"/>
      <c r="E86" s="43"/>
      <c r="F86" s="38"/>
      <c r="G86" s="35"/>
      <c r="H86" s="38"/>
      <c r="I86" s="44"/>
      <c r="J86" s="38"/>
      <c r="K86" s="38"/>
      <c r="M86" s="14"/>
      <c r="N86" s="45"/>
      <c r="O86" s="14"/>
      <c r="P86" s="14"/>
      <c r="Q86" s="14"/>
      <c r="R86" s="14"/>
      <c r="S86" s="14"/>
      <c r="T86" s="14"/>
    </row>
    <row r="87" customFormat="false" ht="12.75" hidden="false" customHeight="false" outlineLevel="0" collapsed="false">
      <c r="E87" s="43"/>
      <c r="F87" s="38"/>
      <c r="H87" s="38"/>
      <c r="I87" s="59"/>
      <c r="J87" s="38"/>
      <c r="K87" s="38"/>
      <c r="M87" s="14"/>
      <c r="N87" s="14"/>
      <c r="O87" s="14"/>
      <c r="P87" s="14"/>
      <c r="Q87" s="14"/>
      <c r="R87" s="14"/>
      <c r="S87" s="14"/>
      <c r="T87" s="14"/>
    </row>
    <row r="88" customFormat="false" ht="13.5" hidden="false" customHeight="false" outlineLevel="0" collapsed="false">
      <c r="C88" s="63"/>
      <c r="D88" s="63"/>
      <c r="E88" s="43"/>
      <c r="F88" s="38"/>
      <c r="H88" s="64" t="n">
        <f aca="false">SUM(H58:H87)</f>
        <v>1769695.6</v>
      </c>
      <c r="I88" s="59"/>
      <c r="J88" s="60" t="n">
        <f aca="false">SUM(J58:J87)</f>
        <v>1125573</v>
      </c>
      <c r="K88" s="38"/>
      <c r="M88" s="38"/>
      <c r="N88" s="38"/>
      <c r="O88" s="38"/>
      <c r="P88" s="38"/>
      <c r="Q88" s="38"/>
      <c r="R88" s="14"/>
      <c r="S88" s="45"/>
      <c r="T88" s="14"/>
    </row>
    <row r="89" customFormat="false" ht="13.5" hidden="false" customHeight="false" outlineLevel="0" collapsed="false">
      <c r="C89" s="63"/>
      <c r="D89" s="63"/>
      <c r="E89" s="43"/>
      <c r="F89" s="38"/>
      <c r="H89" s="38"/>
      <c r="I89" s="59"/>
      <c r="J89" s="53"/>
      <c r="K89" s="38"/>
      <c r="M89" s="38"/>
      <c r="N89" s="38"/>
      <c r="O89" s="38"/>
      <c r="P89" s="38"/>
      <c r="Q89" s="38"/>
      <c r="R89" s="14"/>
      <c r="S89" s="45"/>
      <c r="T89" s="14"/>
    </row>
    <row r="90" customFormat="false" ht="12.75" hidden="false" customHeight="false" outlineLevel="0" collapsed="false">
      <c r="E90" s="43"/>
      <c r="F90" s="38"/>
      <c r="H90" s="38"/>
      <c r="I90" s="59"/>
      <c r="J90" s="38"/>
      <c r="K90" s="38"/>
      <c r="M90" s="14"/>
      <c r="N90" s="14"/>
      <c r="O90" s="14"/>
      <c r="P90" s="14"/>
      <c r="Q90" s="14"/>
      <c r="R90" s="14"/>
      <c r="S90" s="14"/>
      <c r="T90" s="14"/>
    </row>
    <row r="91" customFormat="false" ht="12.75" hidden="false" customHeight="false" outlineLevel="0" collapsed="false">
      <c r="A91" s="0" t="str">
        <f aca="true">CELL("filename")</f>
        <v>'file:///mnt/12tb/@roms/datasets/enron/EDRM Enron Email Data Set v2 XML/filtered-attachments/xls/2002_Plan_Contracted_uncontracted_stretch_9_21_01.xls'#$North by Risk Category </v>
      </c>
      <c r="E91" s="43"/>
      <c r="F91" s="38"/>
      <c r="G91" s="65"/>
      <c r="H91" s="66"/>
      <c r="I91" s="67"/>
      <c r="J91" s="68"/>
      <c r="K91" s="38"/>
      <c r="M91" s="14"/>
      <c r="N91" s="14"/>
      <c r="O91" s="14"/>
      <c r="P91" s="14"/>
      <c r="Q91" s="14"/>
      <c r="R91" s="14"/>
      <c r="S91" s="14"/>
      <c r="T91" s="14"/>
    </row>
    <row r="92" customFormat="false" ht="15.75" hidden="false" customHeight="false" outlineLevel="0" collapsed="false">
      <c r="E92" s="43"/>
      <c r="F92" s="38"/>
      <c r="G92" s="69"/>
      <c r="H92" s="70" t="s">
        <v>114</v>
      </c>
      <c r="I92" s="14"/>
      <c r="J92" s="71" t="n">
        <v>165313397</v>
      </c>
      <c r="K92" s="38"/>
      <c r="M92" s="38"/>
      <c r="N92" s="38"/>
      <c r="O92" s="38"/>
      <c r="P92" s="38"/>
      <c r="Q92" s="38"/>
      <c r="R92" s="41"/>
      <c r="S92" s="14"/>
      <c r="T92" s="14"/>
    </row>
    <row r="93" customFormat="false" ht="15.75" hidden="false" customHeight="false" outlineLevel="0" collapsed="false">
      <c r="E93" s="43"/>
      <c r="F93" s="38"/>
      <c r="G93" s="69"/>
      <c r="H93" s="72"/>
      <c r="I93" s="14"/>
      <c r="J93" s="71"/>
      <c r="K93" s="38"/>
      <c r="M93" s="38"/>
      <c r="N93" s="38"/>
      <c r="O93" s="38"/>
      <c r="P93" s="38"/>
      <c r="Q93" s="38"/>
      <c r="R93" s="41"/>
      <c r="S93" s="14"/>
      <c r="T93" s="14"/>
    </row>
    <row r="94" customFormat="false" ht="15.75" hidden="false" customHeight="false" outlineLevel="0" collapsed="false">
      <c r="E94" s="43"/>
      <c r="F94" s="38"/>
      <c r="G94" s="69"/>
      <c r="H94" s="72" t="s">
        <v>115</v>
      </c>
      <c r="I94" s="14"/>
      <c r="J94" s="71" t="n">
        <f aca="false">H53</f>
        <v>3025077.25</v>
      </c>
      <c r="K94" s="38"/>
      <c r="M94" s="38"/>
      <c r="N94" s="38"/>
      <c r="O94" s="38"/>
      <c r="P94" s="38"/>
      <c r="Q94" s="38"/>
      <c r="R94" s="41"/>
      <c r="S94" s="14"/>
      <c r="T94" s="14"/>
    </row>
    <row r="95" customFormat="false" ht="15.75" hidden="false" customHeight="false" outlineLevel="0" collapsed="false">
      <c r="E95" s="43"/>
      <c r="G95" s="69"/>
      <c r="H95" s="72"/>
      <c r="I95" s="14"/>
      <c r="J95" s="71"/>
      <c r="K95" s="38"/>
      <c r="M95" s="38"/>
      <c r="N95" s="38"/>
      <c r="O95" s="38"/>
      <c r="P95" s="38"/>
      <c r="Q95" s="38"/>
      <c r="R95" s="41"/>
      <c r="S95" s="14"/>
      <c r="T95" s="14"/>
    </row>
    <row r="96" customFormat="false" ht="15.75" hidden="false" customHeight="false" outlineLevel="0" collapsed="false">
      <c r="E96" s="43"/>
      <c r="G96" s="69"/>
      <c r="H96" s="72" t="s">
        <v>116</v>
      </c>
      <c r="I96" s="14"/>
      <c r="J96" s="71" t="n">
        <f aca="false">J88</f>
        <v>1125573</v>
      </c>
      <c r="K96" s="38"/>
      <c r="M96" s="38"/>
      <c r="N96" s="38"/>
      <c r="O96" s="38"/>
      <c r="P96" s="38"/>
      <c r="Q96" s="38"/>
      <c r="R96" s="41"/>
      <c r="S96" s="14"/>
      <c r="T96" s="14"/>
    </row>
    <row r="97" customFormat="false" ht="15.75" hidden="false" customHeight="false" outlineLevel="0" collapsed="false">
      <c r="E97" s="43"/>
      <c r="G97" s="69"/>
      <c r="H97" s="72"/>
      <c r="I97" s="14"/>
      <c r="J97" s="71"/>
      <c r="K97" s="38"/>
      <c r="M97" s="38"/>
      <c r="N97" s="38"/>
      <c r="O97" s="38"/>
      <c r="P97" s="38"/>
      <c r="Q97" s="38"/>
      <c r="R97" s="41"/>
      <c r="S97" s="14"/>
      <c r="T97" s="14"/>
    </row>
    <row r="98" customFormat="false" ht="15.75" hidden="false" customHeight="false" outlineLevel="0" collapsed="false">
      <c r="E98" s="43"/>
      <c r="G98" s="73"/>
      <c r="H98" s="74" t="s">
        <v>117</v>
      </c>
      <c r="I98" s="75"/>
      <c r="J98" s="76" t="n">
        <f aca="false">SUM(J92:J97)</f>
        <v>169464047.25</v>
      </c>
      <c r="K98" s="38"/>
      <c r="M98" s="38"/>
      <c r="N98" s="38"/>
      <c r="O98" s="38"/>
      <c r="P98" s="38"/>
      <c r="Q98" s="38"/>
      <c r="R98" s="41"/>
      <c r="S98" s="14"/>
      <c r="T98" s="14"/>
    </row>
    <row r="99" customFormat="false" ht="12.75" hidden="false" customHeight="false" outlineLevel="0" collapsed="false">
      <c r="E99" s="43"/>
      <c r="H99" s="38"/>
      <c r="I99" s="59"/>
      <c r="J99" s="38"/>
      <c r="K99" s="38"/>
      <c r="M99" s="14"/>
      <c r="N99" s="14"/>
      <c r="O99" s="14"/>
      <c r="P99" s="14"/>
      <c r="Q99" s="14"/>
      <c r="R99" s="41"/>
      <c r="S99" s="14"/>
      <c r="T99" s="14"/>
    </row>
    <row r="100" customFormat="false" ht="12.75" hidden="false" customHeight="false" outlineLevel="0" collapsed="false">
      <c r="I100" s="59"/>
    </row>
    <row r="101" customFormat="false" ht="12.75" hidden="false" customHeight="false" outlineLevel="0" collapsed="false">
      <c r="I101" s="59"/>
    </row>
    <row r="102" customFormat="false" ht="12.75" hidden="false" customHeight="false" outlineLevel="0" collapsed="false">
      <c r="I102" s="59"/>
    </row>
    <row r="103" customFormat="false" ht="12.75" hidden="false" customHeight="false" outlineLevel="0" collapsed="false">
      <c r="I103" s="59"/>
    </row>
    <row r="104" customFormat="false" ht="12.75" hidden="false" customHeight="false" outlineLevel="0" collapsed="false">
      <c r="I104" s="59"/>
    </row>
    <row r="105" customFormat="false" ht="12.75" hidden="false" customHeight="false" outlineLevel="0" collapsed="false">
      <c r="I105" s="59"/>
    </row>
    <row r="106" customFormat="false" ht="12.75" hidden="false" customHeight="false" outlineLevel="0" collapsed="false">
      <c r="I106" s="59"/>
    </row>
    <row r="107" customFormat="false" ht="12.75" hidden="false" customHeight="false" outlineLevel="0" collapsed="false">
      <c r="I107" s="59"/>
    </row>
    <row r="108" customFormat="false" ht="12.75" hidden="false" customHeight="false" outlineLevel="0" collapsed="false">
      <c r="I108" s="59"/>
    </row>
    <row r="109" customFormat="false" ht="12.75" hidden="false" customHeight="false" outlineLevel="0" collapsed="false">
      <c r="I109" s="59"/>
    </row>
    <row r="110" customFormat="false" ht="12.75" hidden="false" customHeight="false" outlineLevel="0" collapsed="false">
      <c r="I110" s="59"/>
    </row>
    <row r="111" customFormat="false" ht="12.75" hidden="false" customHeight="false" outlineLevel="0" collapsed="false">
      <c r="I111" s="59"/>
    </row>
    <row r="112" customFormat="false" ht="12.75" hidden="false" customHeight="false" outlineLevel="0" collapsed="false">
      <c r="I112" s="59"/>
    </row>
    <row r="113" customFormat="false" ht="12.75" hidden="false" customHeight="false" outlineLevel="0" collapsed="false">
      <c r="I113" s="59"/>
    </row>
    <row r="114" customFormat="false" ht="12.75" hidden="false" customHeight="false" outlineLevel="0" collapsed="false">
      <c r="I114" s="59"/>
    </row>
    <row r="115" customFormat="false" ht="12.75" hidden="false" customHeight="false" outlineLevel="0" collapsed="false">
      <c r="I115" s="59"/>
    </row>
    <row r="116" customFormat="false" ht="12.75" hidden="false" customHeight="false" outlineLevel="0" collapsed="false">
      <c r="I116" s="59"/>
    </row>
    <row r="117" customFormat="false" ht="12.75" hidden="false" customHeight="false" outlineLevel="0" collapsed="false">
      <c r="I117" s="59"/>
    </row>
    <row r="118" customFormat="false" ht="12.75" hidden="false" customHeight="false" outlineLevel="0" collapsed="false">
      <c r="I118" s="59"/>
    </row>
    <row r="119" customFormat="false" ht="12.75" hidden="false" customHeight="false" outlineLevel="0" collapsed="false">
      <c r="I119" s="59"/>
    </row>
    <row r="120" customFormat="false" ht="12.75" hidden="false" customHeight="false" outlineLevel="0" collapsed="false">
      <c r="I120" s="59"/>
    </row>
    <row r="121" customFormat="false" ht="12.75" hidden="false" customHeight="false" outlineLevel="0" collapsed="false">
      <c r="I121" s="59"/>
    </row>
    <row r="122" customFormat="false" ht="12.75" hidden="false" customHeight="false" outlineLevel="0" collapsed="false">
      <c r="I122" s="59"/>
    </row>
    <row r="123" customFormat="false" ht="12.75" hidden="false" customHeight="false" outlineLevel="0" collapsed="false">
      <c r="I123" s="59"/>
    </row>
    <row r="124" customFormat="false" ht="12.75" hidden="false" customHeight="false" outlineLevel="0" collapsed="false">
      <c r="I124" s="59"/>
    </row>
    <row r="125" customFormat="false" ht="12.75" hidden="false" customHeight="false" outlineLevel="0" collapsed="false">
      <c r="I125" s="59"/>
    </row>
    <row r="126" customFormat="false" ht="12.75" hidden="false" customHeight="false" outlineLevel="0" collapsed="false">
      <c r="I126" s="59"/>
    </row>
    <row r="127" customFormat="false" ht="12.75" hidden="false" customHeight="false" outlineLevel="0" collapsed="false">
      <c r="I127" s="59"/>
    </row>
    <row r="128" customFormat="false" ht="12.75" hidden="false" customHeight="false" outlineLevel="0" collapsed="false">
      <c r="I128" s="59"/>
    </row>
  </sheetData>
  <mergeCells count="4">
    <mergeCell ref="A1:K1"/>
    <mergeCell ref="A2:K2"/>
    <mergeCell ref="A10:K10"/>
    <mergeCell ref="A56:K56"/>
  </mergeCells>
  <printOptions headings="false" gridLines="false" gridLinesSet="true" horizontalCentered="false" verticalCentered="false"/>
  <pageMargins left="0" right="0" top="0.3" bottom="0.290277777777778" header="0.511811023622047" footer="0.2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
&amp;T&amp;CPage &amp;P of &amp;N&amp;R&amp;F
&amp;A</oddFooter>
  </headerFooter>
  <rowBreaks count="1" manualBreakCount="1">
    <brk id="54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69"/>
  <sheetViews>
    <sheetView showFormulas="false" showGridLines="true" showRowColHeaders="true" showZeros="true" rightToLeft="false" tabSelected="false" showOutlineSymbols="true" defaultGridColor="true" view="normal" topLeftCell="B66" colorId="64" zoomScale="60" zoomScaleNormal="6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1" min="1" style="0" width="9.06"/>
    <col collapsed="false" customWidth="true" hidden="false" outlineLevel="0" max="2" min="2" style="0" width="16.42"/>
    <col collapsed="false" customWidth="true" hidden="false" outlineLevel="0" max="3" min="3" style="0" width="45.99"/>
    <col collapsed="false" customWidth="true" hidden="false" outlineLevel="0" max="5" min="4" style="0" width="10.28"/>
    <col collapsed="false" customWidth="true" hidden="false" outlineLevel="0" max="6" min="6" style="0" width="10.41"/>
    <col collapsed="false" customWidth="true" hidden="false" outlineLevel="0" max="7" min="7" style="0" width="12.28"/>
    <col collapsed="false" customWidth="true" hidden="false" outlineLevel="0" max="9" min="9" style="0" width="18.7"/>
    <col collapsed="false" customWidth="true" hidden="false" outlineLevel="0" max="10" min="10" style="0" width="11.99"/>
    <col collapsed="false" customWidth="true" hidden="false" outlineLevel="0" max="11" min="11" style="0" width="19.7"/>
    <col collapsed="false" customWidth="true" hidden="false" outlineLevel="0" max="12" min="12" style="0" width="41.99"/>
    <col collapsed="false" customWidth="true" hidden="false" outlineLevel="0" max="13" min="13" style="0" width="2.42"/>
    <col collapsed="false" customWidth="true" hidden="false" outlineLevel="0" max="15" min="14" style="0" width="12.85"/>
    <col collapsed="false" customWidth="true" hidden="false" outlineLevel="0" max="16" min="16" style="0" width="12.7"/>
    <col collapsed="false" customWidth="true" hidden="false" outlineLevel="0" max="18" min="17" style="0" width="12.85"/>
    <col collapsed="false" customWidth="true" hidden="false" outlineLevel="0" max="19" min="19" style="0" width="14.28"/>
    <col collapsed="false" customWidth="true" hidden="false" outlineLevel="0" max="20" min="20" style="0" width="11.28"/>
  </cols>
  <sheetData>
    <row r="1" customFormat="false" ht="26.25" hidden="false" customHeight="false" outlineLevel="0" collapsed="false">
      <c r="B1" s="34" t="s">
        <v>118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customFormat="false" ht="15.75" hidden="false" customHeight="false" outlineLevel="0" collapsed="false">
      <c r="B2" s="11" t="s">
        <v>45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3" customFormat="false" ht="12.75" hidden="false" customHeight="false" outlineLevel="0" collapsed="false">
      <c r="C3" s="16"/>
    </row>
    <row r="4" customFormat="false" ht="12.75" hidden="false" customHeight="false" outlineLevel="0" collapsed="false">
      <c r="N4" s="14"/>
      <c r="O4" s="14"/>
      <c r="P4" s="14"/>
      <c r="Q4" s="14"/>
      <c r="R4" s="14"/>
      <c r="S4" s="14"/>
      <c r="T4" s="14"/>
      <c r="U4" s="14"/>
    </row>
    <row r="5" customFormat="false" ht="12.75" hidden="false" customHeight="false" outlineLevel="0" collapsed="false">
      <c r="B5" s="35"/>
      <c r="C5" s="35"/>
      <c r="D5" s="35"/>
      <c r="E5" s="35"/>
      <c r="F5" s="35" t="s">
        <v>46</v>
      </c>
      <c r="G5" s="35" t="s">
        <v>46</v>
      </c>
      <c r="H5" s="35"/>
      <c r="I5" s="35" t="s">
        <v>5</v>
      </c>
      <c r="J5" s="36" t="s">
        <v>47</v>
      </c>
      <c r="K5" s="35" t="s">
        <v>48</v>
      </c>
      <c r="L5" s="35"/>
      <c r="N5" s="14"/>
      <c r="O5" s="14"/>
      <c r="P5" s="14"/>
      <c r="Q5" s="14"/>
      <c r="R5" s="14"/>
      <c r="S5" s="14"/>
      <c r="T5" s="14"/>
      <c r="U5" s="14"/>
    </row>
    <row r="6" customFormat="false" ht="12.75" hidden="false" customHeight="false" outlineLevel="0" collapsed="false">
      <c r="B6" s="37" t="s">
        <v>49</v>
      </c>
      <c r="C6" s="37" t="s">
        <v>50</v>
      </c>
      <c r="D6" s="37" t="s">
        <v>51</v>
      </c>
      <c r="E6" s="37" t="s">
        <v>52</v>
      </c>
      <c r="F6" s="37" t="s">
        <v>52</v>
      </c>
      <c r="G6" s="37" t="s">
        <v>6</v>
      </c>
      <c r="H6" s="37" t="s">
        <v>53</v>
      </c>
      <c r="I6" s="37" t="s">
        <v>6</v>
      </c>
      <c r="J6" s="37" t="s">
        <v>54</v>
      </c>
      <c r="K6" s="37" t="s">
        <v>6</v>
      </c>
      <c r="L6" s="37" t="s">
        <v>55</v>
      </c>
      <c r="N6" s="36"/>
      <c r="O6" s="36"/>
      <c r="P6" s="36"/>
      <c r="Q6" s="36"/>
      <c r="R6" s="36"/>
      <c r="S6" s="14"/>
      <c r="T6" s="14"/>
      <c r="U6" s="14"/>
    </row>
    <row r="7" customFormat="false" ht="9.75" hidden="false" customHeight="true" outlineLevel="0" collapsed="false">
      <c r="G7" s="38"/>
      <c r="K7" s="38"/>
      <c r="L7" s="38"/>
      <c r="N7" s="14"/>
      <c r="O7" s="14"/>
      <c r="P7" s="14"/>
      <c r="Q7" s="14"/>
      <c r="R7" s="14"/>
      <c r="S7" s="14"/>
      <c r="T7" s="14"/>
      <c r="U7" s="14"/>
    </row>
    <row r="8" customFormat="false" ht="20.25" hidden="false" customHeight="false" outlineLevel="0" collapsed="false">
      <c r="B8" s="39" t="s">
        <v>56</v>
      </c>
      <c r="C8" s="39"/>
      <c r="D8" s="39"/>
      <c r="E8" s="39"/>
      <c r="F8" s="39"/>
      <c r="G8" s="39"/>
      <c r="H8" s="39"/>
      <c r="I8" s="39"/>
      <c r="J8" s="39"/>
      <c r="K8" s="39"/>
      <c r="L8" s="39"/>
      <c r="N8" s="14"/>
      <c r="O8" s="14"/>
      <c r="P8" s="14"/>
      <c r="Q8" s="14"/>
      <c r="R8" s="14"/>
      <c r="S8" s="14"/>
      <c r="T8" s="14"/>
      <c r="U8" s="14"/>
    </row>
    <row r="9" customFormat="false" ht="12" hidden="false" customHeight="true" outlineLevel="0" collapsed="false">
      <c r="C9" s="77" t="s">
        <v>119</v>
      </c>
      <c r="G9" s="38"/>
      <c r="K9" s="38"/>
      <c r="L9" s="38"/>
      <c r="N9" s="14"/>
      <c r="O9" s="14"/>
      <c r="P9" s="14"/>
      <c r="Q9" s="14"/>
      <c r="R9" s="14"/>
      <c r="S9" s="14"/>
      <c r="T9" s="14"/>
      <c r="U9" s="14"/>
    </row>
    <row r="10" customFormat="false" ht="12" hidden="false" customHeight="true" outlineLevel="0" collapsed="false">
      <c r="G10" s="38"/>
      <c r="K10" s="38"/>
      <c r="L10" s="38"/>
      <c r="N10" s="14"/>
      <c r="O10" s="14"/>
      <c r="P10" s="14"/>
      <c r="Q10" s="14"/>
      <c r="R10" s="14"/>
      <c r="S10" s="14"/>
      <c r="T10" s="14"/>
      <c r="U10" s="14"/>
    </row>
    <row r="11" customFormat="false" ht="12.75" hidden="false" customHeight="false" outlineLevel="0" collapsed="false">
      <c r="A11" s="0" t="s">
        <v>120</v>
      </c>
      <c r="B11" s="0" t="s">
        <v>93</v>
      </c>
      <c r="C11" s="20" t="s">
        <v>121</v>
      </c>
      <c r="D11" s="41" t="n">
        <v>30000</v>
      </c>
      <c r="E11" s="42" t="n">
        <v>0.06</v>
      </c>
      <c r="F11" s="43" t="n">
        <f aca="false">+E11*30.4</f>
        <v>1.824</v>
      </c>
      <c r="G11" s="38" t="n">
        <f aca="false">+F11*D11</f>
        <v>54720</v>
      </c>
      <c r="H11" s="35" t="n">
        <v>7</v>
      </c>
      <c r="I11" s="38" t="n">
        <f aca="false">+H11*G11</f>
        <v>383040</v>
      </c>
      <c r="J11" s="44"/>
      <c r="K11" s="38"/>
      <c r="L11" s="38" t="s">
        <v>122</v>
      </c>
      <c r="N11" s="47"/>
      <c r="O11" s="45"/>
      <c r="P11" s="14"/>
      <c r="Q11" s="14"/>
      <c r="R11" s="14"/>
      <c r="S11" s="14"/>
      <c r="T11" s="14"/>
      <c r="U11" s="14"/>
    </row>
    <row r="12" customFormat="false" ht="12.75" hidden="false" customHeight="false" outlineLevel="0" collapsed="false">
      <c r="A12" s="0" t="s">
        <v>123</v>
      </c>
      <c r="C12" s="20" t="s">
        <v>124</v>
      </c>
      <c r="D12" s="41" t="n">
        <v>20000</v>
      </c>
      <c r="E12" s="78"/>
      <c r="F12" s="43"/>
      <c r="G12" s="38"/>
      <c r="H12" s="35"/>
      <c r="I12" s="38"/>
      <c r="J12" s="44"/>
      <c r="K12" s="38"/>
      <c r="L12" s="38"/>
      <c r="N12" s="47"/>
      <c r="O12" s="45"/>
      <c r="P12" s="14"/>
      <c r="Q12" s="14"/>
      <c r="R12" s="14"/>
      <c r="S12" s="14"/>
      <c r="T12" s="14"/>
      <c r="U12" s="14"/>
    </row>
    <row r="13" customFormat="false" ht="12.75" hidden="false" customHeight="false" outlineLevel="0" collapsed="false">
      <c r="I13" s="79"/>
      <c r="J13" s="80"/>
      <c r="K13" s="38"/>
      <c r="L13" s="38"/>
      <c r="N13" s="47"/>
      <c r="O13" s="14"/>
      <c r="P13" s="14"/>
      <c r="Q13" s="14"/>
      <c r="R13" s="14"/>
      <c r="S13" s="14"/>
      <c r="T13" s="14"/>
      <c r="U13" s="14"/>
    </row>
    <row r="14" customFormat="false" ht="12.75" hidden="false" customHeight="false" outlineLevel="0" collapsed="false">
      <c r="D14" s="41"/>
      <c r="E14" s="41"/>
      <c r="F14" s="43"/>
      <c r="G14" s="38"/>
      <c r="H14" s="35"/>
      <c r="I14" s="38"/>
      <c r="J14" s="44"/>
      <c r="K14" s="38"/>
      <c r="L14" s="38"/>
      <c r="N14" s="47"/>
      <c r="O14" s="14"/>
      <c r="P14" s="14"/>
      <c r="Q14" s="14"/>
      <c r="R14" s="14"/>
      <c r="S14" s="14"/>
      <c r="T14" s="14"/>
      <c r="U14" s="14"/>
    </row>
    <row r="15" customFormat="false" ht="12.75" hidden="false" customHeight="false" outlineLevel="0" collapsed="false">
      <c r="A15" s="0" t="s">
        <v>125</v>
      </c>
      <c r="B15" s="0" t="s">
        <v>93</v>
      </c>
      <c r="C15" s="0" t="s">
        <v>126</v>
      </c>
      <c r="D15" s="41" t="n">
        <v>5000</v>
      </c>
      <c r="E15" s="42" t="n">
        <v>0.14</v>
      </c>
      <c r="F15" s="50" t="n">
        <f aca="false">+E15*30.4</f>
        <v>4.256</v>
      </c>
      <c r="G15" s="38" t="n">
        <f aca="false">+F15*D15</f>
        <v>21280</v>
      </c>
      <c r="H15" s="35" t="n">
        <v>7</v>
      </c>
      <c r="I15" s="38" t="n">
        <f aca="false">+H15*G15</f>
        <v>148960</v>
      </c>
      <c r="J15" s="44"/>
      <c r="K15" s="38"/>
      <c r="L15" s="38" t="s">
        <v>127</v>
      </c>
      <c r="N15" s="47"/>
      <c r="O15" s="45"/>
      <c r="P15" s="14"/>
      <c r="Q15" s="14"/>
      <c r="R15" s="14"/>
      <c r="S15" s="14"/>
      <c r="T15" s="14"/>
      <c r="U15" s="14"/>
    </row>
    <row r="16" customFormat="false" ht="12.75" hidden="false" customHeight="false" outlineLevel="0" collapsed="false">
      <c r="C16" s="0" t="s">
        <v>128</v>
      </c>
      <c r="D16" s="41" t="n">
        <v>10000</v>
      </c>
      <c r="E16" s="42" t="n">
        <v>0.06</v>
      </c>
      <c r="F16" s="50" t="n">
        <f aca="false">+E16*30.4</f>
        <v>1.824</v>
      </c>
      <c r="G16" s="38" t="n">
        <f aca="false">+F16*D16</f>
        <v>18240</v>
      </c>
      <c r="H16" s="35" t="n">
        <v>7</v>
      </c>
      <c r="I16" s="38" t="n">
        <f aca="false">+H16*G16</f>
        <v>127680</v>
      </c>
      <c r="J16" s="44"/>
      <c r="K16" s="38"/>
      <c r="L16" s="38" t="s">
        <v>122</v>
      </c>
      <c r="N16" s="47"/>
      <c r="O16" s="45"/>
      <c r="P16" s="14"/>
      <c r="Q16" s="14"/>
      <c r="R16" s="14"/>
      <c r="S16" s="14"/>
      <c r="T16" s="14"/>
      <c r="U16" s="14"/>
    </row>
    <row r="17" customFormat="false" ht="12.75" hidden="false" customHeight="false" outlineLevel="0" collapsed="false">
      <c r="I17" s="79"/>
      <c r="J17" s="80"/>
      <c r="K17" s="38"/>
      <c r="L17" s="38"/>
      <c r="N17" s="47"/>
      <c r="O17" s="45"/>
      <c r="P17" s="14"/>
      <c r="Q17" s="14"/>
      <c r="R17" s="14"/>
      <c r="S17" s="14"/>
      <c r="T17" s="14"/>
      <c r="U17" s="14"/>
    </row>
    <row r="18" customFormat="false" ht="12.75" hidden="false" customHeight="false" outlineLevel="0" collapsed="false">
      <c r="A18" s="0" t="s">
        <v>129</v>
      </c>
      <c r="B18" s="0" t="s">
        <v>130</v>
      </c>
      <c r="C18" s="0" t="s">
        <v>131</v>
      </c>
      <c r="D18" s="41" t="n">
        <v>10000</v>
      </c>
      <c r="E18" s="46" t="n">
        <v>0.16</v>
      </c>
      <c r="F18" s="43" t="n">
        <f aca="false">+E18*30.4</f>
        <v>4.864</v>
      </c>
      <c r="G18" s="38" t="n">
        <f aca="false">+F18*D18</f>
        <v>48640</v>
      </c>
      <c r="H18" s="35" t="n">
        <v>5</v>
      </c>
      <c r="I18" s="38" t="n">
        <f aca="false">+H18*G18</f>
        <v>243200</v>
      </c>
      <c r="J18" s="44"/>
      <c r="K18" s="38"/>
      <c r="L18" s="38"/>
      <c r="N18" s="14"/>
      <c r="O18" s="14"/>
      <c r="P18" s="14"/>
      <c r="Q18" s="14"/>
      <c r="R18" s="14"/>
      <c r="S18" s="14"/>
      <c r="T18" s="14"/>
      <c r="U18" s="14"/>
    </row>
    <row r="19" customFormat="false" ht="12.75" hidden="false" customHeight="false" outlineLevel="0" collapsed="false">
      <c r="D19" s="41"/>
      <c r="E19" s="46"/>
      <c r="F19" s="43"/>
      <c r="G19" s="38"/>
      <c r="H19" s="35"/>
      <c r="I19" s="38"/>
      <c r="J19" s="44"/>
      <c r="K19" s="38"/>
      <c r="L19" s="38"/>
      <c r="N19" s="14"/>
      <c r="O19" s="14"/>
      <c r="P19" s="14"/>
      <c r="Q19" s="14"/>
      <c r="R19" s="14"/>
      <c r="S19" s="14"/>
      <c r="T19" s="14"/>
      <c r="U19" s="14"/>
    </row>
    <row r="20" customFormat="false" ht="12.75" hidden="false" customHeight="false" outlineLevel="0" collapsed="false">
      <c r="A20" s="0" t="s">
        <v>132</v>
      </c>
      <c r="B20" s="0" t="s">
        <v>133</v>
      </c>
      <c r="C20" s="81" t="s">
        <v>134</v>
      </c>
      <c r="D20" s="41" t="n">
        <v>8000</v>
      </c>
      <c r="E20" s="82" t="n">
        <f aca="false">+F20/30.4</f>
        <v>0.39671052631579</v>
      </c>
      <c r="F20" s="43" t="n">
        <v>12.06</v>
      </c>
      <c r="G20" s="38" t="n">
        <f aca="false">+F20*D20</f>
        <v>96480</v>
      </c>
      <c r="H20" s="35" t="n">
        <v>5</v>
      </c>
      <c r="I20" s="83" t="n">
        <f aca="false">+H20*G20</f>
        <v>482400</v>
      </c>
      <c r="J20" s="59"/>
      <c r="K20" s="84"/>
      <c r="L20" s="38"/>
      <c r="N20" s="38"/>
      <c r="O20" s="38"/>
      <c r="P20" s="38"/>
      <c r="Q20" s="38"/>
      <c r="R20" s="38"/>
      <c r="S20" s="14"/>
      <c r="T20" s="45"/>
      <c r="U20" s="14"/>
    </row>
    <row r="21" customFormat="false" ht="12.75" hidden="false" customHeight="false" outlineLevel="0" collapsed="false">
      <c r="C21" s="20"/>
      <c r="D21" s="41"/>
      <c r="E21" s="41"/>
      <c r="F21" s="43"/>
      <c r="G21" s="38"/>
      <c r="H21" s="35" t="s">
        <v>135</v>
      </c>
      <c r="I21" s="38" t="n">
        <f aca="false">SUM(I11:I20)</f>
        <v>1385280</v>
      </c>
      <c r="J21" s="44"/>
      <c r="K21" s="38"/>
      <c r="L21" s="38"/>
      <c r="N21" s="47"/>
      <c r="O21" s="45"/>
      <c r="P21" s="14"/>
      <c r="Q21" s="14"/>
      <c r="R21" s="14"/>
      <c r="S21" s="14"/>
      <c r="T21" s="14"/>
      <c r="U21" s="14"/>
    </row>
    <row r="22" customFormat="false" ht="12.75" hidden="false" customHeight="false" outlineLevel="0" collapsed="false">
      <c r="C22" s="77" t="s">
        <v>136</v>
      </c>
      <c r="D22" s="41"/>
      <c r="E22" s="41"/>
      <c r="F22" s="43"/>
      <c r="G22" s="38"/>
      <c r="H22" s="35"/>
      <c r="I22" s="38"/>
      <c r="J22" s="44"/>
      <c r="K22" s="38"/>
      <c r="L22" s="38"/>
      <c r="N22" s="47"/>
      <c r="O22" s="45"/>
      <c r="P22" s="14"/>
      <c r="Q22" s="14"/>
      <c r="R22" s="14"/>
      <c r="S22" s="14"/>
      <c r="T22" s="14"/>
      <c r="U22" s="14"/>
    </row>
    <row r="23" customFormat="false" ht="12.75" hidden="false" customHeight="false" outlineLevel="0" collapsed="false">
      <c r="C23" s="20"/>
      <c r="D23" s="41"/>
      <c r="E23" s="41"/>
      <c r="F23" s="43"/>
      <c r="G23" s="38"/>
      <c r="H23" s="35"/>
      <c r="I23" s="38"/>
      <c r="J23" s="44"/>
      <c r="K23" s="38"/>
      <c r="L23" s="38"/>
      <c r="N23" s="47"/>
      <c r="O23" s="45"/>
      <c r="P23" s="14"/>
      <c r="Q23" s="14"/>
      <c r="R23" s="14"/>
      <c r="S23" s="14"/>
      <c r="T23" s="14"/>
      <c r="U23" s="14"/>
    </row>
    <row r="24" customFormat="false" ht="12.75" hidden="false" customHeight="false" outlineLevel="0" collapsed="false">
      <c r="A24" s="0" t="s">
        <v>137</v>
      </c>
      <c r="B24" s="0" t="s">
        <v>130</v>
      </c>
      <c r="C24" s="20" t="s">
        <v>138</v>
      </c>
      <c r="D24" s="41" t="n">
        <v>50000</v>
      </c>
      <c r="E24" s="42" t="n">
        <f aca="false">+F24/30.4</f>
        <v>0.0986842105263158</v>
      </c>
      <c r="F24" s="43" t="n">
        <v>3</v>
      </c>
      <c r="G24" s="38" t="n">
        <f aca="false">+F24*D24</f>
        <v>150000</v>
      </c>
      <c r="H24" s="35" t="n">
        <v>5</v>
      </c>
      <c r="I24" s="38" t="n">
        <f aca="false">+H24*G24</f>
        <v>750000</v>
      </c>
      <c r="J24" s="44"/>
      <c r="K24" s="38"/>
      <c r="L24" s="38"/>
      <c r="N24" s="47"/>
      <c r="O24" s="45"/>
      <c r="P24" s="14"/>
      <c r="Q24" s="14"/>
      <c r="R24" s="14"/>
      <c r="S24" s="14"/>
      <c r="T24" s="14"/>
      <c r="U24" s="14"/>
    </row>
    <row r="25" customFormat="false" ht="12.75" hidden="false" customHeight="false" outlineLevel="0" collapsed="false">
      <c r="C25" s="20"/>
      <c r="D25" s="41"/>
      <c r="E25" s="41"/>
      <c r="F25" s="43"/>
      <c r="G25" s="38"/>
      <c r="H25" s="35"/>
      <c r="I25" s="38"/>
      <c r="J25" s="44"/>
      <c r="K25" s="38"/>
      <c r="L25" s="38"/>
      <c r="N25" s="47"/>
      <c r="O25" s="45"/>
      <c r="P25" s="14"/>
      <c r="Q25" s="14"/>
      <c r="R25" s="14"/>
      <c r="S25" s="14"/>
      <c r="T25" s="14"/>
      <c r="U25" s="14"/>
    </row>
    <row r="26" customFormat="false" ht="12.75" hidden="false" customHeight="false" outlineLevel="0" collapsed="false">
      <c r="A26" s="0" t="s">
        <v>139</v>
      </c>
      <c r="B26" s="0" t="s">
        <v>140</v>
      </c>
      <c r="C26" s="20" t="s">
        <v>141</v>
      </c>
      <c r="D26" s="41" t="n">
        <v>20000</v>
      </c>
      <c r="E26" s="43" t="n">
        <v>0.06</v>
      </c>
      <c r="F26" s="43" t="n">
        <f aca="false">+E26*30.4</f>
        <v>1.824</v>
      </c>
      <c r="G26" s="38" t="n">
        <f aca="false">+F26*D26</f>
        <v>36480</v>
      </c>
      <c r="H26" s="35" t="n">
        <v>7</v>
      </c>
      <c r="I26" s="38" t="n">
        <f aca="false">+H26*G26</f>
        <v>255360</v>
      </c>
      <c r="J26" s="44"/>
      <c r="K26" s="38"/>
      <c r="L26" s="38" t="s">
        <v>142</v>
      </c>
      <c r="N26" s="47"/>
      <c r="O26" s="45"/>
      <c r="P26" s="14"/>
      <c r="Q26" s="14"/>
      <c r="R26" s="14"/>
      <c r="S26" s="14"/>
      <c r="T26" s="14"/>
      <c r="U26" s="14"/>
    </row>
    <row r="27" customFormat="false" ht="12.75" hidden="false" customHeight="false" outlineLevel="0" collapsed="false">
      <c r="A27" s="0" t="s">
        <v>143</v>
      </c>
      <c r="C27" s="20" t="s">
        <v>144</v>
      </c>
      <c r="D27" s="41" t="n">
        <v>20000</v>
      </c>
      <c r="E27" s="42" t="n">
        <v>0.0151</v>
      </c>
      <c r="F27" s="43" t="n">
        <f aca="false">+E27*30.4</f>
        <v>0.45904</v>
      </c>
      <c r="G27" s="38" t="n">
        <f aca="false">+F27*D27</f>
        <v>9180.8</v>
      </c>
      <c r="H27" s="35" t="n">
        <v>2</v>
      </c>
      <c r="I27" s="38" t="n">
        <f aca="false">+H27*G27+2</f>
        <v>18363.6</v>
      </c>
      <c r="J27" s="80"/>
      <c r="K27" s="38"/>
      <c r="L27" s="38" t="s">
        <v>145</v>
      </c>
      <c r="N27" s="47"/>
      <c r="O27" s="45"/>
      <c r="P27" s="14"/>
      <c r="Q27" s="14"/>
      <c r="R27" s="14"/>
      <c r="S27" s="14"/>
      <c r="T27" s="14"/>
      <c r="U27" s="14"/>
    </row>
    <row r="28" customFormat="false" ht="12.75" hidden="false" customHeight="false" outlineLevel="0" collapsed="false">
      <c r="C28" s="20"/>
      <c r="D28" s="41"/>
      <c r="E28" s="41"/>
      <c r="F28" s="43"/>
      <c r="G28" s="38"/>
      <c r="H28" s="35"/>
      <c r="I28" s="38"/>
      <c r="J28" s="44"/>
      <c r="K28" s="38"/>
      <c r="L28" s="38"/>
      <c r="N28" s="47"/>
      <c r="O28" s="45"/>
      <c r="P28" s="14"/>
      <c r="Q28" s="14"/>
      <c r="R28" s="14"/>
      <c r="S28" s="14"/>
      <c r="T28" s="14"/>
      <c r="U28" s="14"/>
    </row>
    <row r="29" customFormat="false" ht="12.75" hidden="false" customHeight="false" outlineLevel="0" collapsed="false">
      <c r="A29" s="0" t="s">
        <v>146</v>
      </c>
      <c r="B29" s="0" t="s">
        <v>140</v>
      </c>
      <c r="C29" s="20" t="s">
        <v>147</v>
      </c>
      <c r="D29" s="41" t="n">
        <v>18600</v>
      </c>
      <c r="E29" s="42" t="n">
        <v>0.0151</v>
      </c>
      <c r="F29" s="43" t="n">
        <f aca="false">+E29*30.4</f>
        <v>0.45904</v>
      </c>
      <c r="G29" s="38" t="n">
        <f aca="false">+F29*D29</f>
        <v>8538.144</v>
      </c>
      <c r="H29" s="35" t="n">
        <v>2</v>
      </c>
      <c r="I29" s="38" t="n">
        <f aca="false">+H29*G29+2</f>
        <v>17078.288</v>
      </c>
      <c r="J29" s="44"/>
      <c r="K29" s="38"/>
      <c r="L29" s="38" t="s">
        <v>148</v>
      </c>
      <c r="N29" s="47"/>
      <c r="O29" s="45"/>
      <c r="P29" s="14"/>
      <c r="Q29" s="14"/>
      <c r="R29" s="14"/>
      <c r="S29" s="14"/>
      <c r="T29" s="14"/>
      <c r="U29" s="14"/>
    </row>
    <row r="30" customFormat="false" ht="12.75" hidden="false" customHeight="false" outlineLevel="0" collapsed="false">
      <c r="C30" s="20"/>
      <c r="D30" s="41"/>
      <c r="E30" s="42"/>
      <c r="F30" s="43"/>
      <c r="G30" s="38"/>
      <c r="H30" s="35"/>
      <c r="I30" s="38"/>
      <c r="J30" s="44"/>
      <c r="K30" s="38"/>
      <c r="L30" s="38"/>
      <c r="N30" s="47"/>
      <c r="O30" s="45"/>
      <c r="P30" s="14"/>
      <c r="Q30" s="14"/>
      <c r="R30" s="14"/>
      <c r="S30" s="14"/>
      <c r="T30" s="14"/>
      <c r="U30" s="14"/>
    </row>
    <row r="31" customFormat="false" ht="12.75" hidden="false" customHeight="false" outlineLevel="0" collapsed="false">
      <c r="A31" s="0" t="s">
        <v>149</v>
      </c>
      <c r="B31" s="0" t="s">
        <v>150</v>
      </c>
      <c r="C31" s="20" t="s">
        <v>151</v>
      </c>
      <c r="D31" s="41" t="n">
        <f aca="false">17882+6847</f>
        <v>24729</v>
      </c>
      <c r="E31" s="42" t="n">
        <f aca="false">+F31/30.4</f>
        <v>0.197368421052632</v>
      </c>
      <c r="F31" s="43" t="n">
        <v>6</v>
      </c>
      <c r="G31" s="38" t="n">
        <f aca="false">+F31*D31</f>
        <v>148374</v>
      </c>
      <c r="H31" s="35" t="n">
        <v>2</v>
      </c>
      <c r="I31" s="38" t="n">
        <f aca="false">+H31*G31</f>
        <v>296748</v>
      </c>
      <c r="J31" s="44"/>
      <c r="K31" s="38"/>
      <c r="L31" s="38" t="s">
        <v>152</v>
      </c>
      <c r="N31" s="47"/>
      <c r="O31" s="45"/>
      <c r="P31" s="14"/>
      <c r="Q31" s="14"/>
      <c r="R31" s="14"/>
      <c r="S31" s="14"/>
      <c r="T31" s="14"/>
      <c r="U31" s="14"/>
    </row>
    <row r="32" customFormat="false" ht="12.75" hidden="false" customHeight="false" outlineLevel="0" collapsed="false">
      <c r="C32" s="20"/>
      <c r="D32" s="41"/>
      <c r="E32" s="42"/>
      <c r="F32" s="43"/>
      <c r="G32" s="38"/>
      <c r="H32" s="35"/>
      <c r="I32" s="38"/>
      <c r="J32" s="44"/>
      <c r="K32" s="38"/>
      <c r="L32" s="38"/>
      <c r="N32" s="47"/>
      <c r="O32" s="45"/>
      <c r="P32" s="14"/>
      <c r="Q32" s="14"/>
      <c r="R32" s="14"/>
      <c r="S32" s="14"/>
      <c r="T32" s="14"/>
      <c r="U32" s="14"/>
    </row>
    <row r="33" customFormat="false" ht="12.75" hidden="false" customHeight="false" outlineLevel="0" collapsed="false">
      <c r="A33" s="0" t="s">
        <v>153</v>
      </c>
      <c r="B33" s="0" t="s">
        <v>154</v>
      </c>
      <c r="C33" s="0" t="s">
        <v>155</v>
      </c>
      <c r="D33" s="41" t="n">
        <v>5000</v>
      </c>
      <c r="E33" s="82" t="n">
        <f aca="false">+F33/30.4</f>
        <v>0.105554511278195</v>
      </c>
      <c r="F33" s="43" t="n">
        <f aca="false">+G33/D33</f>
        <v>3.20885714285714</v>
      </c>
      <c r="G33" s="38" t="n">
        <f aca="false">+I33/H33</f>
        <v>16044.2857142857</v>
      </c>
      <c r="H33" s="35" t="n">
        <v>7</v>
      </c>
      <c r="I33" s="38" t="n">
        <v>112310</v>
      </c>
      <c r="J33" s="59"/>
      <c r="K33" s="84"/>
      <c r="L33" s="38"/>
      <c r="N33" s="38"/>
      <c r="O33" s="38"/>
      <c r="P33" s="38"/>
      <c r="Q33" s="38"/>
      <c r="R33" s="38"/>
      <c r="S33" s="14"/>
      <c r="T33" s="45"/>
      <c r="U33" s="14"/>
    </row>
    <row r="34" customFormat="false" ht="12.75" hidden="false" customHeight="false" outlineLevel="0" collapsed="false">
      <c r="D34" s="41"/>
      <c r="E34" s="41"/>
      <c r="F34" s="43"/>
      <c r="G34" s="38"/>
      <c r="H34" s="35"/>
      <c r="I34" s="38"/>
      <c r="J34" s="59"/>
      <c r="K34" s="84"/>
      <c r="L34" s="38"/>
      <c r="N34" s="38"/>
      <c r="O34" s="38"/>
      <c r="P34" s="38"/>
      <c r="Q34" s="38"/>
      <c r="R34" s="38"/>
      <c r="S34" s="14"/>
      <c r="T34" s="45"/>
      <c r="U34" s="14"/>
    </row>
    <row r="35" customFormat="false" ht="12.75" hidden="false" customHeight="false" outlineLevel="0" collapsed="false">
      <c r="A35" s="0" t="s">
        <v>156</v>
      </c>
      <c r="B35" s="0" t="s">
        <v>154</v>
      </c>
      <c r="C35" s="81" t="s">
        <v>157</v>
      </c>
      <c r="D35" s="41" t="n">
        <v>1886</v>
      </c>
      <c r="E35" s="46" t="n">
        <f aca="false">+F35/30.4</f>
        <v>0.39671052631579</v>
      </c>
      <c r="F35" s="43" t="n">
        <f aca="false">11.994+0.066</f>
        <v>12.06</v>
      </c>
      <c r="G35" s="38" t="n">
        <f aca="false">+F35*D35</f>
        <v>22745.16</v>
      </c>
      <c r="H35" s="35" t="n">
        <v>5</v>
      </c>
      <c r="I35" s="38" t="n">
        <f aca="false">+H35*G35</f>
        <v>113725.8</v>
      </c>
      <c r="J35" s="59"/>
      <c r="K35" s="84"/>
      <c r="L35" s="38"/>
      <c r="N35" s="38"/>
      <c r="O35" s="38"/>
      <c r="P35" s="38"/>
      <c r="Q35" s="38"/>
      <c r="R35" s="38"/>
      <c r="S35" s="14"/>
      <c r="T35" s="45"/>
      <c r="U35" s="14"/>
    </row>
    <row r="36" customFormat="false" ht="12.75" hidden="false" customHeight="false" outlineLevel="0" collapsed="false">
      <c r="C36" s="81"/>
      <c r="D36" s="41" t="n">
        <v>1698</v>
      </c>
      <c r="E36" s="46" t="n">
        <f aca="false">+F36/30.4</f>
        <v>0.39671052631579</v>
      </c>
      <c r="F36" s="43" t="n">
        <f aca="false">11.994+0.066</f>
        <v>12.06</v>
      </c>
      <c r="G36" s="38" t="n">
        <f aca="false">+F36*D36</f>
        <v>20477.88</v>
      </c>
      <c r="H36" s="35" t="n">
        <v>2</v>
      </c>
      <c r="I36" s="83" t="n">
        <f aca="false">+H36*G36</f>
        <v>40955.76</v>
      </c>
      <c r="J36" s="61"/>
      <c r="K36" s="84"/>
      <c r="L36" s="38"/>
      <c r="N36" s="38"/>
      <c r="O36" s="38"/>
      <c r="P36" s="38"/>
      <c r="Q36" s="38"/>
      <c r="R36" s="38"/>
      <c r="S36" s="14"/>
      <c r="T36" s="45"/>
      <c r="U36" s="14"/>
    </row>
    <row r="37" customFormat="false" ht="12.75" hidden="false" customHeight="false" outlineLevel="0" collapsed="false">
      <c r="C37" s="81"/>
      <c r="D37" s="41"/>
      <c r="E37" s="46"/>
      <c r="F37" s="43"/>
      <c r="G37" s="38"/>
      <c r="H37" s="35" t="s">
        <v>135</v>
      </c>
      <c r="I37" s="38" t="n">
        <f aca="false">SUM(I24:I36)</f>
        <v>1604541.448</v>
      </c>
      <c r="J37" s="61"/>
      <c r="K37" s="84"/>
      <c r="L37" s="38"/>
      <c r="N37" s="38"/>
      <c r="O37" s="38"/>
      <c r="P37" s="38"/>
      <c r="Q37" s="38"/>
      <c r="R37" s="38"/>
      <c r="S37" s="14"/>
      <c r="T37" s="45"/>
      <c r="U37" s="14"/>
    </row>
    <row r="38" customFormat="false" ht="12.75" hidden="false" customHeight="false" outlineLevel="0" collapsed="false">
      <c r="C38" s="85" t="s">
        <v>158</v>
      </c>
      <c r="D38" s="41"/>
      <c r="E38" s="46"/>
      <c r="F38" s="43"/>
      <c r="G38" s="38"/>
      <c r="H38" s="35"/>
      <c r="I38" s="38"/>
      <c r="J38" s="61"/>
      <c r="K38" s="84"/>
      <c r="L38" s="38"/>
      <c r="N38" s="38"/>
      <c r="O38" s="38"/>
      <c r="P38" s="38"/>
      <c r="Q38" s="38"/>
      <c r="R38" s="38"/>
      <c r="S38" s="14"/>
      <c r="T38" s="45"/>
      <c r="U38" s="14"/>
    </row>
    <row r="39" customFormat="false" ht="12.75" hidden="false" customHeight="false" outlineLevel="0" collapsed="false">
      <c r="C39" s="81"/>
      <c r="D39" s="41"/>
      <c r="E39" s="46"/>
      <c r="F39" s="43"/>
      <c r="G39" s="38"/>
      <c r="H39" s="35"/>
      <c r="I39" s="38"/>
      <c r="J39" s="59"/>
      <c r="K39" s="84"/>
      <c r="L39" s="38"/>
      <c r="N39" s="38"/>
      <c r="O39" s="38"/>
      <c r="P39" s="38"/>
      <c r="Q39" s="38"/>
      <c r="R39" s="38"/>
      <c r="S39" s="14"/>
      <c r="T39" s="45"/>
      <c r="U39" s="14"/>
    </row>
    <row r="40" customFormat="false" ht="12.75" hidden="false" customHeight="false" outlineLevel="0" collapsed="false">
      <c r="A40" s="0" t="s">
        <v>159</v>
      </c>
      <c r="B40" s="0" t="s">
        <v>160</v>
      </c>
      <c r="C40" s="81" t="s">
        <v>161</v>
      </c>
      <c r="D40" s="41" t="n">
        <v>4000</v>
      </c>
      <c r="E40" s="46" t="n">
        <f aca="false">+F40/30.4</f>
        <v>0.187901315789474</v>
      </c>
      <c r="F40" s="43" t="n">
        <v>5.7122</v>
      </c>
      <c r="G40" s="38" t="n">
        <f aca="false">+D40*F40</f>
        <v>22848.8</v>
      </c>
      <c r="H40" s="35" t="n">
        <v>6</v>
      </c>
      <c r="I40" s="38" t="n">
        <v>137092</v>
      </c>
      <c r="J40" s="59"/>
      <c r="K40" s="84"/>
      <c r="L40" s="38"/>
      <c r="N40" s="38"/>
      <c r="O40" s="38"/>
      <c r="P40" s="38"/>
      <c r="Q40" s="38"/>
      <c r="R40" s="38"/>
      <c r="S40" s="14"/>
      <c r="T40" s="45"/>
      <c r="U40" s="14"/>
    </row>
    <row r="41" customFormat="false" ht="12.75" hidden="false" customHeight="false" outlineLevel="0" collapsed="false">
      <c r="C41" s="81"/>
      <c r="D41" s="41"/>
      <c r="E41" s="46"/>
      <c r="F41" s="43"/>
      <c r="G41" s="38"/>
      <c r="H41" s="35"/>
      <c r="I41" s="38"/>
      <c r="J41" s="59"/>
      <c r="K41" s="84"/>
      <c r="L41" s="38"/>
      <c r="N41" s="38"/>
      <c r="O41" s="38"/>
      <c r="P41" s="38"/>
      <c r="Q41" s="38"/>
      <c r="R41" s="38"/>
      <c r="S41" s="14"/>
      <c r="T41" s="45"/>
      <c r="U41" s="14"/>
    </row>
    <row r="42" customFormat="false" ht="12.75" hidden="false" customHeight="false" outlineLevel="0" collapsed="false">
      <c r="A42" s="0" t="s">
        <v>162</v>
      </c>
      <c r="B42" s="0" t="s">
        <v>163</v>
      </c>
      <c r="C42" s="81" t="s">
        <v>164</v>
      </c>
      <c r="D42" s="41" t="n">
        <v>25000</v>
      </c>
      <c r="E42" s="43" t="n">
        <f aca="false">+F42/30.4</f>
        <v>0.163676535087719</v>
      </c>
      <c r="F42" s="43" t="n">
        <f aca="false">+G42/D42</f>
        <v>4.97576666666667</v>
      </c>
      <c r="G42" s="38" t="n">
        <f aca="false">+I42/12</f>
        <v>124394.166666667</v>
      </c>
      <c r="H42" s="35" t="n">
        <v>12</v>
      </c>
      <c r="I42" s="38" t="n">
        <f aca="false">1641650-148920</f>
        <v>1492730</v>
      </c>
      <c r="J42" s="59"/>
      <c r="K42" s="84"/>
      <c r="L42" s="38"/>
      <c r="N42" s="38"/>
      <c r="O42" s="38"/>
      <c r="P42" s="38"/>
      <c r="Q42" s="38"/>
      <c r="R42" s="38"/>
      <c r="S42" s="14"/>
      <c r="T42" s="45"/>
      <c r="U42" s="14"/>
    </row>
    <row r="43" customFormat="false" ht="12.75" hidden="false" customHeight="false" outlineLevel="0" collapsed="false">
      <c r="C43" s="81"/>
      <c r="D43" s="41"/>
      <c r="E43" s="38"/>
      <c r="F43" s="43"/>
      <c r="G43" s="38"/>
      <c r="H43" s="35"/>
      <c r="I43" s="38"/>
      <c r="J43" s="59"/>
      <c r="K43" s="84"/>
      <c r="L43" s="38"/>
      <c r="N43" s="38"/>
      <c r="O43" s="38"/>
      <c r="P43" s="38"/>
      <c r="Q43" s="38"/>
      <c r="R43" s="38"/>
      <c r="S43" s="14"/>
      <c r="T43" s="45"/>
      <c r="U43" s="14"/>
    </row>
    <row r="44" customFormat="false" ht="12.75" hidden="false" customHeight="false" outlineLevel="0" collapsed="false">
      <c r="A44" s="0" t="s">
        <v>165</v>
      </c>
      <c r="B44" s="0" t="s">
        <v>166</v>
      </c>
      <c r="C44" s="0" t="s">
        <v>167</v>
      </c>
      <c r="D44" s="41" t="n">
        <v>19500</v>
      </c>
      <c r="E44" s="43" t="n">
        <f aca="false">+F44/30.4</f>
        <v>0.192434210526316</v>
      </c>
      <c r="F44" s="43" t="n">
        <v>5.85</v>
      </c>
      <c r="G44" s="38" t="n">
        <f aca="false">+F44*D44</f>
        <v>114075</v>
      </c>
      <c r="H44" s="35" t="n">
        <v>12</v>
      </c>
      <c r="I44" s="38" t="n">
        <f aca="false">+G44*H44</f>
        <v>1368900</v>
      </c>
      <c r="J44" s="59"/>
      <c r="K44" s="84"/>
      <c r="L44" s="38" t="s">
        <v>168</v>
      </c>
      <c r="N44" s="38"/>
      <c r="O44" s="38"/>
      <c r="P44" s="38"/>
      <c r="Q44" s="38"/>
      <c r="R44" s="38"/>
      <c r="S44" s="14"/>
      <c r="T44" s="45"/>
      <c r="U44" s="14"/>
    </row>
    <row r="45" customFormat="false" ht="12.75" hidden="false" customHeight="false" outlineLevel="0" collapsed="false">
      <c r="C45" s="81"/>
      <c r="D45" s="41"/>
      <c r="E45" s="46"/>
      <c r="F45" s="43"/>
      <c r="G45" s="38"/>
      <c r="H45" s="35"/>
      <c r="I45" s="38"/>
      <c r="J45" s="59"/>
      <c r="K45" s="84"/>
      <c r="L45" s="38"/>
      <c r="N45" s="38"/>
      <c r="O45" s="38"/>
      <c r="P45" s="38"/>
      <c r="Q45" s="38"/>
      <c r="R45" s="38"/>
      <c r="S45" s="14"/>
      <c r="T45" s="45"/>
      <c r="U45" s="14"/>
    </row>
    <row r="46" customFormat="false" ht="12.75" hidden="false" customHeight="false" outlineLevel="0" collapsed="false">
      <c r="A46" s="0" t="s">
        <v>169</v>
      </c>
      <c r="B46" s="0" t="s">
        <v>170</v>
      </c>
      <c r="C46" s="0" t="s">
        <v>171</v>
      </c>
      <c r="D46" s="41" t="n">
        <v>22000</v>
      </c>
      <c r="E46" s="42" t="n">
        <f aca="false">+F46/30.4</f>
        <v>0.0757578249601276</v>
      </c>
      <c r="F46" s="43" t="n">
        <f aca="false">+G46/D46</f>
        <v>2.30303787878788</v>
      </c>
      <c r="G46" s="38" t="n">
        <f aca="false">+I46/12</f>
        <v>50666.8333333333</v>
      </c>
      <c r="H46" s="35" t="n">
        <v>12</v>
      </c>
      <c r="I46" s="83" t="n">
        <v>608002</v>
      </c>
      <c r="J46" s="59"/>
      <c r="K46" s="84"/>
      <c r="L46" s="38" t="s">
        <v>168</v>
      </c>
      <c r="N46" s="38"/>
      <c r="O46" s="38"/>
      <c r="P46" s="38"/>
      <c r="Q46" s="38"/>
      <c r="R46" s="38"/>
      <c r="S46" s="14"/>
      <c r="T46" s="45"/>
      <c r="U46" s="14"/>
    </row>
    <row r="47" customFormat="false" ht="12.75" hidden="false" customHeight="false" outlineLevel="0" collapsed="false">
      <c r="C47" s="81"/>
      <c r="D47" s="41"/>
      <c r="E47" s="46"/>
      <c r="F47" s="43"/>
      <c r="G47" s="38"/>
      <c r="H47" s="35" t="s">
        <v>135</v>
      </c>
      <c r="I47" s="38" t="n">
        <f aca="false">SUM(I40:I46)</f>
        <v>3606724</v>
      </c>
      <c r="J47" s="59"/>
      <c r="K47" s="84"/>
      <c r="L47" s="38"/>
      <c r="N47" s="38"/>
      <c r="O47" s="38"/>
      <c r="P47" s="38"/>
      <c r="Q47" s="38"/>
      <c r="R47" s="38"/>
      <c r="S47" s="14"/>
      <c r="T47" s="45"/>
      <c r="U47" s="14"/>
    </row>
    <row r="48" customFormat="false" ht="12.75" hidden="false" customHeight="false" outlineLevel="0" collapsed="false">
      <c r="C48" s="85" t="s">
        <v>172</v>
      </c>
      <c r="D48" s="41"/>
      <c r="E48" s="46"/>
      <c r="F48" s="43"/>
      <c r="G48" s="38"/>
      <c r="H48" s="35"/>
      <c r="I48" s="38"/>
      <c r="J48" s="59"/>
      <c r="K48" s="84"/>
      <c r="L48" s="38"/>
      <c r="N48" s="38"/>
      <c r="O48" s="38"/>
      <c r="P48" s="38"/>
      <c r="Q48" s="38"/>
      <c r="R48" s="38"/>
      <c r="S48" s="14"/>
      <c r="T48" s="45"/>
      <c r="U48" s="14"/>
    </row>
    <row r="49" customFormat="false" ht="12.75" hidden="false" customHeight="false" outlineLevel="0" collapsed="false">
      <c r="C49" s="81"/>
      <c r="D49" s="41"/>
      <c r="E49" s="46"/>
      <c r="F49" s="43"/>
      <c r="G49" s="38"/>
      <c r="H49" s="35"/>
      <c r="I49" s="38"/>
      <c r="J49" s="59"/>
      <c r="K49" s="84"/>
      <c r="L49" s="38"/>
      <c r="N49" s="38"/>
      <c r="O49" s="38"/>
      <c r="P49" s="38"/>
      <c r="Q49" s="38"/>
      <c r="R49" s="38"/>
      <c r="S49" s="14"/>
      <c r="T49" s="45"/>
      <c r="U49" s="14"/>
    </row>
    <row r="50" customFormat="false" ht="12.75" hidden="false" customHeight="false" outlineLevel="0" collapsed="false">
      <c r="A50" s="0" t="s">
        <v>173</v>
      </c>
      <c r="B50" s="0" t="s">
        <v>174</v>
      </c>
      <c r="C50" s="81" t="s">
        <v>175</v>
      </c>
      <c r="D50" s="41" t="s">
        <v>93</v>
      </c>
      <c r="E50" s="46" t="n">
        <v>0.21</v>
      </c>
      <c r="F50" s="43" t="n">
        <f aca="false">+E50*30.4</f>
        <v>6.384</v>
      </c>
      <c r="G50" s="38" t="n">
        <f aca="false">+I50/2</f>
        <v>3510.5</v>
      </c>
      <c r="H50" s="35" t="n">
        <v>2</v>
      </c>
      <c r="I50" s="38" t="n">
        <f aca="false">3351+3670</f>
        <v>7021</v>
      </c>
      <c r="J50" s="59"/>
      <c r="K50" s="84"/>
      <c r="L50" s="38"/>
      <c r="N50" s="38"/>
      <c r="O50" s="38"/>
      <c r="P50" s="38"/>
      <c r="Q50" s="38"/>
      <c r="R50" s="38"/>
      <c r="S50" s="14"/>
      <c r="T50" s="45"/>
      <c r="U50" s="14"/>
    </row>
    <row r="51" customFormat="false" ht="12.75" hidden="false" customHeight="false" outlineLevel="0" collapsed="false">
      <c r="A51" s="0" t="s">
        <v>176</v>
      </c>
      <c r="B51" s="0" t="s">
        <v>174</v>
      </c>
      <c r="C51" s="81" t="s">
        <v>175</v>
      </c>
      <c r="D51" s="41" t="s">
        <v>93</v>
      </c>
      <c r="E51" s="46" t="n">
        <v>0.21</v>
      </c>
      <c r="F51" s="43" t="n">
        <f aca="false">+E51*30.4</f>
        <v>6.384</v>
      </c>
      <c r="G51" s="38" t="n">
        <f aca="false">+I51/2</f>
        <v>2953</v>
      </c>
      <c r="H51" s="35" t="n">
        <v>2</v>
      </c>
      <c r="I51" s="38" t="n">
        <f aca="false">2554+3352</f>
        <v>5906</v>
      </c>
      <c r="J51" s="59"/>
      <c r="K51" s="84"/>
      <c r="L51" s="38"/>
      <c r="N51" s="38"/>
      <c r="O51" s="38"/>
      <c r="P51" s="38"/>
      <c r="Q51" s="38"/>
      <c r="R51" s="38"/>
      <c r="S51" s="14"/>
      <c r="T51" s="45"/>
      <c r="U51" s="14"/>
    </row>
    <row r="52" customFormat="false" ht="12.75" hidden="false" customHeight="false" outlineLevel="0" collapsed="false">
      <c r="C52" s="81"/>
      <c r="D52" s="41"/>
      <c r="E52" s="46"/>
      <c r="F52" s="43"/>
      <c r="G52" s="38"/>
      <c r="H52" s="35"/>
      <c r="I52" s="38"/>
      <c r="J52" s="59"/>
      <c r="K52" s="84"/>
      <c r="L52" s="38"/>
      <c r="N52" s="38"/>
      <c r="O52" s="38"/>
      <c r="P52" s="38"/>
      <c r="Q52" s="38"/>
      <c r="R52" s="38"/>
      <c r="S52" s="14"/>
      <c r="T52" s="45"/>
      <c r="U52" s="14"/>
    </row>
    <row r="53" customFormat="false" ht="12.75" hidden="false" customHeight="false" outlineLevel="0" collapsed="false">
      <c r="A53" s="0" t="s">
        <v>177</v>
      </c>
      <c r="B53" s="0" t="s">
        <v>178</v>
      </c>
      <c r="C53" s="20" t="s">
        <v>179</v>
      </c>
      <c r="D53" s="41" t="n">
        <v>2000</v>
      </c>
      <c r="E53" s="42" t="n">
        <f aca="false">+F53/30.4</f>
        <v>0.39671052631579</v>
      </c>
      <c r="F53" s="43" t="n">
        <v>12.06</v>
      </c>
      <c r="G53" s="38" t="n">
        <f aca="false">+F53*D53</f>
        <v>24120</v>
      </c>
      <c r="H53" s="35" t="n">
        <v>2</v>
      </c>
      <c r="I53" s="38" t="n">
        <f aca="false">+H53*G53</f>
        <v>48240</v>
      </c>
      <c r="J53" s="44"/>
      <c r="K53" s="38"/>
      <c r="L53" s="38"/>
      <c r="N53" s="47"/>
      <c r="O53" s="45"/>
      <c r="P53" s="14"/>
      <c r="Q53" s="14"/>
      <c r="R53" s="14"/>
      <c r="S53" s="14"/>
      <c r="T53" s="14"/>
      <c r="U53" s="14"/>
    </row>
    <row r="54" customFormat="false" ht="12.75" hidden="false" customHeight="false" outlineLevel="0" collapsed="false">
      <c r="C54" s="20"/>
      <c r="D54" s="41"/>
      <c r="E54" s="42"/>
      <c r="F54" s="43"/>
      <c r="G54" s="38"/>
      <c r="H54" s="35"/>
      <c r="I54" s="38"/>
      <c r="J54" s="44"/>
      <c r="K54" s="38"/>
      <c r="L54" s="38"/>
      <c r="N54" s="47"/>
      <c r="O54" s="45"/>
      <c r="P54" s="14"/>
      <c r="Q54" s="14"/>
      <c r="R54" s="14"/>
      <c r="S54" s="14"/>
      <c r="T54" s="14"/>
      <c r="U54" s="14"/>
    </row>
    <row r="55" customFormat="false" ht="12.75" hidden="false" customHeight="false" outlineLevel="0" collapsed="false">
      <c r="A55" s="0" t="s">
        <v>180</v>
      </c>
      <c r="B55" s="0" t="s">
        <v>181</v>
      </c>
      <c r="C55" s="20" t="s">
        <v>182</v>
      </c>
      <c r="D55" s="41" t="n">
        <v>4000</v>
      </c>
      <c r="E55" s="42" t="n">
        <f aca="false">+F55/30.4</f>
        <v>0.355098684210526</v>
      </c>
      <c r="F55" s="43" t="n">
        <v>10.795</v>
      </c>
      <c r="G55" s="38" t="n">
        <f aca="false">+F55*D55</f>
        <v>43180</v>
      </c>
      <c r="H55" s="35" t="n">
        <v>2</v>
      </c>
      <c r="I55" s="38" t="n">
        <f aca="false">+H55*G55</f>
        <v>86360</v>
      </c>
      <c r="J55" s="44"/>
      <c r="K55" s="38"/>
      <c r="L55" s="38"/>
      <c r="N55" s="47"/>
      <c r="O55" s="45"/>
      <c r="P55" s="14"/>
      <c r="Q55" s="14"/>
      <c r="R55" s="14"/>
      <c r="S55" s="14"/>
      <c r="T55" s="14"/>
      <c r="U55" s="14"/>
    </row>
    <row r="56" customFormat="false" ht="12.75" hidden="false" customHeight="false" outlineLevel="0" collapsed="false">
      <c r="C56" s="20"/>
      <c r="D56" s="41"/>
      <c r="E56" s="42"/>
      <c r="F56" s="43"/>
      <c r="G56" s="38"/>
      <c r="H56" s="35"/>
      <c r="I56" s="38"/>
      <c r="J56" s="44"/>
      <c r="K56" s="38"/>
      <c r="L56" s="38"/>
      <c r="N56" s="47"/>
      <c r="O56" s="45"/>
      <c r="P56" s="14"/>
      <c r="Q56" s="14"/>
      <c r="R56" s="14"/>
      <c r="S56" s="14"/>
      <c r="T56" s="14"/>
      <c r="U56" s="14"/>
    </row>
    <row r="57" customFormat="false" ht="12.75" hidden="false" customHeight="false" outlineLevel="0" collapsed="false">
      <c r="A57" s="0" t="s">
        <v>183</v>
      </c>
      <c r="B57" s="0" t="s">
        <v>184</v>
      </c>
      <c r="C57" s="20" t="s">
        <v>185</v>
      </c>
      <c r="D57" s="41" t="n">
        <v>1000</v>
      </c>
      <c r="E57" s="42" t="n">
        <f aca="false">+F57/30.4</f>
        <v>0.39671052631579</v>
      </c>
      <c r="F57" s="43" t="n">
        <v>12.06</v>
      </c>
      <c r="G57" s="38" t="n">
        <f aca="false">+F57*D57</f>
        <v>12060</v>
      </c>
      <c r="H57" s="35" t="n">
        <v>1</v>
      </c>
      <c r="I57" s="38" t="n">
        <f aca="false">+H57*G57</f>
        <v>12060</v>
      </c>
      <c r="J57" s="44"/>
      <c r="K57" s="38"/>
      <c r="L57" s="38"/>
      <c r="N57" s="47"/>
      <c r="O57" s="45"/>
      <c r="P57" s="14"/>
      <c r="Q57" s="14"/>
      <c r="R57" s="14"/>
      <c r="S57" s="14"/>
      <c r="T57" s="14"/>
      <c r="U57" s="14"/>
    </row>
    <row r="58" customFormat="false" ht="12.75" hidden="false" customHeight="false" outlineLevel="0" collapsed="false">
      <c r="C58" s="20" t="s">
        <v>186</v>
      </c>
      <c r="D58" s="41" t="n">
        <v>1600</v>
      </c>
      <c r="E58" s="42" t="n">
        <f aca="false">+F58/30.4</f>
        <v>0.39671052631579</v>
      </c>
      <c r="F58" s="43" t="n">
        <v>12.06</v>
      </c>
      <c r="G58" s="38" t="n">
        <f aca="false">+F58*D58</f>
        <v>19296</v>
      </c>
      <c r="H58" s="35" t="n">
        <v>1</v>
      </c>
      <c r="I58" s="38" t="n">
        <f aca="false">+H58*G58</f>
        <v>19296</v>
      </c>
      <c r="J58" s="80"/>
      <c r="K58" s="38"/>
      <c r="L58" s="38"/>
      <c r="N58" s="47"/>
      <c r="O58" s="45"/>
      <c r="P58" s="14"/>
      <c r="Q58" s="14"/>
      <c r="R58" s="14"/>
      <c r="S58" s="14"/>
      <c r="T58" s="14"/>
      <c r="U58" s="14"/>
    </row>
    <row r="59" customFormat="false" ht="12.75" hidden="false" customHeight="false" outlineLevel="0" collapsed="false">
      <c r="C59" s="20"/>
      <c r="D59" s="41"/>
      <c r="E59" s="42"/>
      <c r="F59" s="43"/>
      <c r="G59" s="38"/>
      <c r="H59" s="35"/>
      <c r="I59" s="38"/>
      <c r="J59" s="80"/>
      <c r="K59" s="38"/>
      <c r="L59" s="38"/>
      <c r="N59" s="47"/>
      <c r="O59" s="45"/>
      <c r="P59" s="14"/>
      <c r="Q59" s="14"/>
      <c r="R59" s="14"/>
      <c r="S59" s="14"/>
      <c r="T59" s="14"/>
      <c r="U59" s="14"/>
    </row>
    <row r="60" customFormat="false" ht="12.75" hidden="false" customHeight="false" outlineLevel="0" collapsed="false">
      <c r="A60" s="0" t="s">
        <v>187</v>
      </c>
      <c r="B60" s="0" t="s">
        <v>188</v>
      </c>
      <c r="C60" s="20" t="s">
        <v>189</v>
      </c>
      <c r="D60" s="41" t="n">
        <v>2200</v>
      </c>
      <c r="E60" s="42" t="n">
        <f aca="false">+F60/30.4</f>
        <v>0.0822368421052632</v>
      </c>
      <c r="F60" s="43" t="n">
        <v>2.5</v>
      </c>
      <c r="G60" s="38" t="n">
        <f aca="false">+F60*D60</f>
        <v>5500</v>
      </c>
      <c r="H60" s="35" t="n">
        <v>1</v>
      </c>
      <c r="I60" s="38" t="n">
        <f aca="false">+H60*G60</f>
        <v>5500</v>
      </c>
      <c r="J60" s="44"/>
      <c r="K60" s="38"/>
      <c r="L60" s="38"/>
      <c r="N60" s="47"/>
      <c r="O60" s="45"/>
      <c r="P60" s="14"/>
      <c r="Q60" s="14"/>
      <c r="R60" s="14"/>
      <c r="S60" s="14"/>
      <c r="T60" s="14"/>
      <c r="U60" s="14"/>
    </row>
    <row r="61" customFormat="false" ht="12.75" hidden="false" customHeight="false" outlineLevel="0" collapsed="false">
      <c r="C61" s="20" t="s">
        <v>190</v>
      </c>
      <c r="D61" s="41" t="n">
        <v>2200</v>
      </c>
      <c r="E61" s="42" t="n">
        <f aca="false">+F61/30.4</f>
        <v>0.39671052631579</v>
      </c>
      <c r="F61" s="43" t="n">
        <v>12.06</v>
      </c>
      <c r="G61" s="38" t="n">
        <f aca="false">+F61*D61</f>
        <v>26532</v>
      </c>
      <c r="H61" s="35" t="n">
        <v>2</v>
      </c>
      <c r="I61" s="83" t="n">
        <f aca="false">+H61*G61</f>
        <v>53064</v>
      </c>
      <c r="J61" s="80"/>
      <c r="K61" s="38"/>
      <c r="L61" s="38"/>
      <c r="N61" s="47"/>
      <c r="O61" s="45"/>
      <c r="P61" s="14"/>
      <c r="Q61" s="14"/>
      <c r="R61" s="14"/>
      <c r="S61" s="14"/>
      <c r="T61" s="14"/>
      <c r="U61" s="14"/>
    </row>
    <row r="62" customFormat="false" ht="12.75" hidden="false" customHeight="false" outlineLevel="0" collapsed="false">
      <c r="C62" s="20"/>
      <c r="D62" s="41"/>
      <c r="E62" s="42"/>
      <c r="F62" s="43"/>
      <c r="G62" s="38"/>
      <c r="H62" s="35" t="s">
        <v>135</v>
      </c>
      <c r="I62" s="38" t="n">
        <f aca="false">SUM(I50:I61)</f>
        <v>237447</v>
      </c>
      <c r="J62" s="80"/>
      <c r="K62" s="38"/>
      <c r="L62" s="38"/>
      <c r="N62" s="47"/>
      <c r="O62" s="45"/>
      <c r="P62" s="14"/>
      <c r="Q62" s="14"/>
      <c r="R62" s="14"/>
      <c r="S62" s="14"/>
      <c r="T62" s="14"/>
      <c r="U62" s="14"/>
    </row>
    <row r="63" customFormat="false" ht="12.75" hidden="false" customHeight="false" outlineLevel="0" collapsed="false">
      <c r="C63" s="86" t="s">
        <v>13</v>
      </c>
      <c r="D63" s="41"/>
      <c r="E63" s="42"/>
      <c r="F63" s="43"/>
      <c r="G63" s="38"/>
      <c r="H63" s="35"/>
      <c r="I63" s="38"/>
      <c r="J63" s="80"/>
      <c r="K63" s="38"/>
      <c r="L63" s="38"/>
      <c r="N63" s="47"/>
      <c r="O63" s="45"/>
      <c r="P63" s="14"/>
      <c r="Q63" s="14"/>
      <c r="R63" s="14"/>
      <c r="S63" s="14"/>
      <c r="T63" s="14"/>
      <c r="U63" s="14"/>
    </row>
    <row r="64" customFormat="false" ht="12.75" hidden="false" customHeight="false" outlineLevel="0" collapsed="false">
      <c r="B64" s="0" t="s">
        <v>93</v>
      </c>
      <c r="C64" s="20" t="s">
        <v>191</v>
      </c>
      <c r="D64" s="41"/>
      <c r="E64" s="42"/>
      <c r="F64" s="43"/>
      <c r="G64" s="38"/>
      <c r="H64" s="35"/>
      <c r="I64" s="38" t="n">
        <v>1280448</v>
      </c>
      <c r="J64" s="80"/>
      <c r="K64" s="38"/>
      <c r="L64" s="38"/>
      <c r="N64" s="47"/>
      <c r="O64" s="45"/>
      <c r="P64" s="14"/>
      <c r="Q64" s="14"/>
      <c r="R64" s="14"/>
      <c r="S64" s="14"/>
      <c r="T64" s="14"/>
      <c r="U64" s="14"/>
    </row>
    <row r="65" customFormat="false" ht="12.75" hidden="false" customHeight="false" outlineLevel="0" collapsed="false">
      <c r="C65" s="20"/>
      <c r="D65" s="41"/>
      <c r="E65" s="42"/>
      <c r="F65" s="43"/>
      <c r="G65" s="38"/>
      <c r="H65" s="35"/>
      <c r="I65" s="38"/>
      <c r="J65" s="80"/>
      <c r="K65" s="38"/>
      <c r="L65" s="38"/>
      <c r="N65" s="47"/>
      <c r="O65" s="45"/>
      <c r="P65" s="14"/>
      <c r="Q65" s="14"/>
      <c r="R65" s="14"/>
      <c r="S65" s="14"/>
      <c r="T65" s="14"/>
      <c r="U65" s="14"/>
    </row>
    <row r="66" customFormat="false" ht="12.75" hidden="false" customHeight="false" outlineLevel="0" collapsed="false">
      <c r="D66" s="41"/>
      <c r="E66" s="41"/>
      <c r="F66" s="43"/>
      <c r="G66" s="38"/>
      <c r="H66" s="35"/>
      <c r="I66" s="38"/>
      <c r="J66" s="59"/>
      <c r="K66" s="38"/>
      <c r="L66" s="38"/>
      <c r="N66" s="14"/>
      <c r="O66" s="14"/>
      <c r="P66" s="14"/>
      <c r="Q66" s="14"/>
      <c r="R66" s="14"/>
      <c r="S66" s="14"/>
      <c r="T66" s="14"/>
      <c r="U66" s="14"/>
    </row>
    <row r="67" customFormat="false" ht="13.5" hidden="false" customHeight="false" outlineLevel="0" collapsed="false">
      <c r="D67" s="41"/>
      <c r="E67" s="41"/>
      <c r="F67" s="43"/>
      <c r="G67" s="87" t="s">
        <v>115</v>
      </c>
      <c r="I67" s="88" t="n">
        <f aca="false">SUM(I11:I62)/2+I64</f>
        <v>8114440.448</v>
      </c>
      <c r="J67" s="59"/>
      <c r="L67" s="38"/>
      <c r="N67" s="38"/>
      <c r="O67" s="38"/>
      <c r="P67" s="38"/>
      <c r="Q67" s="38"/>
      <c r="R67" s="38"/>
      <c r="S67" s="14"/>
      <c r="T67" s="45"/>
      <c r="U67" s="14"/>
    </row>
    <row r="68" customFormat="false" ht="13.5" hidden="false" customHeight="false" outlineLevel="0" collapsed="false">
      <c r="D68" s="41"/>
      <c r="E68" s="41"/>
      <c r="F68" s="43"/>
      <c r="G68" s="38"/>
      <c r="I68" s="38"/>
      <c r="J68" s="59"/>
      <c r="K68" s="38"/>
      <c r="L68" s="38"/>
      <c r="N68" s="14"/>
      <c r="O68" s="14"/>
      <c r="P68" s="14"/>
      <c r="Q68" s="14"/>
      <c r="R68" s="14"/>
      <c r="S68" s="14"/>
      <c r="T68" s="14"/>
      <c r="U68" s="14"/>
    </row>
    <row r="69" customFormat="false" ht="12.75" hidden="false" customHeight="false" outlineLevel="0" collapsed="false">
      <c r="D69" s="41"/>
      <c r="E69" s="41"/>
      <c r="F69" s="43"/>
      <c r="G69" s="38"/>
      <c r="I69" s="38"/>
      <c r="J69" s="59"/>
      <c r="K69" s="38"/>
      <c r="L69" s="38"/>
      <c r="N69" s="14"/>
      <c r="O69" s="14"/>
      <c r="P69" s="14"/>
      <c r="Q69" s="14"/>
      <c r="R69" s="14"/>
      <c r="S69" s="14"/>
      <c r="T69" s="14"/>
      <c r="U69" s="14"/>
    </row>
    <row r="70" customFormat="false" ht="20.25" hidden="false" customHeight="false" outlineLevel="0" collapsed="false">
      <c r="B70" s="39" t="s">
        <v>96</v>
      </c>
      <c r="C70" s="39"/>
      <c r="D70" s="39"/>
      <c r="E70" s="39"/>
      <c r="F70" s="39"/>
      <c r="G70" s="39"/>
      <c r="H70" s="39"/>
      <c r="I70" s="39"/>
      <c r="J70" s="39"/>
      <c r="K70" s="39"/>
      <c r="L70" s="39"/>
      <c r="N70" s="14"/>
      <c r="O70" s="14"/>
      <c r="P70" s="14"/>
      <c r="Q70" s="14"/>
      <c r="R70" s="14"/>
      <c r="S70" s="14"/>
      <c r="T70" s="14"/>
      <c r="U70" s="14"/>
    </row>
    <row r="71" customFormat="false" ht="12.75" hidden="false" customHeight="false" outlineLevel="0" collapsed="false">
      <c r="D71" s="41"/>
      <c r="E71" s="41"/>
      <c r="F71" s="43"/>
      <c r="G71" s="38"/>
      <c r="I71" s="38"/>
      <c r="J71" s="59"/>
      <c r="K71" s="38"/>
      <c r="L71" s="38"/>
      <c r="N71" s="14"/>
      <c r="O71" s="14"/>
      <c r="P71" s="14"/>
      <c r="Q71" s="14"/>
      <c r="R71" s="14"/>
      <c r="S71" s="14"/>
      <c r="T71" s="14"/>
      <c r="U71" s="14"/>
    </row>
    <row r="72" customFormat="false" ht="12.75" hidden="false" customHeight="false" outlineLevel="0" collapsed="false">
      <c r="B72" s="0" t="s">
        <v>93</v>
      </c>
      <c r="C72" s="0" t="s">
        <v>192</v>
      </c>
      <c r="D72" s="41" t="n">
        <v>15000</v>
      </c>
      <c r="E72" s="82" t="n">
        <v>0.16</v>
      </c>
      <c r="F72" s="43" t="n">
        <f aca="false">+E72*30.4</f>
        <v>4.864</v>
      </c>
      <c r="G72" s="38" t="n">
        <f aca="false">+F72*D72</f>
        <v>72960</v>
      </c>
      <c r="H72" s="35" t="n">
        <v>3</v>
      </c>
      <c r="I72" s="38" t="n">
        <f aca="false">+H72*G72</f>
        <v>218880</v>
      </c>
      <c r="J72" s="59" t="n">
        <v>1</v>
      </c>
      <c r="K72" s="38" t="n">
        <f aca="false">+J72*I72</f>
        <v>218880</v>
      </c>
      <c r="L72" s="38"/>
      <c r="N72" s="14"/>
      <c r="O72" s="14"/>
      <c r="P72" s="14"/>
      <c r="Q72" s="14"/>
      <c r="R72" s="14"/>
      <c r="S72" s="14"/>
      <c r="T72" s="14"/>
      <c r="U72" s="14"/>
    </row>
    <row r="73" customFormat="false" ht="12.75" hidden="false" customHeight="false" outlineLevel="0" collapsed="false">
      <c r="C73" s="0" t="s">
        <v>193</v>
      </c>
      <c r="D73" s="41" t="n">
        <v>15000</v>
      </c>
      <c r="E73" s="82" t="n">
        <v>0.16</v>
      </c>
      <c r="F73" s="43" t="n">
        <f aca="false">+E73*30.4</f>
        <v>4.864</v>
      </c>
      <c r="G73" s="38" t="n">
        <f aca="false">+F73*D73</f>
        <v>72960</v>
      </c>
      <c r="H73" s="35" t="n">
        <v>2</v>
      </c>
      <c r="I73" s="38" t="n">
        <f aca="false">+H73*G73</f>
        <v>145920</v>
      </c>
      <c r="J73" s="59" t="n">
        <v>1</v>
      </c>
      <c r="K73" s="38" t="n">
        <f aca="false">+J73*I73</f>
        <v>145920</v>
      </c>
      <c r="L73" s="38"/>
      <c r="N73" s="14"/>
      <c r="O73" s="14"/>
      <c r="P73" s="14"/>
      <c r="Q73" s="14"/>
      <c r="R73" s="14"/>
      <c r="S73" s="14"/>
      <c r="T73" s="14"/>
      <c r="U73" s="14"/>
    </row>
    <row r="74" customFormat="false" ht="12.75" hidden="false" customHeight="false" outlineLevel="0" collapsed="false">
      <c r="D74" s="41"/>
      <c r="E74" s="41"/>
      <c r="F74" s="43"/>
      <c r="G74" s="38"/>
      <c r="I74" s="38"/>
      <c r="J74" s="59"/>
      <c r="K74" s="38"/>
      <c r="L74" s="38"/>
      <c r="N74" s="14"/>
      <c r="O74" s="14"/>
      <c r="P74" s="14"/>
      <c r="Q74" s="14"/>
      <c r="R74" s="14"/>
      <c r="S74" s="14"/>
      <c r="T74" s="14"/>
      <c r="U74" s="14"/>
    </row>
    <row r="75" customFormat="false" ht="12.75" hidden="false" customHeight="false" outlineLevel="0" collapsed="false">
      <c r="D75" s="41"/>
      <c r="E75" s="41"/>
      <c r="F75" s="43"/>
      <c r="G75" s="38"/>
      <c r="H75" s="35"/>
      <c r="I75" s="38"/>
      <c r="J75" s="44"/>
      <c r="K75" s="38"/>
      <c r="L75" s="38"/>
      <c r="N75" s="14"/>
      <c r="O75" s="45"/>
      <c r="P75" s="14"/>
      <c r="Q75" s="14"/>
      <c r="R75" s="14"/>
      <c r="S75" s="14"/>
      <c r="T75" s="14"/>
      <c r="U75" s="14"/>
    </row>
    <row r="76" customFormat="false" ht="12.75" hidden="false" customHeight="false" outlineLevel="0" collapsed="false">
      <c r="A76" s="0" t="s">
        <v>194</v>
      </c>
      <c r="B76" s="0" t="s">
        <v>195</v>
      </c>
      <c r="C76" s="0" t="s">
        <v>196</v>
      </c>
      <c r="D76" s="41" t="n">
        <v>284</v>
      </c>
      <c r="E76" s="43" t="n">
        <f aca="false">+F76/30.4</f>
        <v>0.212008895478132</v>
      </c>
      <c r="F76" s="43" t="n">
        <f aca="false">+G76/D76</f>
        <v>6.44507042253521</v>
      </c>
      <c r="G76" s="38" t="n">
        <f aca="false">9152/5</f>
        <v>1830.4</v>
      </c>
      <c r="H76" s="35" t="n">
        <v>5</v>
      </c>
      <c r="I76" s="38" t="n">
        <v>9152</v>
      </c>
      <c r="J76" s="59" t="n">
        <v>1</v>
      </c>
      <c r="K76" s="38" t="n">
        <f aca="false">+J76*I76</f>
        <v>9152</v>
      </c>
      <c r="L76" s="38" t="s">
        <v>122</v>
      </c>
      <c r="N76" s="14"/>
      <c r="O76" s="45"/>
      <c r="P76" s="14"/>
      <c r="Q76" s="14"/>
      <c r="R76" s="14"/>
      <c r="S76" s="14"/>
      <c r="T76" s="14"/>
      <c r="U76" s="14"/>
    </row>
    <row r="77" customFormat="false" ht="12.75" hidden="false" customHeight="false" outlineLevel="0" collapsed="false">
      <c r="D77" s="41"/>
      <c r="E77" s="43"/>
      <c r="F77" s="43"/>
      <c r="G77" s="38"/>
      <c r="H77" s="35"/>
      <c r="I77" s="38"/>
      <c r="J77" s="59"/>
      <c r="K77" s="38"/>
      <c r="L77" s="38"/>
      <c r="N77" s="14"/>
      <c r="O77" s="45"/>
      <c r="P77" s="14"/>
      <c r="Q77" s="14"/>
      <c r="R77" s="14"/>
      <c r="S77" s="14"/>
      <c r="T77" s="14"/>
      <c r="U77" s="14"/>
    </row>
    <row r="78" customFormat="false" ht="12.75" hidden="false" customHeight="false" outlineLevel="0" collapsed="false">
      <c r="D78" s="63"/>
      <c r="E78" s="63"/>
      <c r="F78" s="43"/>
      <c r="G78" s="38"/>
      <c r="I78" s="38"/>
      <c r="J78" s="59"/>
      <c r="K78" s="84"/>
      <c r="L78" s="38"/>
      <c r="N78" s="38"/>
      <c r="O78" s="38"/>
      <c r="P78" s="38"/>
      <c r="Q78" s="38"/>
      <c r="R78" s="38"/>
      <c r="S78" s="14"/>
      <c r="T78" s="45"/>
      <c r="U78" s="14"/>
    </row>
    <row r="79" customFormat="false" ht="12.75" hidden="false" customHeight="false" outlineLevel="0" collapsed="false">
      <c r="A79" s="0" t="s">
        <v>197</v>
      </c>
      <c r="B79" s="0" t="s">
        <v>133</v>
      </c>
      <c r="C79" s="0" t="s">
        <v>198</v>
      </c>
      <c r="D79" s="63"/>
      <c r="E79" s="63"/>
      <c r="F79" s="43"/>
      <c r="G79" s="38"/>
      <c r="I79" s="38" t="n">
        <v>1200000</v>
      </c>
      <c r="J79" s="59" t="n">
        <v>0.5</v>
      </c>
      <c r="K79" s="53" t="n">
        <v>600000</v>
      </c>
      <c r="L79" s="38"/>
      <c r="N79" s="38"/>
      <c r="O79" s="38"/>
      <c r="P79" s="38"/>
      <c r="Q79" s="38"/>
      <c r="R79" s="38"/>
      <c r="S79" s="14"/>
      <c r="T79" s="45"/>
      <c r="U79" s="14"/>
    </row>
    <row r="80" customFormat="false" ht="12.75" hidden="false" customHeight="false" outlineLevel="0" collapsed="false">
      <c r="D80" s="63"/>
      <c r="E80" s="63"/>
      <c r="F80" s="43"/>
      <c r="G80" s="38"/>
      <c r="I80" s="38"/>
      <c r="J80" s="59"/>
      <c r="K80" s="84"/>
      <c r="L80" s="38"/>
      <c r="N80" s="38"/>
      <c r="O80" s="38"/>
      <c r="P80" s="38"/>
      <c r="Q80" s="38"/>
      <c r="R80" s="38"/>
      <c r="S80" s="14"/>
      <c r="T80" s="45"/>
      <c r="U80" s="14"/>
    </row>
    <row r="81" customFormat="false" ht="12.75" hidden="false" customHeight="false" outlineLevel="0" collapsed="false">
      <c r="B81" s="0" t="s">
        <v>199</v>
      </c>
      <c r="C81" s="20" t="s">
        <v>200</v>
      </c>
      <c r="D81" s="63" t="n">
        <v>20000</v>
      </c>
      <c r="E81" s="42" t="n">
        <f aca="false">+F81/30.4</f>
        <v>0.129717105263158</v>
      </c>
      <c r="F81" s="43" t="n">
        <f aca="false">+G81/D81</f>
        <v>3.9434</v>
      </c>
      <c r="G81" s="38" t="n">
        <v>78868</v>
      </c>
      <c r="H81" s="35" t="n">
        <v>3</v>
      </c>
      <c r="I81" s="38" t="n">
        <v>236604</v>
      </c>
      <c r="J81" s="44" t="n">
        <v>1</v>
      </c>
      <c r="K81" s="53" t="n">
        <f aca="false">78868*3</f>
        <v>236604</v>
      </c>
      <c r="L81" s="38"/>
      <c r="N81" s="38"/>
      <c r="O81" s="38"/>
      <c r="P81" s="38"/>
      <c r="Q81" s="38"/>
      <c r="R81" s="38"/>
      <c r="S81" s="14"/>
      <c r="T81" s="45"/>
      <c r="U81" s="14"/>
    </row>
    <row r="82" customFormat="false" ht="12.75" hidden="false" customHeight="false" outlineLevel="0" collapsed="false">
      <c r="A82" s="0" t="s">
        <v>123</v>
      </c>
      <c r="C82" s="20" t="s">
        <v>201</v>
      </c>
      <c r="D82" s="41" t="n">
        <v>20000</v>
      </c>
      <c r="E82" s="42" t="n">
        <v>0.0151</v>
      </c>
      <c r="F82" s="43" t="n">
        <f aca="false">+E82*30.4</f>
        <v>0.45904</v>
      </c>
      <c r="G82" s="38" t="n">
        <f aca="false">+F82*D82</f>
        <v>9180.8</v>
      </c>
      <c r="H82" s="35" t="n">
        <v>2</v>
      </c>
      <c r="I82" s="38" t="n">
        <f aca="false">+H82*G82</f>
        <v>18361.6</v>
      </c>
      <c r="J82" s="44" t="n">
        <v>1</v>
      </c>
      <c r="K82" s="38" t="n">
        <f aca="false">+J82*I82</f>
        <v>18361.6</v>
      </c>
      <c r="L82" s="38"/>
      <c r="N82" s="47"/>
      <c r="O82" s="45"/>
      <c r="P82" s="14"/>
      <c r="Q82" s="14"/>
      <c r="R82" s="14"/>
      <c r="S82" s="14"/>
      <c r="T82" s="14"/>
      <c r="U82" s="14"/>
    </row>
    <row r="83" customFormat="false" ht="12.75" hidden="false" customHeight="false" outlineLevel="0" collapsed="false">
      <c r="C83" s="20"/>
      <c r="D83" s="41"/>
      <c r="E83" s="42"/>
      <c r="F83" s="43"/>
      <c r="G83" s="38"/>
      <c r="H83" s="35"/>
      <c r="I83" s="38"/>
      <c r="J83" s="44"/>
      <c r="K83" s="38"/>
      <c r="L83" s="38"/>
      <c r="N83" s="47"/>
      <c r="O83" s="45"/>
      <c r="P83" s="14"/>
      <c r="Q83" s="14"/>
      <c r="R83" s="14"/>
      <c r="S83" s="14"/>
      <c r="T83" s="14"/>
      <c r="U83" s="14"/>
    </row>
    <row r="84" customFormat="false" ht="12.75" hidden="false" customHeight="false" outlineLevel="0" collapsed="false">
      <c r="B84" s="0" t="s">
        <v>112</v>
      </c>
      <c r="C84" s="20" t="s">
        <v>113</v>
      </c>
      <c r="D84" s="41"/>
      <c r="E84" s="42"/>
      <c r="F84" s="43"/>
      <c r="G84" s="38"/>
      <c r="H84" s="35"/>
      <c r="I84" s="38"/>
      <c r="J84" s="44"/>
      <c r="K84" s="38" t="n">
        <v>700000</v>
      </c>
      <c r="L84" s="38"/>
      <c r="N84" s="47"/>
      <c r="O84" s="45"/>
      <c r="P84" s="14"/>
      <c r="Q84" s="14"/>
      <c r="R84" s="14"/>
      <c r="S84" s="14"/>
      <c r="T84" s="14"/>
      <c r="U84" s="14"/>
    </row>
    <row r="85" customFormat="false" ht="12.75" hidden="false" customHeight="false" outlineLevel="0" collapsed="false">
      <c r="D85" s="41"/>
      <c r="E85" s="42"/>
      <c r="F85" s="43"/>
      <c r="G85" s="38"/>
      <c r="H85" s="35"/>
      <c r="I85" s="38"/>
      <c r="J85" s="59"/>
      <c r="K85" s="38"/>
      <c r="L85" s="38"/>
      <c r="N85" s="14"/>
      <c r="O85" s="14"/>
      <c r="P85" s="14"/>
      <c r="Q85" s="14"/>
      <c r="R85" s="14"/>
      <c r="S85" s="14"/>
      <c r="T85" s="14"/>
      <c r="U85" s="14"/>
    </row>
    <row r="86" customFormat="false" ht="13.5" hidden="false" customHeight="false" outlineLevel="0" collapsed="false">
      <c r="D86" s="41"/>
      <c r="E86" s="42"/>
      <c r="F86" s="43"/>
      <c r="G86" s="38"/>
      <c r="H86" s="35"/>
      <c r="I86" s="38"/>
      <c r="J86" s="59"/>
      <c r="K86" s="88" t="n">
        <f aca="false">SUM(K72:K85)</f>
        <v>1928917.6</v>
      </c>
      <c r="L86" s="38"/>
      <c r="N86" s="14"/>
      <c r="O86" s="14"/>
      <c r="P86" s="14"/>
      <c r="Q86" s="14"/>
      <c r="R86" s="14"/>
      <c r="S86" s="14"/>
      <c r="T86" s="14"/>
      <c r="U86" s="14"/>
    </row>
    <row r="87" customFormat="false" ht="13.5" hidden="false" customHeight="false" outlineLevel="0" collapsed="false">
      <c r="D87" s="41"/>
      <c r="E87" s="42"/>
      <c r="F87" s="43"/>
      <c r="G87" s="38"/>
      <c r="H87" s="35"/>
      <c r="I87" s="38"/>
      <c r="J87" s="59"/>
      <c r="K87" s="38"/>
      <c r="L87" s="38"/>
      <c r="N87" s="14"/>
      <c r="O87" s="14"/>
      <c r="P87" s="14"/>
      <c r="Q87" s="14"/>
      <c r="R87" s="14"/>
      <c r="S87" s="14"/>
      <c r="T87" s="14"/>
      <c r="U87" s="14"/>
    </row>
    <row r="88" customFormat="false" ht="12.75" hidden="false" customHeight="false" outlineLevel="0" collapsed="false">
      <c r="F88" s="43"/>
      <c r="G88" s="38"/>
      <c r="H88" s="65"/>
      <c r="I88" s="66"/>
      <c r="J88" s="67"/>
      <c r="K88" s="68"/>
      <c r="L88" s="38"/>
      <c r="N88" s="14"/>
      <c r="O88" s="14"/>
      <c r="P88" s="14"/>
      <c r="Q88" s="14"/>
      <c r="R88" s="14"/>
      <c r="S88" s="14"/>
      <c r="T88" s="14"/>
      <c r="U88" s="14"/>
    </row>
    <row r="89" customFormat="false" ht="15.75" hidden="false" customHeight="false" outlineLevel="0" collapsed="false">
      <c r="F89" s="43"/>
      <c r="G89" s="38"/>
      <c r="H89" s="69"/>
      <c r="I89" s="70" t="s">
        <v>114</v>
      </c>
      <c r="J89" s="14"/>
      <c r="K89" s="71" t="n">
        <f aca="false">+K95-K93-K91</f>
        <v>176620779.952</v>
      </c>
      <c r="L89" s="38"/>
      <c r="N89" s="38"/>
      <c r="O89" s="38"/>
      <c r="P89" s="38"/>
      <c r="Q89" s="38"/>
      <c r="R89" s="38"/>
      <c r="S89" s="41"/>
      <c r="T89" s="14"/>
      <c r="U89" s="14"/>
    </row>
    <row r="90" customFormat="false" ht="15.75" hidden="false" customHeight="false" outlineLevel="0" collapsed="false">
      <c r="F90" s="43"/>
      <c r="G90" s="38"/>
      <c r="H90" s="69"/>
      <c r="I90" s="72"/>
      <c r="J90" s="14"/>
      <c r="K90" s="71"/>
      <c r="L90" s="38"/>
      <c r="N90" s="38"/>
      <c r="O90" s="38"/>
      <c r="P90" s="38"/>
      <c r="Q90" s="38"/>
      <c r="R90" s="38"/>
      <c r="S90" s="41"/>
      <c r="T90" s="14"/>
      <c r="U90" s="14"/>
    </row>
    <row r="91" customFormat="false" ht="15.75" hidden="false" customHeight="false" outlineLevel="0" collapsed="false">
      <c r="F91" s="43"/>
      <c r="G91" s="38"/>
      <c r="H91" s="69"/>
      <c r="I91" s="72" t="s">
        <v>115</v>
      </c>
      <c r="J91" s="14"/>
      <c r="K91" s="71" t="n">
        <f aca="false">+I67</f>
        <v>8114440.448</v>
      </c>
      <c r="L91" s="38"/>
      <c r="N91" s="38"/>
      <c r="O91" s="38"/>
      <c r="P91" s="38"/>
      <c r="Q91" s="38"/>
      <c r="R91" s="38"/>
      <c r="S91" s="41"/>
      <c r="T91" s="14"/>
      <c r="U91" s="14"/>
    </row>
    <row r="92" customFormat="false" ht="15.75" hidden="false" customHeight="false" outlineLevel="0" collapsed="false">
      <c r="F92" s="43"/>
      <c r="H92" s="69"/>
      <c r="I92" s="72"/>
      <c r="J92" s="14"/>
      <c r="K92" s="71"/>
      <c r="L92" s="38"/>
      <c r="N92" s="38"/>
      <c r="O92" s="38"/>
      <c r="P92" s="38"/>
      <c r="Q92" s="38"/>
      <c r="R92" s="38"/>
      <c r="S92" s="41"/>
      <c r="T92" s="14"/>
      <c r="U92" s="14"/>
    </row>
    <row r="93" customFormat="false" ht="15.75" hidden="false" customHeight="false" outlineLevel="0" collapsed="false">
      <c r="F93" s="43"/>
      <c r="H93" s="69"/>
      <c r="I93" s="72" t="s">
        <v>116</v>
      </c>
      <c r="J93" s="14"/>
      <c r="K93" s="71" t="n">
        <f aca="false">+K86</f>
        <v>1928917.6</v>
      </c>
      <c r="L93" s="38"/>
      <c r="N93" s="38"/>
      <c r="O93" s="38"/>
      <c r="P93" s="38"/>
      <c r="Q93" s="38"/>
      <c r="R93" s="38"/>
      <c r="S93" s="41"/>
      <c r="T93" s="14"/>
      <c r="U93" s="14"/>
    </row>
    <row r="94" customFormat="false" ht="15.75" hidden="false" customHeight="false" outlineLevel="0" collapsed="false">
      <c r="F94" s="43"/>
      <c r="H94" s="69"/>
      <c r="I94" s="89"/>
      <c r="J94" s="59"/>
      <c r="K94" s="71"/>
      <c r="L94" s="38"/>
      <c r="N94" s="38"/>
      <c r="O94" s="38"/>
      <c r="P94" s="38"/>
      <c r="Q94" s="38"/>
      <c r="R94" s="38"/>
      <c r="S94" s="41"/>
      <c r="T94" s="14"/>
      <c r="U94" s="14"/>
    </row>
    <row r="95" customFormat="false" ht="15.75" hidden="false" customHeight="false" outlineLevel="0" collapsed="false">
      <c r="B95" s="0" t="str">
        <f aca="true">CELL("filename")</f>
        <v>'file:///mnt/12tb/@roms/datasets/enron/EDRM Enron Email Data Set v2 XML/filtered-attachments/xls/2002_Plan_Contracted_uncontracted_stretch_9_21_01.xls'#$Central by Risk Category</v>
      </c>
      <c r="F95" s="43"/>
      <c r="H95" s="73"/>
      <c r="I95" s="74" t="s">
        <v>117</v>
      </c>
      <c r="J95" s="75"/>
      <c r="K95" s="76" t="n">
        <v>186664138</v>
      </c>
      <c r="L95" s="38"/>
      <c r="N95" s="38"/>
      <c r="O95" s="38"/>
      <c r="P95" s="38"/>
      <c r="Q95" s="38"/>
      <c r="R95" s="38"/>
      <c r="S95" s="41"/>
      <c r="T95" s="14"/>
      <c r="U95" s="14"/>
    </row>
    <row r="96" customFormat="false" ht="12.75" hidden="false" customHeight="false" outlineLevel="0" collapsed="false">
      <c r="F96" s="43"/>
      <c r="I96" s="38"/>
      <c r="J96" s="59"/>
      <c r="K96" s="38"/>
      <c r="L96" s="38"/>
      <c r="N96" s="14"/>
      <c r="O96" s="14"/>
      <c r="P96" s="14"/>
      <c r="Q96" s="14"/>
      <c r="R96" s="14"/>
      <c r="S96" s="41"/>
      <c r="T96" s="14"/>
      <c r="U96" s="14"/>
    </row>
    <row r="97" customFormat="false" ht="12.75" hidden="false" customHeight="false" outlineLevel="0" collapsed="false">
      <c r="F97" s="43"/>
      <c r="J97" s="59"/>
      <c r="K97" s="38"/>
      <c r="L97" s="38"/>
      <c r="N97" s="14"/>
      <c r="O97" s="14"/>
      <c r="P97" s="14"/>
      <c r="Q97" s="14"/>
      <c r="R97" s="14"/>
      <c r="S97" s="41"/>
      <c r="T97" s="14"/>
      <c r="U97" s="14"/>
    </row>
    <row r="98" customFormat="false" ht="18" hidden="false" customHeight="false" outlineLevel="0" collapsed="false">
      <c r="C98" s="90"/>
      <c r="F98" s="43"/>
      <c r="J98" s="59"/>
      <c r="N98" s="14"/>
      <c r="O98" s="14"/>
      <c r="P98" s="14"/>
      <c r="Q98" s="14"/>
      <c r="R98" s="14"/>
      <c r="S98" s="14"/>
      <c r="T98" s="14"/>
      <c r="U98" s="14"/>
    </row>
    <row r="99" customFormat="false" ht="12.75" hidden="false" customHeight="false" outlineLevel="0" collapsed="false">
      <c r="F99" s="43"/>
      <c r="J99" s="59"/>
      <c r="N99" s="14"/>
      <c r="O99" s="14"/>
      <c r="P99" s="14"/>
      <c r="Q99" s="14"/>
      <c r="R99" s="14"/>
      <c r="S99" s="14"/>
      <c r="T99" s="14"/>
      <c r="U99" s="14"/>
    </row>
    <row r="100" customFormat="false" ht="12.75" hidden="false" customHeight="false" outlineLevel="0" collapsed="false">
      <c r="F100" s="43"/>
      <c r="J100" s="59"/>
      <c r="N100" s="14"/>
      <c r="O100" s="14"/>
      <c r="P100" s="14"/>
      <c r="Q100" s="14"/>
      <c r="R100" s="14"/>
      <c r="S100" s="14"/>
      <c r="T100" s="14"/>
      <c r="U100" s="14"/>
    </row>
    <row r="101" customFormat="false" ht="12.75" hidden="false" customHeight="false" outlineLevel="0" collapsed="false">
      <c r="F101" s="43"/>
      <c r="J101" s="59"/>
      <c r="N101" s="14"/>
      <c r="O101" s="14"/>
      <c r="P101" s="14"/>
      <c r="Q101" s="14"/>
      <c r="R101" s="14"/>
      <c r="S101" s="14"/>
      <c r="T101" s="14"/>
      <c r="U101" s="14"/>
    </row>
    <row r="102" customFormat="false" ht="12.75" hidden="false" customHeight="false" outlineLevel="0" collapsed="false">
      <c r="F102" s="43"/>
      <c r="J102" s="59"/>
      <c r="N102" s="14"/>
      <c r="O102" s="14"/>
      <c r="P102" s="14"/>
      <c r="Q102" s="14"/>
      <c r="R102" s="14"/>
      <c r="S102" s="14"/>
      <c r="T102" s="14"/>
      <c r="U102" s="14"/>
    </row>
    <row r="103" customFormat="false" ht="12.75" hidden="false" customHeight="false" outlineLevel="0" collapsed="false">
      <c r="F103" s="43"/>
      <c r="J103" s="59"/>
      <c r="N103" s="14"/>
      <c r="O103" s="14"/>
      <c r="P103" s="14"/>
      <c r="Q103" s="14"/>
      <c r="R103" s="14"/>
      <c r="S103" s="14"/>
      <c r="T103" s="14"/>
      <c r="U103" s="14"/>
    </row>
    <row r="104" customFormat="false" ht="12.75" hidden="false" customHeight="false" outlineLevel="0" collapsed="false">
      <c r="F104" s="43"/>
      <c r="J104" s="59"/>
      <c r="N104" s="14"/>
      <c r="O104" s="14"/>
      <c r="P104" s="14"/>
      <c r="Q104" s="14"/>
      <c r="R104" s="14"/>
      <c r="S104" s="14"/>
      <c r="T104" s="14"/>
      <c r="U104" s="14"/>
    </row>
    <row r="105" customFormat="false" ht="12.75" hidden="false" customHeight="false" outlineLevel="0" collapsed="false">
      <c r="F105" s="43"/>
      <c r="J105" s="59"/>
      <c r="N105" s="14"/>
      <c r="O105" s="14"/>
      <c r="P105" s="14"/>
      <c r="Q105" s="14"/>
      <c r="R105" s="14"/>
      <c r="S105" s="14"/>
      <c r="T105" s="14"/>
      <c r="U105" s="14"/>
    </row>
    <row r="106" customFormat="false" ht="12.75" hidden="false" customHeight="false" outlineLevel="0" collapsed="false">
      <c r="F106" s="43"/>
      <c r="J106" s="59"/>
    </row>
    <row r="107" customFormat="false" ht="12.75" hidden="false" customHeight="false" outlineLevel="0" collapsed="false">
      <c r="F107" s="43"/>
      <c r="J107" s="59"/>
    </row>
    <row r="108" customFormat="false" ht="12.75" hidden="false" customHeight="false" outlineLevel="0" collapsed="false">
      <c r="J108" s="59"/>
    </row>
    <row r="109" customFormat="false" ht="12.75" hidden="false" customHeight="false" outlineLevel="0" collapsed="false">
      <c r="J109" s="59"/>
    </row>
    <row r="110" customFormat="false" ht="12.75" hidden="false" customHeight="false" outlineLevel="0" collapsed="false">
      <c r="J110" s="59"/>
    </row>
    <row r="111" customFormat="false" ht="12.75" hidden="false" customHeight="false" outlineLevel="0" collapsed="false">
      <c r="J111" s="59"/>
    </row>
    <row r="112" customFormat="false" ht="12.75" hidden="false" customHeight="false" outlineLevel="0" collapsed="false">
      <c r="J112" s="59"/>
    </row>
    <row r="113" customFormat="false" ht="12.75" hidden="false" customHeight="false" outlineLevel="0" collapsed="false">
      <c r="J113" s="59"/>
    </row>
    <row r="114" customFormat="false" ht="12.75" hidden="false" customHeight="false" outlineLevel="0" collapsed="false">
      <c r="J114" s="59"/>
    </row>
    <row r="115" customFormat="false" ht="12.75" hidden="false" customHeight="false" outlineLevel="0" collapsed="false">
      <c r="J115" s="59"/>
    </row>
    <row r="116" customFormat="false" ht="12.75" hidden="false" customHeight="false" outlineLevel="0" collapsed="false">
      <c r="J116" s="59"/>
    </row>
    <row r="117" customFormat="false" ht="12.75" hidden="false" customHeight="false" outlineLevel="0" collapsed="false">
      <c r="J117" s="59"/>
    </row>
    <row r="118" customFormat="false" ht="12.75" hidden="false" customHeight="false" outlineLevel="0" collapsed="false">
      <c r="J118" s="59"/>
    </row>
    <row r="119" customFormat="false" ht="12.75" hidden="false" customHeight="false" outlineLevel="0" collapsed="false">
      <c r="J119" s="59"/>
    </row>
    <row r="120" customFormat="false" ht="12.75" hidden="false" customHeight="false" outlineLevel="0" collapsed="false">
      <c r="J120" s="59"/>
    </row>
    <row r="121" customFormat="false" ht="12.75" hidden="false" customHeight="false" outlineLevel="0" collapsed="false">
      <c r="J121" s="59"/>
    </row>
    <row r="122" customFormat="false" ht="12.75" hidden="false" customHeight="false" outlineLevel="0" collapsed="false">
      <c r="J122" s="59"/>
    </row>
    <row r="123" customFormat="false" ht="12.75" hidden="false" customHeight="false" outlineLevel="0" collapsed="false">
      <c r="J123" s="59"/>
    </row>
    <row r="124" customFormat="false" ht="12.75" hidden="false" customHeight="false" outlineLevel="0" collapsed="false">
      <c r="J124" s="59"/>
    </row>
    <row r="125" customFormat="false" ht="12.75" hidden="false" customHeight="false" outlineLevel="0" collapsed="false">
      <c r="J125" s="59"/>
    </row>
    <row r="126" customFormat="false" ht="12.75" hidden="false" customHeight="false" outlineLevel="0" collapsed="false">
      <c r="J126" s="59"/>
    </row>
    <row r="127" customFormat="false" ht="12.75" hidden="false" customHeight="false" outlineLevel="0" collapsed="false">
      <c r="J127" s="59"/>
    </row>
    <row r="128" customFormat="false" ht="12.75" hidden="false" customHeight="false" outlineLevel="0" collapsed="false">
      <c r="J128" s="59"/>
    </row>
    <row r="129" customFormat="false" ht="12.75" hidden="false" customHeight="false" outlineLevel="0" collapsed="false">
      <c r="J129" s="59"/>
    </row>
    <row r="130" customFormat="false" ht="12.75" hidden="false" customHeight="false" outlineLevel="0" collapsed="false">
      <c r="J130" s="59"/>
    </row>
    <row r="131" customFormat="false" ht="12.75" hidden="false" customHeight="false" outlineLevel="0" collapsed="false">
      <c r="J131" s="59"/>
    </row>
    <row r="132" customFormat="false" ht="12.75" hidden="false" customHeight="false" outlineLevel="0" collapsed="false">
      <c r="J132" s="59"/>
    </row>
    <row r="133" customFormat="false" ht="12.75" hidden="false" customHeight="false" outlineLevel="0" collapsed="false">
      <c r="J133" s="59"/>
    </row>
    <row r="134" customFormat="false" ht="12.75" hidden="false" customHeight="false" outlineLevel="0" collapsed="false">
      <c r="J134" s="59"/>
    </row>
    <row r="135" customFormat="false" ht="12.75" hidden="false" customHeight="false" outlineLevel="0" collapsed="false">
      <c r="J135" s="59"/>
    </row>
    <row r="136" customFormat="false" ht="12.75" hidden="false" customHeight="false" outlineLevel="0" collapsed="false">
      <c r="J136" s="59"/>
    </row>
    <row r="137" customFormat="false" ht="12.75" hidden="false" customHeight="false" outlineLevel="0" collapsed="false">
      <c r="J137" s="59"/>
    </row>
    <row r="138" customFormat="false" ht="12.75" hidden="false" customHeight="false" outlineLevel="0" collapsed="false">
      <c r="J138" s="59"/>
    </row>
    <row r="139" customFormat="false" ht="12.75" hidden="false" customHeight="false" outlineLevel="0" collapsed="false">
      <c r="J139" s="59"/>
    </row>
    <row r="140" customFormat="false" ht="12.75" hidden="false" customHeight="false" outlineLevel="0" collapsed="false">
      <c r="J140" s="59"/>
    </row>
    <row r="141" customFormat="false" ht="12.75" hidden="false" customHeight="false" outlineLevel="0" collapsed="false">
      <c r="J141" s="59"/>
    </row>
    <row r="142" customFormat="false" ht="12.75" hidden="false" customHeight="false" outlineLevel="0" collapsed="false">
      <c r="J142" s="59"/>
    </row>
    <row r="143" customFormat="false" ht="12.75" hidden="false" customHeight="false" outlineLevel="0" collapsed="false">
      <c r="J143" s="59"/>
    </row>
    <row r="144" customFormat="false" ht="12.75" hidden="false" customHeight="false" outlineLevel="0" collapsed="false">
      <c r="J144" s="59"/>
    </row>
    <row r="145" customFormat="false" ht="12.75" hidden="false" customHeight="false" outlineLevel="0" collapsed="false">
      <c r="J145" s="59"/>
    </row>
    <row r="146" customFormat="false" ht="12.75" hidden="false" customHeight="false" outlineLevel="0" collapsed="false">
      <c r="J146" s="59"/>
    </row>
    <row r="147" customFormat="false" ht="12.75" hidden="false" customHeight="false" outlineLevel="0" collapsed="false">
      <c r="J147" s="59"/>
    </row>
    <row r="148" customFormat="false" ht="12.75" hidden="false" customHeight="false" outlineLevel="0" collapsed="false">
      <c r="J148" s="59"/>
    </row>
    <row r="149" customFormat="false" ht="12.75" hidden="false" customHeight="false" outlineLevel="0" collapsed="false">
      <c r="J149" s="59"/>
    </row>
    <row r="150" customFormat="false" ht="12.75" hidden="false" customHeight="false" outlineLevel="0" collapsed="false">
      <c r="J150" s="59"/>
    </row>
    <row r="151" customFormat="false" ht="12.75" hidden="false" customHeight="false" outlineLevel="0" collapsed="false">
      <c r="J151" s="59"/>
    </row>
    <row r="152" customFormat="false" ht="12.75" hidden="false" customHeight="false" outlineLevel="0" collapsed="false">
      <c r="J152" s="59"/>
    </row>
    <row r="153" customFormat="false" ht="12.75" hidden="false" customHeight="false" outlineLevel="0" collapsed="false">
      <c r="J153" s="59"/>
    </row>
    <row r="154" customFormat="false" ht="12.75" hidden="false" customHeight="false" outlineLevel="0" collapsed="false">
      <c r="J154" s="59"/>
    </row>
    <row r="155" customFormat="false" ht="12.75" hidden="false" customHeight="false" outlineLevel="0" collapsed="false">
      <c r="J155" s="59"/>
    </row>
    <row r="156" customFormat="false" ht="12.75" hidden="false" customHeight="false" outlineLevel="0" collapsed="false">
      <c r="J156" s="59"/>
    </row>
    <row r="157" customFormat="false" ht="12.75" hidden="false" customHeight="false" outlineLevel="0" collapsed="false">
      <c r="J157" s="59"/>
    </row>
    <row r="158" customFormat="false" ht="12.75" hidden="false" customHeight="false" outlineLevel="0" collapsed="false">
      <c r="J158" s="59"/>
    </row>
    <row r="159" customFormat="false" ht="12.75" hidden="false" customHeight="false" outlineLevel="0" collapsed="false">
      <c r="J159" s="59"/>
    </row>
    <row r="160" customFormat="false" ht="12.75" hidden="false" customHeight="false" outlineLevel="0" collapsed="false">
      <c r="J160" s="59"/>
    </row>
    <row r="161" customFormat="false" ht="12.75" hidden="false" customHeight="false" outlineLevel="0" collapsed="false">
      <c r="J161" s="59"/>
    </row>
    <row r="162" customFormat="false" ht="12.75" hidden="false" customHeight="false" outlineLevel="0" collapsed="false">
      <c r="J162" s="59"/>
    </row>
    <row r="163" customFormat="false" ht="12.75" hidden="false" customHeight="false" outlineLevel="0" collapsed="false">
      <c r="J163" s="59"/>
    </row>
    <row r="164" customFormat="false" ht="12.75" hidden="false" customHeight="false" outlineLevel="0" collapsed="false">
      <c r="J164" s="59"/>
    </row>
    <row r="165" customFormat="false" ht="12.75" hidden="false" customHeight="false" outlineLevel="0" collapsed="false">
      <c r="J165" s="59"/>
    </row>
    <row r="166" customFormat="false" ht="12.75" hidden="false" customHeight="false" outlineLevel="0" collapsed="false">
      <c r="J166" s="59"/>
    </row>
    <row r="167" customFormat="false" ht="12.75" hidden="false" customHeight="false" outlineLevel="0" collapsed="false">
      <c r="J167" s="59"/>
    </row>
    <row r="168" customFormat="false" ht="12.75" hidden="false" customHeight="false" outlineLevel="0" collapsed="false">
      <c r="J168" s="59"/>
    </row>
    <row r="169" customFormat="false" ht="12.75" hidden="false" customHeight="false" outlineLevel="0" collapsed="false">
      <c r="J169" s="59"/>
    </row>
  </sheetData>
  <mergeCells count="4">
    <mergeCell ref="B1:L1"/>
    <mergeCell ref="B2:L2"/>
    <mergeCell ref="B8:L8"/>
    <mergeCell ref="B70:L70"/>
  </mergeCells>
  <printOptions headings="false" gridLines="false" gridLinesSet="true" horizontalCentered="false" verticalCentered="false"/>
  <pageMargins left="0.320138888888889" right="0.279861111111111" top="0.25" bottom="0.359722222222222" header="0.511811023622047" footer="0.209722222222222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
&amp;T&amp;CPage &amp;P of &amp;N&amp;R&amp;F
&amp;A</oddFooter>
  </headerFooter>
  <rowBreaks count="1" manualBreakCount="1">
    <brk id="68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2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1.14"/>
    <col collapsed="false" customWidth="true" hidden="false" outlineLevel="0" max="4" min="3" style="0" width="10.28"/>
    <col collapsed="false" customWidth="true" hidden="false" outlineLevel="0" max="5" min="5" style="0" width="11.28"/>
    <col collapsed="false" customWidth="true" hidden="false" outlineLevel="0" max="6" min="6" style="0" width="12.28"/>
    <col collapsed="false" customWidth="true" hidden="false" outlineLevel="0" max="8" min="8" style="0" width="12.28"/>
    <col collapsed="false" customWidth="true" hidden="false" outlineLevel="0" max="9" min="9" style="0" width="11.99"/>
    <col collapsed="false" customWidth="true" hidden="false" outlineLevel="0" max="10" min="10" style="0" width="21.84"/>
    <col collapsed="false" customWidth="true" hidden="false" outlineLevel="0" max="11" min="11" style="0" width="41.99"/>
    <col collapsed="false" customWidth="true" hidden="false" outlineLevel="0" max="12" min="12" style="0" width="2.42"/>
    <col collapsed="false" customWidth="true" hidden="false" outlineLevel="0" max="14" min="13" style="0" width="12.85"/>
    <col collapsed="false" customWidth="true" hidden="false" outlineLevel="0" max="15" min="15" style="0" width="18.41"/>
    <col collapsed="false" customWidth="true" hidden="false" outlineLevel="0" max="17" min="16" style="0" width="12.85"/>
    <col collapsed="false" customWidth="true" hidden="false" outlineLevel="0" max="18" min="18" style="0" width="14.28"/>
    <col collapsed="false" customWidth="true" hidden="false" outlineLevel="0" max="19" min="19" style="0" width="11.28"/>
  </cols>
  <sheetData>
    <row r="1" customFormat="false" ht="26.25" hidden="false" customHeight="false" outlineLevel="0" collapsed="false">
      <c r="A1" s="34" t="s">
        <v>202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customFormat="false" ht="15.75" hidden="false" customHeight="false" outlineLevel="0" collapsed="false">
      <c r="A2" s="11" t="s">
        <v>45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customFormat="false" ht="12.75" hidden="false" customHeight="false" outlineLevel="0" collapsed="false">
      <c r="B3" s="16"/>
    </row>
    <row r="4" customFormat="false" ht="12.75" hidden="false" customHeight="false" outlineLevel="0" collapsed="false">
      <c r="B4" s="16"/>
      <c r="M4" s="14"/>
      <c r="N4" s="14"/>
      <c r="O4" s="14"/>
      <c r="P4" s="14"/>
      <c r="Q4" s="14"/>
      <c r="R4" s="14"/>
      <c r="S4" s="14"/>
      <c r="T4" s="14"/>
    </row>
    <row r="5" customFormat="false" ht="12.75" hidden="false" customHeight="false" outlineLevel="0" collapsed="false">
      <c r="M5" s="14"/>
      <c r="N5" s="14"/>
      <c r="O5" s="14"/>
      <c r="P5" s="14"/>
      <c r="Q5" s="14"/>
      <c r="R5" s="14"/>
      <c r="S5" s="14"/>
      <c r="T5" s="14"/>
    </row>
    <row r="6" customFormat="false" ht="12.75" hidden="false" customHeight="false" outlineLevel="0" collapsed="false">
      <c r="A6" s="35"/>
      <c r="B6" s="35"/>
      <c r="C6" s="35"/>
      <c r="D6" s="35"/>
      <c r="E6" s="35" t="s">
        <v>46</v>
      </c>
      <c r="F6" s="35" t="s">
        <v>46</v>
      </c>
      <c r="G6" s="35"/>
      <c r="H6" s="35" t="s">
        <v>5</v>
      </c>
      <c r="I6" s="36" t="s">
        <v>47</v>
      </c>
      <c r="J6" s="35" t="s">
        <v>48</v>
      </c>
      <c r="K6" s="35"/>
      <c r="M6" s="14"/>
      <c r="N6" s="14"/>
      <c r="O6" s="14"/>
      <c r="P6" s="14"/>
      <c r="Q6" s="14"/>
      <c r="R6" s="14"/>
      <c r="S6" s="14"/>
      <c r="T6" s="14"/>
    </row>
    <row r="7" customFormat="false" ht="12.75" hidden="false" customHeight="false" outlineLevel="0" collapsed="false">
      <c r="A7" s="37" t="s">
        <v>49</v>
      </c>
      <c r="B7" s="37" t="s">
        <v>50</v>
      </c>
      <c r="C7" s="37" t="s">
        <v>51</v>
      </c>
      <c r="D7" s="37" t="s">
        <v>52</v>
      </c>
      <c r="E7" s="37" t="s">
        <v>52</v>
      </c>
      <c r="F7" s="37" t="s">
        <v>6</v>
      </c>
      <c r="G7" s="37" t="s">
        <v>53</v>
      </c>
      <c r="H7" s="37" t="s">
        <v>6</v>
      </c>
      <c r="I7" s="37" t="s">
        <v>54</v>
      </c>
      <c r="J7" s="37" t="s">
        <v>6</v>
      </c>
      <c r="K7" s="37" t="s">
        <v>55</v>
      </c>
      <c r="M7" s="36"/>
      <c r="N7" s="36"/>
      <c r="O7" s="36"/>
      <c r="P7" s="36"/>
      <c r="Q7" s="36"/>
      <c r="R7" s="14"/>
      <c r="S7" s="14"/>
      <c r="T7" s="14"/>
    </row>
    <row r="8" customFormat="false" ht="12.75" hidden="false" customHeight="false" outlineLevel="0" collapsed="false">
      <c r="F8" s="38"/>
      <c r="J8" s="38"/>
      <c r="K8" s="38"/>
      <c r="M8" s="14"/>
      <c r="N8" s="14"/>
      <c r="O8" s="14"/>
      <c r="P8" s="14"/>
      <c r="Q8" s="14"/>
      <c r="R8" s="14"/>
      <c r="S8" s="14"/>
      <c r="T8" s="14"/>
    </row>
    <row r="9" customFormat="false" ht="12.75" hidden="false" customHeight="false" outlineLevel="0" collapsed="false">
      <c r="F9" s="38"/>
      <c r="J9" s="38"/>
      <c r="K9" s="38"/>
      <c r="M9" s="14"/>
      <c r="N9" s="14"/>
      <c r="O9" s="14"/>
      <c r="P9" s="14"/>
      <c r="Q9" s="14"/>
      <c r="R9" s="14"/>
      <c r="S9" s="14"/>
      <c r="T9" s="14"/>
    </row>
    <row r="10" customFormat="false" ht="20.25" hidden="false" customHeight="false" outlineLevel="0" collapsed="false">
      <c r="A10" s="39" t="s">
        <v>56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M10" s="14"/>
      <c r="N10" s="14"/>
      <c r="O10" s="14"/>
      <c r="P10" s="14"/>
      <c r="Q10" s="14"/>
      <c r="R10" s="14"/>
      <c r="S10" s="14"/>
      <c r="T10" s="14"/>
    </row>
    <row r="11" customFormat="false" ht="12.75" hidden="false" customHeight="false" outlineLevel="0" collapsed="false">
      <c r="F11" s="38"/>
      <c r="J11" s="38"/>
      <c r="K11" s="38"/>
      <c r="M11" s="14"/>
      <c r="N11" s="14"/>
      <c r="O11" s="14"/>
      <c r="P11" s="14"/>
      <c r="Q11" s="14"/>
      <c r="R11" s="14"/>
      <c r="S11" s="14"/>
      <c r="T11" s="14"/>
    </row>
    <row r="12" customFormat="false" ht="12.75" hidden="false" customHeight="false" outlineLevel="0" collapsed="false">
      <c r="A12" s="0" t="s">
        <v>203</v>
      </c>
      <c r="B12" s="46" t="s">
        <v>204</v>
      </c>
      <c r="C12" s="41" t="n">
        <v>4750</v>
      </c>
      <c r="D12" s="46" t="n">
        <v>0</v>
      </c>
      <c r="E12" s="43" t="n">
        <v>7.0627</v>
      </c>
      <c r="F12" s="38" t="n">
        <f aca="false">+E12*C12</f>
        <v>33547.825</v>
      </c>
      <c r="G12" s="35" t="n">
        <v>6</v>
      </c>
      <c r="H12" s="38" t="n">
        <f aca="false">+G12*F12</f>
        <v>201286.95</v>
      </c>
      <c r="I12" s="44" t="n">
        <v>1</v>
      </c>
      <c r="J12" s="38" t="n">
        <f aca="false">+H12*I12</f>
        <v>201286.95</v>
      </c>
      <c r="K12" s="38" t="s">
        <v>205</v>
      </c>
      <c r="M12" s="45"/>
      <c r="N12" s="14"/>
      <c r="O12" s="14"/>
      <c r="P12" s="14"/>
      <c r="Q12" s="14"/>
      <c r="R12" s="14"/>
      <c r="S12" s="14"/>
      <c r="T12" s="14"/>
    </row>
    <row r="13" customFormat="false" ht="12.75" hidden="false" customHeight="false" outlineLevel="0" collapsed="false">
      <c r="B13" s="46"/>
      <c r="C13" s="41"/>
      <c r="D13" s="46"/>
      <c r="E13" s="43"/>
      <c r="F13" s="38"/>
      <c r="G13" s="35"/>
      <c r="H13" s="38"/>
      <c r="I13" s="44"/>
      <c r="J13" s="38"/>
      <c r="K13" s="38"/>
      <c r="M13" s="45"/>
      <c r="N13" s="14"/>
      <c r="O13" s="14"/>
      <c r="P13" s="14"/>
      <c r="Q13" s="14"/>
      <c r="R13" s="14"/>
      <c r="S13" s="14"/>
      <c r="T13" s="14"/>
    </row>
    <row r="14" customFormat="false" ht="12.75" hidden="false" customHeight="false" outlineLevel="0" collapsed="false">
      <c r="A14" s="0" t="s">
        <v>206</v>
      </c>
      <c r="B14" s="46" t="s">
        <v>207</v>
      </c>
      <c r="C14" s="41" t="n">
        <v>4500</v>
      </c>
      <c r="D14" s="46" t="n">
        <v>0</v>
      </c>
      <c r="E14" s="43" t="n">
        <v>6.4631</v>
      </c>
      <c r="F14" s="38" t="n">
        <f aca="false">+E14*C14</f>
        <v>29083.95</v>
      </c>
      <c r="G14" s="35" t="n">
        <v>2</v>
      </c>
      <c r="H14" s="38" t="n">
        <f aca="false">+G14*F14</f>
        <v>58167.9</v>
      </c>
      <c r="I14" s="44" t="n">
        <v>1</v>
      </c>
      <c r="J14" s="38" t="n">
        <f aca="false">+H14*I14</f>
        <v>58167.9</v>
      </c>
      <c r="K14" s="38" t="s">
        <v>208</v>
      </c>
      <c r="M14" s="45"/>
      <c r="N14" s="14"/>
      <c r="O14" s="14"/>
      <c r="P14" s="14"/>
      <c r="Q14" s="14"/>
      <c r="R14" s="14"/>
      <c r="S14" s="14"/>
      <c r="T14" s="14"/>
    </row>
    <row r="15" customFormat="false" ht="12.75" hidden="false" customHeight="false" outlineLevel="0" collapsed="false">
      <c r="B15" s="46"/>
      <c r="C15" s="41"/>
      <c r="D15" s="46"/>
      <c r="E15" s="43"/>
      <c r="F15" s="38"/>
      <c r="G15" s="35"/>
      <c r="H15" s="38"/>
      <c r="I15" s="44"/>
      <c r="J15" s="38"/>
      <c r="K15" s="38"/>
      <c r="M15" s="45"/>
      <c r="N15" s="14"/>
      <c r="O15" s="14"/>
      <c r="P15" s="14"/>
      <c r="Q15" s="14"/>
      <c r="R15" s="14"/>
      <c r="S15" s="14"/>
      <c r="T15" s="14"/>
    </row>
    <row r="16" customFormat="false" ht="12.75" hidden="false" customHeight="false" outlineLevel="0" collapsed="false">
      <c r="B16" s="46"/>
      <c r="C16" s="41"/>
      <c r="D16" s="46"/>
      <c r="E16" s="43"/>
      <c r="F16" s="38"/>
      <c r="G16" s="35"/>
      <c r="H16" s="38"/>
      <c r="I16" s="44"/>
      <c r="J16" s="38"/>
      <c r="K16" s="38"/>
      <c r="M16" s="45"/>
      <c r="N16" s="14"/>
      <c r="O16" s="14"/>
      <c r="P16" s="14"/>
      <c r="Q16" s="14"/>
      <c r="R16" s="14"/>
      <c r="S16" s="14"/>
      <c r="T16" s="14"/>
    </row>
    <row r="17" customFormat="false" ht="12.75" hidden="false" customHeight="false" outlineLevel="0" collapsed="false">
      <c r="B17" s="46"/>
      <c r="C17" s="41"/>
      <c r="D17" s="46"/>
      <c r="E17" s="43"/>
      <c r="F17" s="38"/>
      <c r="G17" s="35"/>
      <c r="H17" s="38"/>
      <c r="I17" s="44"/>
      <c r="J17" s="38"/>
      <c r="K17" s="38"/>
      <c r="M17" s="45"/>
      <c r="N17" s="14"/>
      <c r="O17" s="14"/>
      <c r="P17" s="14"/>
      <c r="Q17" s="14"/>
      <c r="R17" s="14"/>
      <c r="S17" s="14"/>
      <c r="T17" s="14"/>
    </row>
    <row r="18" customFormat="false" ht="12.75" hidden="false" customHeight="false" outlineLevel="0" collapsed="false">
      <c r="B18" s="46"/>
      <c r="C18" s="41"/>
      <c r="D18" s="46"/>
      <c r="E18" s="43"/>
      <c r="F18" s="38"/>
      <c r="G18" s="35"/>
      <c r="H18" s="38"/>
      <c r="I18" s="44"/>
      <c r="J18" s="38"/>
      <c r="K18" s="38"/>
      <c r="M18" s="45"/>
      <c r="N18" s="14"/>
      <c r="O18" s="14"/>
      <c r="P18" s="14"/>
      <c r="Q18" s="14"/>
      <c r="R18" s="14"/>
      <c r="S18" s="14"/>
      <c r="T18" s="14"/>
    </row>
    <row r="19" customFormat="false" ht="12.75" hidden="false" customHeight="false" outlineLevel="0" collapsed="false">
      <c r="B19" s="46"/>
      <c r="C19" s="41"/>
      <c r="D19" s="46"/>
      <c r="E19" s="43"/>
      <c r="F19" s="38"/>
      <c r="G19" s="35"/>
      <c r="H19" s="38"/>
      <c r="I19" s="44"/>
      <c r="J19" s="38"/>
      <c r="K19" s="38"/>
      <c r="M19" s="45"/>
      <c r="N19" s="14"/>
      <c r="O19" s="14"/>
      <c r="P19" s="14"/>
      <c r="Q19" s="14"/>
      <c r="R19" s="14"/>
      <c r="S19" s="14"/>
      <c r="T19" s="14"/>
    </row>
    <row r="20" customFormat="false" ht="12.75" hidden="false" customHeight="false" outlineLevel="0" collapsed="false">
      <c r="C20" s="41"/>
      <c r="D20" s="41"/>
      <c r="E20" s="43"/>
      <c r="F20" s="38"/>
      <c r="G20" s="35"/>
      <c r="H20" s="38"/>
      <c r="I20" s="44"/>
      <c r="J20" s="38"/>
      <c r="K20" s="38"/>
      <c r="M20" s="47"/>
      <c r="N20" s="14"/>
      <c r="O20" s="14"/>
      <c r="P20" s="14"/>
      <c r="Q20" s="14"/>
      <c r="R20" s="14"/>
      <c r="S20" s="14"/>
      <c r="T20" s="14"/>
    </row>
    <row r="21" customFormat="false" ht="12.75" hidden="false" customHeight="false" outlineLevel="0" collapsed="false">
      <c r="A21" s="0" t="s">
        <v>93</v>
      </c>
      <c r="B21" s="0" t="s">
        <v>209</v>
      </c>
      <c r="C21" s="41"/>
      <c r="D21" s="46"/>
      <c r="E21" s="43"/>
      <c r="F21" s="38"/>
      <c r="G21" s="35" t="n">
        <v>6</v>
      </c>
      <c r="H21" s="38" t="n">
        <v>15023</v>
      </c>
      <c r="I21" s="44" t="n">
        <v>1</v>
      </c>
      <c r="J21" s="38" t="n">
        <f aca="false">+H21*I21-1</f>
        <v>15022</v>
      </c>
      <c r="K21" s="38"/>
      <c r="M21" s="47"/>
      <c r="N21" s="45"/>
      <c r="O21" s="14"/>
      <c r="P21" s="14"/>
      <c r="Q21" s="14"/>
      <c r="R21" s="14"/>
      <c r="S21" s="14"/>
      <c r="T21" s="14"/>
    </row>
    <row r="22" customFormat="false" ht="12.75" hidden="false" customHeight="false" outlineLevel="0" collapsed="false">
      <c r="C22" s="41"/>
      <c r="D22" s="46"/>
      <c r="E22" s="43"/>
      <c r="F22" s="38"/>
      <c r="K22" s="38"/>
      <c r="M22" s="47"/>
      <c r="N22" s="14"/>
      <c r="O22" s="14"/>
      <c r="P22" s="14"/>
      <c r="Q22" s="14"/>
      <c r="R22" s="14"/>
      <c r="S22" s="14"/>
      <c r="T22" s="14"/>
    </row>
    <row r="23" customFormat="false" ht="12.75" hidden="false" customHeight="false" outlineLevel="0" collapsed="false">
      <c r="B23" s="20"/>
      <c r="C23" s="41"/>
      <c r="D23" s="41"/>
      <c r="E23" s="43"/>
      <c r="F23" s="38"/>
      <c r="G23" s="35"/>
      <c r="H23" s="38"/>
      <c r="I23" s="80"/>
      <c r="J23" s="38"/>
      <c r="K23" s="38"/>
      <c r="M23" s="47"/>
      <c r="N23" s="45"/>
      <c r="O23" s="14"/>
      <c r="P23" s="14"/>
      <c r="Q23" s="14"/>
      <c r="R23" s="14"/>
      <c r="S23" s="14"/>
      <c r="T23" s="14"/>
    </row>
    <row r="24" customFormat="false" ht="12.75" hidden="false" customHeight="false" outlineLevel="0" collapsed="false">
      <c r="C24" s="41"/>
      <c r="D24" s="41"/>
      <c r="E24" s="43"/>
      <c r="G24" s="35"/>
      <c r="H24" s="38"/>
      <c r="I24" s="59"/>
      <c r="J24" s="38"/>
      <c r="K24" s="38"/>
      <c r="M24" s="38"/>
      <c r="N24" s="38"/>
      <c r="O24" s="38"/>
      <c r="P24" s="38"/>
      <c r="Q24" s="38"/>
      <c r="R24" s="14"/>
      <c r="S24" s="45"/>
      <c r="T24" s="14"/>
    </row>
    <row r="25" customFormat="false" ht="12.75" hidden="false" customHeight="false" outlineLevel="0" collapsed="false">
      <c r="C25" s="41"/>
      <c r="D25" s="41"/>
      <c r="E25" s="43"/>
      <c r="F25" s="38"/>
      <c r="G25" s="35"/>
      <c r="H25" s="38"/>
      <c r="I25" s="59"/>
      <c r="J25" s="38"/>
      <c r="K25" s="38"/>
      <c r="M25" s="14"/>
      <c r="N25" s="14"/>
      <c r="O25" s="14"/>
      <c r="P25" s="14"/>
      <c r="Q25" s="14"/>
      <c r="R25" s="14"/>
      <c r="S25" s="14"/>
      <c r="T25" s="14"/>
    </row>
    <row r="26" customFormat="false" ht="13.5" hidden="false" customHeight="false" outlineLevel="0" collapsed="false">
      <c r="C26" s="41"/>
      <c r="D26" s="41"/>
      <c r="E26" s="43"/>
      <c r="F26" s="38"/>
      <c r="H26" s="60" t="n">
        <f aca="false">SUM(H12:H23)</f>
        <v>274477.85</v>
      </c>
      <c r="I26" s="59"/>
      <c r="J26" s="60" t="n">
        <f aca="false">SUM(J12:J23)</f>
        <v>274476.85</v>
      </c>
      <c r="K26" s="38"/>
      <c r="M26" s="38"/>
      <c r="N26" s="38"/>
      <c r="O26" s="38"/>
      <c r="P26" s="38"/>
      <c r="Q26" s="38"/>
      <c r="R26" s="14"/>
      <c r="S26" s="45"/>
      <c r="T26" s="14"/>
    </row>
    <row r="27" customFormat="false" ht="13.5" hidden="false" customHeight="false" outlineLevel="0" collapsed="false">
      <c r="C27" s="41"/>
      <c r="D27" s="41"/>
      <c r="E27" s="43"/>
      <c r="F27" s="38"/>
      <c r="H27" s="38"/>
      <c r="I27" s="59"/>
      <c r="J27" s="38"/>
      <c r="K27" s="38"/>
      <c r="M27" s="14"/>
      <c r="N27" s="14"/>
      <c r="O27" s="14"/>
      <c r="P27" s="14"/>
      <c r="Q27" s="14"/>
      <c r="R27" s="14"/>
      <c r="S27" s="14"/>
      <c r="T27" s="14"/>
    </row>
    <row r="28" customFormat="false" ht="12.75" hidden="false" customHeight="false" outlineLevel="0" collapsed="false">
      <c r="C28" s="41"/>
      <c r="D28" s="41"/>
      <c r="E28" s="43"/>
      <c r="F28" s="38"/>
      <c r="H28" s="38"/>
      <c r="I28" s="59"/>
      <c r="J28" s="38"/>
      <c r="K28" s="38"/>
      <c r="M28" s="14"/>
      <c r="N28" s="14"/>
      <c r="O28" s="14"/>
      <c r="P28" s="14"/>
      <c r="Q28" s="14"/>
      <c r="R28" s="14"/>
      <c r="S28" s="14"/>
      <c r="T28" s="14"/>
    </row>
    <row r="29" customFormat="false" ht="20.25" hidden="false" customHeight="false" outlineLevel="0" collapsed="false">
      <c r="A29" s="39" t="s">
        <v>96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M29" s="14"/>
      <c r="N29" s="14"/>
      <c r="O29" s="14"/>
      <c r="P29" s="14"/>
      <c r="Q29" s="14"/>
      <c r="R29" s="14"/>
      <c r="S29" s="14"/>
      <c r="T29" s="14"/>
    </row>
    <row r="30" customFormat="false" ht="12.75" hidden="false" customHeight="false" outlineLevel="0" collapsed="false">
      <c r="C30" s="41"/>
      <c r="D30" s="41"/>
      <c r="E30" s="43"/>
      <c r="F30" s="38"/>
      <c r="H30" s="38"/>
      <c r="I30" s="59"/>
      <c r="J30" s="38"/>
      <c r="K30" s="38"/>
      <c r="M30" s="14"/>
      <c r="N30" s="14"/>
      <c r="O30" s="14"/>
      <c r="P30" s="14"/>
      <c r="Q30" s="14"/>
      <c r="R30" s="14"/>
      <c r="S30" s="14"/>
      <c r="T30" s="14"/>
    </row>
    <row r="31" customFormat="false" ht="12.75" hidden="false" customHeight="false" outlineLevel="0" collapsed="false">
      <c r="A31" s="0" t="s">
        <v>210</v>
      </c>
      <c r="B31" s="46" t="s">
        <v>211</v>
      </c>
      <c r="C31" s="41"/>
      <c r="D31" s="46"/>
      <c r="E31" s="43"/>
      <c r="F31" s="38"/>
      <c r="G31" s="35"/>
      <c r="H31" s="38" t="n">
        <v>400000</v>
      </c>
      <c r="I31" s="44" t="n">
        <v>1</v>
      </c>
      <c r="J31" s="38" t="n">
        <f aca="false">+H31*I31</f>
        <v>400000</v>
      </c>
      <c r="K31" s="38" t="s">
        <v>212</v>
      </c>
      <c r="M31" s="14"/>
      <c r="N31" s="14"/>
      <c r="O31" s="14"/>
      <c r="P31" s="14"/>
      <c r="Q31" s="14"/>
      <c r="R31" s="14"/>
      <c r="S31" s="14"/>
      <c r="T31" s="14"/>
    </row>
    <row r="32" customFormat="false" ht="12.75" hidden="false" customHeight="false" outlineLevel="0" collapsed="false">
      <c r="C32" s="41"/>
      <c r="D32" s="41"/>
      <c r="E32" s="43"/>
      <c r="F32" s="38"/>
      <c r="H32" s="38"/>
      <c r="I32" s="44"/>
      <c r="J32" s="38"/>
      <c r="K32" s="38"/>
      <c r="M32" s="14"/>
      <c r="N32" s="14"/>
      <c r="O32" s="14"/>
      <c r="P32" s="14"/>
      <c r="Q32" s="14"/>
      <c r="R32" s="14"/>
      <c r="S32" s="14"/>
      <c r="T32" s="14"/>
    </row>
    <row r="33" customFormat="false" ht="12.75" hidden="false" customHeight="false" outlineLevel="0" collapsed="false">
      <c r="B33" s="46" t="s">
        <v>213</v>
      </c>
      <c r="C33" s="41" t="n">
        <v>1666.66</v>
      </c>
      <c r="D33" s="46" t="n">
        <v>0</v>
      </c>
      <c r="E33" s="43" t="n">
        <v>5</v>
      </c>
      <c r="F33" s="38" t="n">
        <f aca="false">+E33*C33</f>
        <v>8333.3</v>
      </c>
      <c r="G33" s="35" t="n">
        <v>12</v>
      </c>
      <c r="H33" s="38" t="n">
        <f aca="false">+G33*F33</f>
        <v>99999.6</v>
      </c>
      <c r="I33" s="44" t="n">
        <v>1</v>
      </c>
      <c r="J33" s="38" t="n">
        <f aca="false">+H33*I33</f>
        <v>99999.6</v>
      </c>
      <c r="K33" s="38" t="s">
        <v>214</v>
      </c>
      <c r="M33" s="14"/>
      <c r="N33" s="14"/>
      <c r="O33" s="14"/>
      <c r="P33" s="14"/>
      <c r="Q33" s="14"/>
      <c r="R33" s="14"/>
      <c r="S33" s="14"/>
      <c r="T33" s="14"/>
    </row>
    <row r="34" customFormat="false" ht="12.75" hidden="false" customHeight="false" outlineLevel="0" collapsed="false">
      <c r="B34" s="46"/>
      <c r="C34" s="41"/>
      <c r="D34" s="46"/>
      <c r="E34" s="43"/>
      <c r="F34" s="38"/>
      <c r="G34" s="35"/>
      <c r="H34" s="38"/>
      <c r="I34" s="44"/>
      <c r="J34" s="38"/>
      <c r="K34" s="38"/>
      <c r="M34" s="14"/>
      <c r="N34" s="14"/>
      <c r="O34" s="14"/>
      <c r="P34" s="14"/>
      <c r="Q34" s="14"/>
      <c r="R34" s="14"/>
      <c r="S34" s="14"/>
      <c r="T34" s="14"/>
    </row>
    <row r="35" customFormat="false" ht="12.75" hidden="false" customHeight="false" outlineLevel="0" collapsed="false">
      <c r="C35" s="41"/>
      <c r="D35" s="46"/>
      <c r="E35" s="43"/>
      <c r="F35" s="38"/>
      <c r="G35" s="35"/>
      <c r="H35" s="38"/>
      <c r="I35" s="44"/>
      <c r="J35" s="38"/>
      <c r="K35" s="38"/>
      <c r="P35" s="14"/>
      <c r="Q35" s="14"/>
      <c r="R35" s="14"/>
      <c r="S35" s="14"/>
      <c r="T35" s="14"/>
    </row>
    <row r="36" customFormat="false" ht="13.5" hidden="false" customHeight="false" outlineLevel="0" collapsed="false">
      <c r="C36" s="63"/>
      <c r="D36" s="63"/>
      <c r="E36" s="43"/>
      <c r="F36" s="38"/>
      <c r="H36" s="64" t="n">
        <f aca="false">SUM(H31:H34)</f>
        <v>499999.6</v>
      </c>
      <c r="I36" s="59"/>
      <c r="J36" s="64" t="n">
        <f aca="false">SUM(J31:J34)</f>
        <v>499999.6</v>
      </c>
      <c r="K36" s="38"/>
      <c r="P36" s="38"/>
      <c r="Q36" s="38"/>
      <c r="R36" s="14"/>
      <c r="S36" s="45"/>
      <c r="T36" s="14"/>
    </row>
    <row r="37" customFormat="false" ht="13.5" hidden="false" customHeight="false" outlineLevel="0" collapsed="false">
      <c r="C37" s="63"/>
      <c r="D37" s="63"/>
      <c r="E37" s="43"/>
      <c r="F37" s="38"/>
      <c r="H37" s="38"/>
      <c r="I37" s="59"/>
      <c r="J37" s="38"/>
      <c r="K37" s="38"/>
      <c r="P37" s="38"/>
      <c r="Q37" s="38"/>
      <c r="R37" s="14"/>
      <c r="S37" s="45"/>
      <c r="T37" s="14"/>
    </row>
    <row r="38" customFormat="false" ht="12.75" hidden="false" customHeight="false" outlineLevel="0" collapsed="false">
      <c r="C38" s="84"/>
      <c r="D38" s="84"/>
      <c r="E38" s="43"/>
      <c r="I38" s="59"/>
      <c r="J38" s="38"/>
      <c r="K38" s="38"/>
      <c r="M38" s="14"/>
      <c r="N38" s="14"/>
      <c r="O38" s="14"/>
      <c r="P38" s="14"/>
      <c r="Q38" s="14"/>
      <c r="R38" s="14"/>
      <c r="S38" s="14"/>
      <c r="T38" s="14"/>
    </row>
    <row r="39" customFormat="false" ht="12.75" hidden="false" customHeight="false" outlineLevel="0" collapsed="false">
      <c r="C39" s="84"/>
      <c r="D39" s="91"/>
      <c r="E39" s="43"/>
      <c r="I39" s="59"/>
      <c r="J39" s="38"/>
      <c r="K39" s="38"/>
      <c r="M39" s="14"/>
      <c r="N39" s="14"/>
      <c r="O39" s="14"/>
      <c r="P39" s="14"/>
      <c r="Q39" s="14"/>
      <c r="R39" s="14"/>
      <c r="S39" s="14"/>
      <c r="T39" s="14"/>
    </row>
    <row r="40" customFormat="false" ht="12.75" hidden="false" customHeight="false" outlineLevel="0" collapsed="false">
      <c r="E40" s="43"/>
      <c r="I40" s="59"/>
      <c r="J40" s="38"/>
      <c r="K40" s="38"/>
      <c r="M40" s="14"/>
      <c r="N40" s="14"/>
      <c r="O40" s="14"/>
      <c r="P40" s="14"/>
      <c r="Q40" s="14"/>
      <c r="R40" s="14"/>
      <c r="S40" s="14"/>
      <c r="T40" s="14"/>
    </row>
    <row r="41" customFormat="false" ht="12.75" hidden="false" customHeight="false" outlineLevel="0" collapsed="false">
      <c r="E41" s="43"/>
      <c r="I41" s="59"/>
      <c r="J41" s="38"/>
      <c r="K41" s="38"/>
      <c r="M41" s="14"/>
      <c r="N41" s="14"/>
      <c r="O41" s="14"/>
      <c r="P41" s="14"/>
      <c r="Q41" s="14"/>
      <c r="R41" s="14"/>
      <c r="S41" s="14"/>
      <c r="T41" s="14"/>
    </row>
    <row r="42" customFormat="false" ht="15.75" hidden="false" customHeight="false" outlineLevel="0" collapsed="false">
      <c r="E42" s="43"/>
      <c r="H42" s="92" t="s">
        <v>114</v>
      </c>
      <c r="I42" s="93"/>
      <c r="J42" s="94" t="n">
        <v>515042</v>
      </c>
      <c r="K42" s="38"/>
      <c r="M42" s="14"/>
      <c r="N42" s="14"/>
      <c r="O42" s="14"/>
      <c r="P42" s="14"/>
      <c r="Q42" s="14"/>
      <c r="R42" s="14"/>
      <c r="S42" s="14"/>
      <c r="T42" s="14"/>
    </row>
    <row r="43" customFormat="false" ht="15.75" hidden="false" customHeight="false" outlineLevel="0" collapsed="false">
      <c r="E43" s="43"/>
      <c r="H43" s="95"/>
      <c r="I43" s="14"/>
      <c r="J43" s="71"/>
      <c r="M43" s="14"/>
      <c r="N43" s="14"/>
      <c r="O43" s="14"/>
      <c r="P43" s="14"/>
      <c r="Q43" s="14"/>
      <c r="R43" s="14"/>
      <c r="S43" s="14"/>
      <c r="T43" s="14"/>
    </row>
    <row r="44" customFormat="false" ht="15.75" hidden="false" customHeight="false" outlineLevel="0" collapsed="false">
      <c r="E44" s="43"/>
      <c r="H44" s="95" t="s">
        <v>115</v>
      </c>
      <c r="I44" s="14"/>
      <c r="J44" s="71" t="n">
        <f aca="false">J26</f>
        <v>274476.85</v>
      </c>
      <c r="M44" s="14"/>
      <c r="N44" s="14"/>
      <c r="O44" s="14"/>
      <c r="P44" s="14"/>
      <c r="Q44" s="14"/>
      <c r="R44" s="14"/>
      <c r="S44" s="14"/>
      <c r="T44" s="14"/>
    </row>
    <row r="45" customFormat="false" ht="15.75" hidden="false" customHeight="false" outlineLevel="0" collapsed="false">
      <c r="A45" s="0" t="str">
        <f aca="true">CELL("filename")</f>
        <v>'file:///mnt/12tb/@roms/datasets/enron/EDRM Enron Email Data Set v2 XML/filtered-attachments/xls/2002_Plan_Contracted_uncontracted_stretch_9_21_01.xls'#$North Bus. Dev.by Risk Category</v>
      </c>
      <c r="E45" s="43"/>
      <c r="H45" s="95"/>
      <c r="I45" s="14"/>
      <c r="J45" s="71"/>
      <c r="M45" s="14"/>
      <c r="N45" s="14"/>
      <c r="O45" s="14"/>
      <c r="P45" s="14"/>
      <c r="Q45" s="14"/>
      <c r="R45" s="14"/>
      <c r="S45" s="14"/>
      <c r="T45" s="14"/>
    </row>
    <row r="46" customFormat="false" ht="15.75" hidden="false" customHeight="false" outlineLevel="0" collapsed="false">
      <c r="E46" s="43"/>
      <c r="H46" s="95" t="s">
        <v>116</v>
      </c>
      <c r="I46" s="14"/>
      <c r="J46" s="71" t="n">
        <f aca="false">J36</f>
        <v>499999.6</v>
      </c>
      <c r="M46" s="14"/>
      <c r="N46" s="14"/>
      <c r="O46" s="14"/>
      <c r="P46" s="14"/>
      <c r="Q46" s="14"/>
      <c r="R46" s="14"/>
      <c r="S46" s="14"/>
      <c r="T46" s="14"/>
    </row>
    <row r="47" customFormat="false" ht="15.75" hidden="false" customHeight="false" outlineLevel="0" collapsed="false">
      <c r="E47" s="43"/>
      <c r="H47" s="96"/>
      <c r="I47" s="14"/>
      <c r="J47" s="71"/>
      <c r="M47" s="14"/>
      <c r="N47" s="14"/>
      <c r="O47" s="14"/>
      <c r="P47" s="14"/>
      <c r="Q47" s="14"/>
      <c r="R47" s="14"/>
      <c r="S47" s="14"/>
      <c r="T47" s="14"/>
    </row>
    <row r="48" customFormat="false" ht="15.75" hidden="false" customHeight="false" outlineLevel="0" collapsed="false">
      <c r="E48" s="43"/>
      <c r="H48" s="97" t="s">
        <v>5</v>
      </c>
      <c r="I48" s="98"/>
      <c r="J48" s="99" t="n">
        <f aca="false">2789519-1500000</f>
        <v>1289519</v>
      </c>
      <c r="M48" s="14"/>
      <c r="N48" s="14"/>
      <c r="O48" s="14"/>
      <c r="P48" s="14"/>
      <c r="Q48" s="14"/>
      <c r="R48" s="14"/>
      <c r="S48" s="14"/>
      <c r="T48" s="14"/>
    </row>
    <row r="49" customFormat="false" ht="12.75" hidden="false" customHeight="false" outlineLevel="0" collapsed="false">
      <c r="E49" s="43"/>
      <c r="I49" s="59"/>
      <c r="M49" s="14"/>
      <c r="N49" s="14"/>
      <c r="O49" s="14"/>
      <c r="P49" s="14"/>
      <c r="Q49" s="14"/>
      <c r="R49" s="14"/>
      <c r="S49" s="14"/>
      <c r="T49" s="14"/>
    </row>
    <row r="50" customFormat="false" ht="12.75" hidden="false" customHeight="false" outlineLevel="0" collapsed="false">
      <c r="E50" s="43"/>
      <c r="I50" s="59"/>
      <c r="M50" s="14"/>
      <c r="N50" s="14"/>
      <c r="O50" s="14"/>
      <c r="P50" s="14"/>
      <c r="Q50" s="14"/>
      <c r="R50" s="14"/>
      <c r="S50" s="14"/>
      <c r="T50" s="14"/>
    </row>
    <row r="51" customFormat="false" ht="12.75" hidden="false" customHeight="false" outlineLevel="0" collapsed="false">
      <c r="E51" s="43"/>
      <c r="I51" s="59"/>
      <c r="M51" s="14"/>
      <c r="N51" s="14"/>
      <c r="O51" s="14"/>
      <c r="P51" s="14"/>
      <c r="Q51" s="14"/>
      <c r="R51" s="14"/>
      <c r="S51" s="14"/>
      <c r="T51" s="14"/>
    </row>
    <row r="52" customFormat="false" ht="12.75" hidden="false" customHeight="false" outlineLevel="0" collapsed="false">
      <c r="E52" s="43"/>
      <c r="I52" s="59"/>
      <c r="M52" s="14"/>
      <c r="N52" s="14"/>
      <c r="O52" s="14"/>
      <c r="P52" s="14"/>
      <c r="Q52" s="14"/>
      <c r="R52" s="14"/>
      <c r="S52" s="14"/>
      <c r="T52" s="14"/>
    </row>
    <row r="53" customFormat="false" ht="12.75" hidden="false" customHeight="false" outlineLevel="0" collapsed="false">
      <c r="E53" s="43"/>
      <c r="I53" s="59"/>
      <c r="M53" s="14"/>
      <c r="N53" s="14"/>
      <c r="O53" s="14"/>
      <c r="P53" s="14"/>
      <c r="Q53" s="14"/>
      <c r="R53" s="14"/>
      <c r="S53" s="14"/>
      <c r="T53" s="14"/>
    </row>
    <row r="54" customFormat="false" ht="12.75" hidden="false" customHeight="false" outlineLevel="0" collapsed="false">
      <c r="E54" s="43"/>
      <c r="I54" s="59"/>
      <c r="M54" s="14"/>
      <c r="N54" s="14"/>
      <c r="O54" s="14"/>
      <c r="P54" s="14"/>
      <c r="Q54" s="14"/>
      <c r="R54" s="14"/>
      <c r="S54" s="14"/>
      <c r="T54" s="14"/>
    </row>
    <row r="55" customFormat="false" ht="12.75" hidden="false" customHeight="false" outlineLevel="0" collapsed="false">
      <c r="E55" s="43"/>
      <c r="I55" s="59"/>
      <c r="M55" s="14"/>
      <c r="N55" s="14"/>
      <c r="O55" s="14"/>
      <c r="P55" s="14"/>
      <c r="Q55" s="14"/>
      <c r="R55" s="14"/>
      <c r="S55" s="14"/>
      <c r="T55" s="14"/>
    </row>
    <row r="56" customFormat="false" ht="12.75" hidden="false" customHeight="false" outlineLevel="0" collapsed="false">
      <c r="E56" s="43"/>
      <c r="I56" s="59"/>
      <c r="M56" s="14"/>
      <c r="N56" s="14"/>
      <c r="O56" s="14"/>
      <c r="P56" s="14"/>
      <c r="Q56" s="14"/>
      <c r="R56" s="14"/>
      <c r="S56" s="14"/>
      <c r="T56" s="14"/>
    </row>
    <row r="57" customFormat="false" ht="12.75" hidden="false" customHeight="false" outlineLevel="0" collapsed="false">
      <c r="E57" s="43"/>
      <c r="I57" s="59"/>
      <c r="M57" s="14"/>
      <c r="N57" s="14"/>
      <c r="O57" s="14"/>
      <c r="P57" s="14"/>
      <c r="Q57" s="14"/>
      <c r="R57" s="14"/>
      <c r="S57" s="14"/>
      <c r="T57" s="14"/>
    </row>
    <row r="58" customFormat="false" ht="12.75" hidden="false" customHeight="false" outlineLevel="0" collapsed="false">
      <c r="E58" s="43"/>
      <c r="I58" s="59"/>
      <c r="M58" s="14"/>
      <c r="N58" s="14"/>
      <c r="O58" s="14"/>
      <c r="P58" s="14"/>
      <c r="Q58" s="14"/>
      <c r="R58" s="14"/>
      <c r="S58" s="14"/>
      <c r="T58" s="14"/>
    </row>
    <row r="59" customFormat="false" ht="12.75" hidden="false" customHeight="false" outlineLevel="0" collapsed="false">
      <c r="E59" s="43"/>
      <c r="I59" s="59"/>
    </row>
    <row r="60" customFormat="false" ht="12.75" hidden="false" customHeight="false" outlineLevel="0" collapsed="false">
      <c r="E60" s="43"/>
      <c r="I60" s="59"/>
    </row>
    <row r="61" customFormat="false" ht="12.75" hidden="false" customHeight="false" outlineLevel="0" collapsed="false">
      <c r="I61" s="59"/>
    </row>
    <row r="62" customFormat="false" ht="12.75" hidden="false" customHeight="false" outlineLevel="0" collapsed="false">
      <c r="I62" s="59"/>
    </row>
    <row r="63" customFormat="false" ht="12.75" hidden="false" customHeight="false" outlineLevel="0" collapsed="false">
      <c r="I63" s="59"/>
    </row>
    <row r="64" customFormat="false" ht="12.75" hidden="false" customHeight="false" outlineLevel="0" collapsed="false">
      <c r="I64" s="59"/>
    </row>
    <row r="65" customFormat="false" ht="12.75" hidden="false" customHeight="false" outlineLevel="0" collapsed="false">
      <c r="I65" s="59"/>
    </row>
    <row r="66" customFormat="false" ht="12.75" hidden="false" customHeight="false" outlineLevel="0" collapsed="false">
      <c r="I66" s="59"/>
    </row>
    <row r="67" customFormat="false" ht="12.75" hidden="false" customHeight="false" outlineLevel="0" collapsed="false">
      <c r="I67" s="59"/>
    </row>
    <row r="68" customFormat="false" ht="12.75" hidden="false" customHeight="false" outlineLevel="0" collapsed="false">
      <c r="I68" s="59"/>
    </row>
    <row r="69" customFormat="false" ht="12.75" hidden="false" customHeight="false" outlineLevel="0" collapsed="false">
      <c r="I69" s="59"/>
    </row>
    <row r="70" customFormat="false" ht="12.75" hidden="false" customHeight="false" outlineLevel="0" collapsed="false">
      <c r="I70" s="59"/>
    </row>
    <row r="71" customFormat="false" ht="12.75" hidden="false" customHeight="false" outlineLevel="0" collapsed="false">
      <c r="I71" s="59"/>
    </row>
    <row r="72" customFormat="false" ht="12.75" hidden="false" customHeight="false" outlineLevel="0" collapsed="false">
      <c r="I72" s="59"/>
    </row>
    <row r="73" customFormat="false" ht="12.75" hidden="false" customHeight="false" outlineLevel="0" collapsed="false">
      <c r="I73" s="59"/>
    </row>
    <row r="74" customFormat="false" ht="12.75" hidden="false" customHeight="false" outlineLevel="0" collapsed="false">
      <c r="I74" s="59"/>
    </row>
    <row r="75" customFormat="false" ht="12.75" hidden="false" customHeight="false" outlineLevel="0" collapsed="false">
      <c r="I75" s="59"/>
    </row>
    <row r="76" customFormat="false" ht="12.75" hidden="false" customHeight="false" outlineLevel="0" collapsed="false">
      <c r="I76" s="59"/>
    </row>
    <row r="77" customFormat="false" ht="12.75" hidden="false" customHeight="false" outlineLevel="0" collapsed="false">
      <c r="I77" s="59"/>
    </row>
    <row r="78" customFormat="false" ht="12.75" hidden="false" customHeight="false" outlineLevel="0" collapsed="false">
      <c r="I78" s="59"/>
    </row>
    <row r="79" customFormat="false" ht="12.75" hidden="false" customHeight="false" outlineLevel="0" collapsed="false">
      <c r="I79" s="59"/>
    </row>
    <row r="80" customFormat="false" ht="12.75" hidden="false" customHeight="false" outlineLevel="0" collapsed="false">
      <c r="I80" s="59"/>
    </row>
    <row r="81" customFormat="false" ht="12.75" hidden="false" customHeight="false" outlineLevel="0" collapsed="false">
      <c r="I81" s="59"/>
    </row>
    <row r="82" customFormat="false" ht="12.75" hidden="false" customHeight="false" outlineLevel="0" collapsed="false">
      <c r="I82" s="59"/>
    </row>
    <row r="83" customFormat="false" ht="12.75" hidden="false" customHeight="false" outlineLevel="0" collapsed="false">
      <c r="I83" s="59"/>
    </row>
    <row r="84" customFormat="false" ht="12.75" hidden="false" customHeight="false" outlineLevel="0" collapsed="false">
      <c r="I84" s="59"/>
    </row>
    <row r="85" customFormat="false" ht="12.75" hidden="false" customHeight="false" outlineLevel="0" collapsed="false">
      <c r="I85" s="59"/>
    </row>
    <row r="86" customFormat="false" ht="12.75" hidden="false" customHeight="false" outlineLevel="0" collapsed="false">
      <c r="I86" s="59"/>
    </row>
    <row r="87" customFormat="false" ht="12.75" hidden="false" customHeight="false" outlineLevel="0" collapsed="false">
      <c r="I87" s="59"/>
    </row>
    <row r="88" customFormat="false" ht="12.75" hidden="false" customHeight="false" outlineLevel="0" collapsed="false">
      <c r="I88" s="59"/>
    </row>
    <row r="89" customFormat="false" ht="12.75" hidden="false" customHeight="false" outlineLevel="0" collapsed="false">
      <c r="I89" s="59"/>
    </row>
    <row r="90" customFormat="false" ht="12.75" hidden="false" customHeight="false" outlineLevel="0" collapsed="false">
      <c r="I90" s="59"/>
    </row>
    <row r="91" customFormat="false" ht="12.75" hidden="false" customHeight="false" outlineLevel="0" collapsed="false">
      <c r="I91" s="59"/>
    </row>
    <row r="92" customFormat="false" ht="12.75" hidden="false" customHeight="false" outlineLevel="0" collapsed="false">
      <c r="I92" s="59"/>
    </row>
    <row r="93" customFormat="false" ht="12.75" hidden="false" customHeight="false" outlineLevel="0" collapsed="false">
      <c r="I93" s="59"/>
    </row>
    <row r="94" customFormat="false" ht="12.75" hidden="false" customHeight="false" outlineLevel="0" collapsed="false">
      <c r="I94" s="59"/>
    </row>
    <row r="95" customFormat="false" ht="12.75" hidden="false" customHeight="false" outlineLevel="0" collapsed="false">
      <c r="I95" s="59"/>
    </row>
    <row r="96" customFormat="false" ht="12.75" hidden="false" customHeight="false" outlineLevel="0" collapsed="false">
      <c r="I96" s="59"/>
    </row>
    <row r="97" customFormat="false" ht="12.75" hidden="false" customHeight="false" outlineLevel="0" collapsed="false">
      <c r="I97" s="59"/>
    </row>
    <row r="98" customFormat="false" ht="12.75" hidden="false" customHeight="false" outlineLevel="0" collapsed="false">
      <c r="I98" s="59"/>
    </row>
    <row r="99" customFormat="false" ht="12.75" hidden="false" customHeight="false" outlineLevel="0" collapsed="false">
      <c r="I99" s="59"/>
    </row>
    <row r="100" customFormat="false" ht="12.75" hidden="false" customHeight="false" outlineLevel="0" collapsed="false">
      <c r="I100" s="59"/>
    </row>
    <row r="101" customFormat="false" ht="12.75" hidden="false" customHeight="false" outlineLevel="0" collapsed="false">
      <c r="I101" s="59"/>
    </row>
    <row r="102" customFormat="false" ht="12.75" hidden="false" customHeight="false" outlineLevel="0" collapsed="false">
      <c r="I102" s="59"/>
    </row>
    <row r="103" customFormat="false" ht="12.75" hidden="false" customHeight="false" outlineLevel="0" collapsed="false">
      <c r="I103" s="59"/>
    </row>
    <row r="104" customFormat="false" ht="12.75" hidden="false" customHeight="false" outlineLevel="0" collapsed="false">
      <c r="I104" s="59"/>
    </row>
    <row r="105" customFormat="false" ht="12.75" hidden="false" customHeight="false" outlineLevel="0" collapsed="false">
      <c r="I105" s="59"/>
    </row>
    <row r="106" customFormat="false" ht="12.75" hidden="false" customHeight="false" outlineLevel="0" collapsed="false">
      <c r="I106" s="59"/>
    </row>
    <row r="107" customFormat="false" ht="12.75" hidden="false" customHeight="false" outlineLevel="0" collapsed="false">
      <c r="I107" s="59"/>
    </row>
    <row r="108" customFormat="false" ht="12.75" hidden="false" customHeight="false" outlineLevel="0" collapsed="false">
      <c r="I108" s="59"/>
    </row>
    <row r="109" customFormat="false" ht="12.75" hidden="false" customHeight="false" outlineLevel="0" collapsed="false">
      <c r="I109" s="59"/>
    </row>
    <row r="110" customFormat="false" ht="12.75" hidden="false" customHeight="false" outlineLevel="0" collapsed="false">
      <c r="I110" s="59"/>
    </row>
    <row r="111" customFormat="false" ht="12.75" hidden="false" customHeight="false" outlineLevel="0" collapsed="false">
      <c r="I111" s="59"/>
    </row>
    <row r="112" customFormat="false" ht="12.75" hidden="false" customHeight="false" outlineLevel="0" collapsed="false">
      <c r="I112" s="59"/>
    </row>
    <row r="113" customFormat="false" ht="12.75" hidden="false" customHeight="false" outlineLevel="0" collapsed="false">
      <c r="I113" s="59"/>
    </row>
    <row r="114" customFormat="false" ht="12.75" hidden="false" customHeight="false" outlineLevel="0" collapsed="false">
      <c r="I114" s="59"/>
    </row>
    <row r="115" customFormat="false" ht="12.75" hidden="false" customHeight="false" outlineLevel="0" collapsed="false">
      <c r="I115" s="59"/>
    </row>
    <row r="116" customFormat="false" ht="12.75" hidden="false" customHeight="false" outlineLevel="0" collapsed="false">
      <c r="I116" s="59"/>
    </row>
    <row r="117" customFormat="false" ht="12.75" hidden="false" customHeight="false" outlineLevel="0" collapsed="false">
      <c r="I117" s="59"/>
    </row>
    <row r="118" customFormat="false" ht="12.75" hidden="false" customHeight="false" outlineLevel="0" collapsed="false">
      <c r="I118" s="59"/>
    </row>
    <row r="119" customFormat="false" ht="12.75" hidden="false" customHeight="false" outlineLevel="0" collapsed="false">
      <c r="I119" s="59"/>
    </row>
    <row r="120" customFormat="false" ht="12.75" hidden="false" customHeight="false" outlineLevel="0" collapsed="false">
      <c r="I120" s="59"/>
    </row>
    <row r="121" customFormat="false" ht="12.75" hidden="false" customHeight="false" outlineLevel="0" collapsed="false">
      <c r="I121" s="59"/>
    </row>
    <row r="122" customFormat="false" ht="12.75" hidden="false" customHeight="false" outlineLevel="0" collapsed="false">
      <c r="I122" s="59"/>
    </row>
  </sheetData>
  <mergeCells count="4">
    <mergeCell ref="A1:K1"/>
    <mergeCell ref="A2:K2"/>
    <mergeCell ref="A10:K10"/>
    <mergeCell ref="A29:K29"/>
  </mergeCells>
  <printOptions headings="false" gridLines="false" gridLinesSet="true" horizontalCentered="false" verticalCentered="false"/>
  <pageMargins left="0.370138888888889" right="0.329861111111111" top="0.340277777777778" bottom="0.359722222222222" header="0.511811023622047" footer="0.209722222222222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
&amp;T&amp;CPage &amp;P of &amp;N&amp;R&amp;F
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21"/>
  <sheetViews>
    <sheetView showFormulas="false" showGridLines="true" showRowColHeaders="true" showZeros="true" rightToLeft="false" tabSelected="false" showOutlineSymbols="true" defaultGridColor="true" view="normal" topLeftCell="A45" colorId="64" zoomScale="90" zoomScaleNormal="90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11.42"/>
    <col collapsed="false" customWidth="true" hidden="false" outlineLevel="0" max="3" min="3" style="0" width="13.28"/>
    <col collapsed="false" customWidth="true" hidden="false" outlineLevel="0" max="5" min="4" style="0" width="10.28"/>
    <col collapsed="false" customWidth="true" hidden="false" outlineLevel="0" max="6" min="6" style="0" width="14.28"/>
    <col collapsed="false" customWidth="true" hidden="false" outlineLevel="0" max="7" min="7" style="0" width="4.7"/>
    <col collapsed="false" customWidth="true" hidden="false" outlineLevel="0" max="8" min="8" style="0" width="16.56"/>
    <col collapsed="false" customWidth="true" hidden="false" outlineLevel="0" max="10" min="9" style="0" width="14.99"/>
    <col collapsed="false" customWidth="true" hidden="false" outlineLevel="0" max="11" min="11" style="0" width="4.7"/>
    <col collapsed="false" customWidth="true" hidden="false" outlineLevel="0" max="12" min="12" style="0" width="19.14"/>
    <col collapsed="false" customWidth="true" hidden="false" outlineLevel="0" max="13" min="13" style="0" width="4.7"/>
    <col collapsed="false" customWidth="true" hidden="false" outlineLevel="0" max="14" min="14" style="0" width="15.13"/>
    <col collapsed="false" customWidth="true" hidden="false" outlineLevel="0" max="15" min="15" style="0" width="3.99"/>
    <col collapsed="false" customWidth="true" hidden="false" outlineLevel="0" max="16" min="16" style="0" width="16.13"/>
    <col collapsed="false" customWidth="true" hidden="false" outlineLevel="0" max="17" min="17" style="0" width="12.85"/>
    <col collapsed="false" customWidth="true" hidden="false" outlineLevel="0" max="18" min="18" style="0" width="14.99"/>
    <col collapsed="false" customWidth="true" hidden="false" outlineLevel="0" max="20" min="19" style="0" width="12.85"/>
    <col collapsed="false" customWidth="true" hidden="false" outlineLevel="0" max="21" min="21" style="0" width="14.28"/>
    <col collapsed="false" customWidth="true" hidden="false" outlineLevel="0" max="22" min="22" style="0" width="1.56"/>
    <col collapsed="false" customWidth="true" hidden="false" outlineLevel="0" max="24" min="24" style="0" width="13.28"/>
    <col collapsed="false" customWidth="true" hidden="false" outlineLevel="0" max="25" min="25" style="0" width="1.85"/>
    <col collapsed="false" customWidth="true" hidden="false" outlineLevel="0" max="27" min="27" style="0" width="13.28"/>
  </cols>
  <sheetData>
    <row r="1" customFormat="false" ht="26.25" hidden="false" customHeight="false" outlineLevel="0" collapsed="false">
      <c r="A1" s="34" t="s">
        <v>215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customFormat="false" ht="15.75" hidden="false" customHeight="false" outlineLevel="0" collapsed="false">
      <c r="A2" s="11" t="s">
        <v>45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customFormat="false" ht="15.75" hidden="false" customHeight="false" outlineLevel="0" collapsed="false">
      <c r="A3" s="10"/>
      <c r="B3" s="10"/>
      <c r="C3" s="10"/>
      <c r="D3" s="100" t="s">
        <v>216</v>
      </c>
      <c r="E3" s="100"/>
      <c r="F3" s="100"/>
      <c r="G3" s="100"/>
      <c r="H3" s="101"/>
      <c r="I3" s="10"/>
      <c r="J3" s="10"/>
      <c r="K3" s="10"/>
      <c r="L3" s="10"/>
      <c r="M3" s="10"/>
    </row>
    <row r="4" customFormat="false" ht="15.75" hidden="false" customHeight="false" outlineLevel="0" collapsed="false">
      <c r="A4" s="102" t="s">
        <v>217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</row>
    <row r="5" customFormat="false" ht="12.75" hidden="false" customHeight="false" outlineLevel="0" collapsed="false">
      <c r="B5" s="16"/>
    </row>
    <row r="6" customFormat="false" ht="12.75" hidden="false" customHeight="false" outlineLevel="0" collapsed="false">
      <c r="P6" s="14"/>
      <c r="Q6" s="14"/>
      <c r="R6" s="14"/>
      <c r="S6" s="14"/>
      <c r="T6" s="14"/>
      <c r="U6" s="14"/>
      <c r="V6" s="14"/>
    </row>
    <row r="7" customFormat="false" ht="15.75" hidden="false" customHeight="false" outlineLevel="0" collapsed="false">
      <c r="A7" s="10"/>
      <c r="B7" s="10"/>
      <c r="C7" s="10" t="s">
        <v>218</v>
      </c>
      <c r="D7" s="10" t="s">
        <v>219</v>
      </c>
      <c r="E7" s="10" t="s">
        <v>46</v>
      </c>
      <c r="F7" s="10" t="s">
        <v>218</v>
      </c>
      <c r="G7" s="10"/>
      <c r="H7" s="10" t="s">
        <v>13</v>
      </c>
      <c r="I7" s="10"/>
      <c r="J7" s="10" t="s">
        <v>220</v>
      </c>
      <c r="K7" s="11"/>
      <c r="L7" s="10" t="s">
        <v>5</v>
      </c>
      <c r="M7" s="10"/>
      <c r="N7" s="10" t="s">
        <v>221</v>
      </c>
      <c r="O7" s="10"/>
      <c r="P7" s="11" t="n">
        <v>2001</v>
      </c>
      <c r="Q7" s="14"/>
      <c r="R7" s="14"/>
      <c r="S7" s="14"/>
      <c r="T7" s="14"/>
      <c r="U7" s="14"/>
      <c r="V7" s="14"/>
    </row>
    <row r="8" customFormat="false" ht="15.75" hidden="false" customHeight="false" outlineLevel="0" collapsed="false">
      <c r="A8" s="103" t="s">
        <v>222</v>
      </c>
      <c r="B8" s="103" t="s">
        <v>50</v>
      </c>
      <c r="C8" s="103" t="s">
        <v>223</v>
      </c>
      <c r="D8" s="103" t="s">
        <v>52</v>
      </c>
      <c r="E8" s="103" t="s">
        <v>52</v>
      </c>
      <c r="F8" s="103" t="s">
        <v>6</v>
      </c>
      <c r="G8" s="11"/>
      <c r="H8" s="103" t="s">
        <v>224</v>
      </c>
      <c r="I8" s="103" t="s">
        <v>52</v>
      </c>
      <c r="J8" s="103" t="s">
        <v>6</v>
      </c>
      <c r="K8" s="11"/>
      <c r="L8" s="103" t="s">
        <v>6</v>
      </c>
      <c r="M8" s="103"/>
      <c r="N8" s="10" t="s">
        <v>225</v>
      </c>
      <c r="O8" s="10"/>
      <c r="P8" s="11" t="s">
        <v>226</v>
      </c>
      <c r="Q8" s="36"/>
      <c r="R8" s="36"/>
      <c r="S8" s="36"/>
      <c r="T8" s="36"/>
      <c r="U8" s="14"/>
      <c r="V8" s="14"/>
    </row>
    <row r="9" customFormat="false" ht="20.25" hidden="false" customHeight="false" outlineLevel="0" collapsed="false">
      <c r="A9" s="39" t="s">
        <v>56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P9" s="14"/>
      <c r="Q9" s="14"/>
      <c r="R9" s="14"/>
      <c r="S9" s="14"/>
      <c r="T9" s="14"/>
      <c r="U9" s="14"/>
      <c r="V9" s="14"/>
    </row>
    <row r="10" customFormat="false" ht="12.75" hidden="false" customHeight="false" outlineLevel="0" collapsed="false">
      <c r="A10" s="0" t="s">
        <v>227</v>
      </c>
      <c r="B10" s="0" t="s">
        <v>228</v>
      </c>
      <c r="C10" s="41" t="n">
        <v>320000</v>
      </c>
      <c r="D10" s="104" t="n">
        <f aca="false">+E10/30.4</f>
        <v>0.216299958881579</v>
      </c>
      <c r="E10" s="105" t="n">
        <f aca="false">+F10/C10</f>
        <v>6.57551875</v>
      </c>
      <c r="F10" s="38" t="n">
        <v>2104166</v>
      </c>
      <c r="H10" s="41" t="n">
        <v>9484800</v>
      </c>
      <c r="I10" s="106" t="n">
        <f aca="false">+J10/H10</f>
        <v>0.0344917130566802</v>
      </c>
      <c r="J10" s="38" t="n">
        <v>327147</v>
      </c>
      <c r="L10" s="38" t="n">
        <f aca="false">+F10+J10</f>
        <v>2431313</v>
      </c>
      <c r="M10" s="38"/>
      <c r="P10" s="45" t="n">
        <f aca="false">+L10</f>
        <v>2431313</v>
      </c>
      <c r="Q10" s="14"/>
      <c r="R10" s="14"/>
      <c r="S10" s="14"/>
      <c r="T10" s="14"/>
      <c r="U10" s="14"/>
      <c r="V10" s="14"/>
    </row>
    <row r="11" customFormat="false" ht="12.75" hidden="false" customHeight="false" outlineLevel="0" collapsed="false">
      <c r="A11" s="0" t="s">
        <v>227</v>
      </c>
      <c r="B11" s="0" t="s">
        <v>229</v>
      </c>
      <c r="C11" s="41" t="n">
        <v>0</v>
      </c>
      <c r="D11" s="107" t="n">
        <v>0</v>
      </c>
      <c r="E11" s="105" t="n">
        <v>0</v>
      </c>
      <c r="F11" s="38" t="n">
        <v>0</v>
      </c>
      <c r="H11" s="41" t="n">
        <v>14999902</v>
      </c>
      <c r="I11" s="106" t="n">
        <f aca="false">+J11/H11</f>
        <v>0.027199977706521</v>
      </c>
      <c r="J11" s="38" t="n">
        <v>407997</v>
      </c>
      <c r="L11" s="38" t="n">
        <f aca="false">+F11+J11</f>
        <v>407997</v>
      </c>
      <c r="M11" s="38"/>
      <c r="P11" s="45" t="n">
        <f aca="false">+L11</f>
        <v>407997</v>
      </c>
      <c r="Q11" s="14"/>
      <c r="R11" s="14"/>
      <c r="S11" s="14"/>
      <c r="T11" s="14"/>
      <c r="U11" s="14"/>
      <c r="V11" s="14"/>
    </row>
    <row r="12" customFormat="false" ht="12.75" hidden="false" customHeight="false" outlineLevel="0" collapsed="false">
      <c r="A12" s="0" t="s">
        <v>227</v>
      </c>
      <c r="B12" s="0" t="s">
        <v>230</v>
      </c>
      <c r="C12" s="41" t="n">
        <v>0</v>
      </c>
      <c r="D12" s="107" t="n">
        <v>0</v>
      </c>
      <c r="E12" s="105" t="n">
        <v>0</v>
      </c>
      <c r="F12" s="38" t="n">
        <v>0</v>
      </c>
      <c r="H12" s="41" t="n">
        <v>2700000</v>
      </c>
      <c r="I12" s="106" t="n">
        <f aca="false">+J12/H12</f>
        <v>0.328611111111111</v>
      </c>
      <c r="J12" s="38" t="n">
        <v>887250</v>
      </c>
      <c r="L12" s="38" t="n">
        <f aca="false">+F12+J12</f>
        <v>887250</v>
      </c>
      <c r="M12" s="38"/>
      <c r="P12" s="45" t="n">
        <f aca="false">+L12</f>
        <v>887250</v>
      </c>
      <c r="Q12" s="14"/>
      <c r="R12" s="45" t="n">
        <f aca="false">SUM(P10:P12)</f>
        <v>3726560</v>
      </c>
      <c r="S12" s="14"/>
      <c r="T12" s="14"/>
      <c r="U12" s="14"/>
      <c r="V12" s="14"/>
    </row>
    <row r="13" customFormat="false" ht="12.75" hidden="false" customHeight="false" outlineLevel="0" collapsed="false">
      <c r="C13" s="41"/>
      <c r="D13" s="107"/>
      <c r="E13" s="105"/>
      <c r="F13" s="38"/>
      <c r="H13" s="41"/>
      <c r="I13" s="106"/>
      <c r="J13" s="38"/>
      <c r="L13" s="38"/>
      <c r="M13" s="38"/>
      <c r="P13" s="14"/>
      <c r="Q13" s="14"/>
      <c r="R13" s="14"/>
      <c r="S13" s="14"/>
      <c r="T13" s="14"/>
      <c r="U13" s="14"/>
      <c r="V13" s="14"/>
    </row>
    <row r="14" customFormat="false" ht="12.75" hidden="false" customHeight="false" outlineLevel="0" collapsed="false">
      <c r="A14" s="0" t="s">
        <v>231</v>
      </c>
      <c r="B14" s="0" t="s">
        <v>232</v>
      </c>
      <c r="C14" s="41" t="n">
        <v>175000</v>
      </c>
      <c r="D14" s="104" t="n">
        <f aca="false">+E14/30.4</f>
        <v>0.01</v>
      </c>
      <c r="E14" s="105" t="n">
        <f aca="false">+F14/C14</f>
        <v>0.304</v>
      </c>
      <c r="F14" s="38" t="n">
        <v>53200</v>
      </c>
      <c r="H14" s="41" t="n">
        <v>0</v>
      </c>
      <c r="I14" s="106" t="n">
        <v>0</v>
      </c>
      <c r="J14" s="38" t="n">
        <v>0</v>
      </c>
      <c r="L14" s="38" t="n">
        <f aca="false">+F14+J14</f>
        <v>53200</v>
      </c>
      <c r="M14" s="38"/>
      <c r="P14" s="45" t="n">
        <f aca="false">+L14</f>
        <v>53200</v>
      </c>
      <c r="Q14" s="14"/>
      <c r="R14" s="14"/>
      <c r="S14" s="14"/>
      <c r="T14" s="14"/>
      <c r="U14" s="14"/>
      <c r="V14" s="14"/>
    </row>
    <row r="15" customFormat="false" ht="12.75" hidden="false" customHeight="false" outlineLevel="0" collapsed="false">
      <c r="A15" s="0" t="s">
        <v>231</v>
      </c>
      <c r="B15" s="0" t="s">
        <v>233</v>
      </c>
      <c r="C15" s="41" t="n">
        <v>0</v>
      </c>
      <c r="D15" s="107" t="n">
        <v>0</v>
      </c>
      <c r="E15" s="105" t="n">
        <v>0</v>
      </c>
      <c r="F15" s="38" t="n">
        <v>0</v>
      </c>
      <c r="H15" s="41" t="n">
        <v>5000000</v>
      </c>
      <c r="I15" s="106" t="n">
        <f aca="false">+J15/H15</f>
        <v>0.01</v>
      </c>
      <c r="J15" s="38" t="n">
        <v>50000</v>
      </c>
      <c r="L15" s="38" t="n">
        <f aca="false">+F15+J15</f>
        <v>50000</v>
      </c>
      <c r="M15" s="38"/>
      <c r="P15" s="45" t="n">
        <f aca="false">+L15</f>
        <v>50000</v>
      </c>
      <c r="Q15" s="14"/>
      <c r="R15" s="14"/>
      <c r="S15" s="14"/>
      <c r="T15" s="14"/>
      <c r="U15" s="14"/>
      <c r="V15" s="14"/>
    </row>
    <row r="16" customFormat="false" ht="12.75" hidden="false" customHeight="false" outlineLevel="0" collapsed="false">
      <c r="A16" s="0" t="s">
        <v>231</v>
      </c>
      <c r="B16" s="0" t="s">
        <v>234</v>
      </c>
      <c r="C16" s="41" t="n">
        <v>0</v>
      </c>
      <c r="D16" s="107" t="n">
        <v>0</v>
      </c>
      <c r="E16" s="105" t="n">
        <v>0</v>
      </c>
      <c r="F16" s="38" t="n">
        <v>0</v>
      </c>
      <c r="H16" s="41" t="n">
        <v>15128000</v>
      </c>
      <c r="I16" s="106" t="n">
        <f aca="false">+J16/H16</f>
        <v>0.0101205711263882</v>
      </c>
      <c r="J16" s="38" t="n">
        <v>153104</v>
      </c>
      <c r="L16" s="38" t="n">
        <f aca="false">+F16+J16</f>
        <v>153104</v>
      </c>
      <c r="M16" s="38"/>
      <c r="P16" s="45" t="n">
        <f aca="false">+L16</f>
        <v>153104</v>
      </c>
      <c r="Q16" s="14"/>
      <c r="R16" s="14"/>
      <c r="S16" s="14"/>
      <c r="T16" s="14"/>
      <c r="U16" s="14"/>
      <c r="V16" s="14"/>
    </row>
    <row r="17" customFormat="false" ht="12.75" hidden="false" customHeight="false" outlineLevel="0" collapsed="false">
      <c r="A17" s="0" t="s">
        <v>231</v>
      </c>
      <c r="B17" s="0" t="s">
        <v>235</v>
      </c>
      <c r="C17" s="41" t="n">
        <v>0</v>
      </c>
      <c r="D17" s="107" t="n">
        <v>0</v>
      </c>
      <c r="E17" s="105" t="n">
        <v>0</v>
      </c>
      <c r="F17" s="38" t="n">
        <v>0</v>
      </c>
      <c r="H17" s="41" t="n">
        <v>1600000</v>
      </c>
      <c r="I17" s="106" t="n">
        <f aca="false">+J17/H17</f>
        <v>0.15</v>
      </c>
      <c r="J17" s="38" t="n">
        <v>240000</v>
      </c>
      <c r="L17" s="38" t="n">
        <f aca="false">+F17+J17</f>
        <v>240000</v>
      </c>
      <c r="M17" s="38"/>
      <c r="P17" s="45" t="n">
        <f aca="false">+L17</f>
        <v>240000</v>
      </c>
      <c r="Q17" s="14"/>
      <c r="R17" s="45" t="n">
        <f aca="false">SUM(L14:L17)</f>
        <v>496304</v>
      </c>
      <c r="S17" s="14"/>
      <c r="T17" s="14"/>
      <c r="U17" s="14"/>
      <c r="V17" s="14"/>
    </row>
    <row r="18" customFormat="false" ht="12.75" hidden="false" customHeight="false" outlineLevel="0" collapsed="false">
      <c r="C18" s="41"/>
      <c r="D18" s="107"/>
      <c r="E18" s="105"/>
      <c r="F18" s="38"/>
      <c r="H18" s="41"/>
      <c r="I18" s="106"/>
      <c r="J18" s="38"/>
      <c r="L18" s="38"/>
      <c r="M18" s="38"/>
      <c r="P18" s="14"/>
      <c r="Q18" s="14"/>
      <c r="R18" s="14"/>
      <c r="S18" s="14"/>
      <c r="T18" s="14"/>
      <c r="U18" s="14"/>
      <c r="V18" s="14"/>
    </row>
    <row r="19" customFormat="false" ht="12.75" hidden="false" customHeight="false" outlineLevel="0" collapsed="false">
      <c r="A19" s="0" t="s">
        <v>236</v>
      </c>
      <c r="B19" s="46" t="s">
        <v>218</v>
      </c>
      <c r="C19" s="41" t="n">
        <v>550000</v>
      </c>
      <c r="D19" s="104" t="n">
        <f aca="false">+E19/30.4</f>
        <v>0.0200082535885167</v>
      </c>
      <c r="E19" s="105" t="n">
        <f aca="false">+F19/C19</f>
        <v>0.608250909090909</v>
      </c>
      <c r="F19" s="38" t="n">
        <v>334538</v>
      </c>
      <c r="G19" s="43"/>
      <c r="H19" s="41" t="n">
        <v>0</v>
      </c>
      <c r="I19" s="106" t="n">
        <v>0</v>
      </c>
      <c r="J19" s="38" t="n">
        <v>0</v>
      </c>
      <c r="K19" s="44"/>
      <c r="L19" s="38" t="n">
        <f aca="false">+F19+J19</f>
        <v>334538</v>
      </c>
      <c r="M19" s="38"/>
      <c r="P19" s="45" t="n">
        <f aca="false">+L19</f>
        <v>334538</v>
      </c>
      <c r="Q19" s="14"/>
      <c r="R19" s="14"/>
      <c r="S19" s="14"/>
      <c r="T19" s="14"/>
      <c r="U19" s="14"/>
      <c r="V19" s="14"/>
    </row>
    <row r="20" customFormat="false" ht="12.75" hidden="false" customHeight="false" outlineLevel="0" collapsed="false">
      <c r="A20" s="0" t="s">
        <v>236</v>
      </c>
      <c r="B20" s="0" t="s">
        <v>234</v>
      </c>
      <c r="C20" s="41" t="n">
        <v>0</v>
      </c>
      <c r="D20" s="41" t="n">
        <v>0</v>
      </c>
      <c r="E20" s="105" t="n">
        <v>0</v>
      </c>
      <c r="F20" s="38" t="n">
        <v>0</v>
      </c>
      <c r="G20" s="43"/>
      <c r="H20" s="41" t="n">
        <v>59091200</v>
      </c>
      <c r="I20" s="106" t="n">
        <f aca="false">+J20/H20</f>
        <v>0.0121153742012347</v>
      </c>
      <c r="J20" s="38" t="n">
        <v>715912</v>
      </c>
      <c r="K20" s="44"/>
      <c r="L20" s="38" t="n">
        <f aca="false">+F20+J20</f>
        <v>715912</v>
      </c>
      <c r="M20" s="38"/>
      <c r="P20" s="45" t="n">
        <f aca="false">+L20</f>
        <v>715912</v>
      </c>
      <c r="Q20" s="14"/>
      <c r="R20" s="14"/>
      <c r="S20" s="14"/>
      <c r="T20" s="14"/>
      <c r="U20" s="14"/>
      <c r="V20" s="14"/>
    </row>
    <row r="21" customFormat="false" ht="12.75" hidden="false" customHeight="false" outlineLevel="0" collapsed="false">
      <c r="A21" s="0" t="s">
        <v>236</v>
      </c>
      <c r="B21" s="46" t="s">
        <v>235</v>
      </c>
      <c r="C21" s="41" t="n">
        <v>0</v>
      </c>
      <c r="D21" s="41" t="n">
        <v>0</v>
      </c>
      <c r="E21" s="105" t="n">
        <v>0</v>
      </c>
      <c r="F21" s="38" t="n">
        <v>0</v>
      </c>
      <c r="G21" s="43"/>
      <c r="H21" s="41" t="n">
        <v>25000000</v>
      </c>
      <c r="I21" s="106" t="n">
        <f aca="false">+J21/H21</f>
        <v>0.03</v>
      </c>
      <c r="J21" s="38" t="n">
        <v>750000</v>
      </c>
      <c r="K21" s="44"/>
      <c r="L21" s="38" t="n">
        <f aca="false">+F21+J21</f>
        <v>750000</v>
      </c>
      <c r="M21" s="38"/>
      <c r="P21" s="45" t="n">
        <f aca="false">+L21</f>
        <v>750000</v>
      </c>
      <c r="Q21" s="14"/>
      <c r="R21" s="14"/>
      <c r="S21" s="14"/>
      <c r="T21" s="14"/>
      <c r="U21" s="14"/>
      <c r="V21" s="14"/>
    </row>
    <row r="22" customFormat="false" ht="12.75" hidden="false" customHeight="false" outlineLevel="0" collapsed="false">
      <c r="A22" s="0" t="s">
        <v>236</v>
      </c>
      <c r="B22" s="46" t="s">
        <v>237</v>
      </c>
      <c r="C22" s="41" t="n">
        <v>0</v>
      </c>
      <c r="D22" s="41" t="n">
        <v>0</v>
      </c>
      <c r="E22" s="105" t="n">
        <v>0</v>
      </c>
      <c r="F22" s="38" t="n">
        <v>0</v>
      </c>
      <c r="G22" s="43"/>
      <c r="H22" s="41" t="n">
        <v>27000000</v>
      </c>
      <c r="I22" s="106" t="n">
        <f aca="false">+J22/H22</f>
        <v>0.02</v>
      </c>
      <c r="J22" s="38" t="n">
        <v>540000</v>
      </c>
      <c r="K22" s="44"/>
      <c r="L22" s="38" t="n">
        <f aca="false">+F22+J22</f>
        <v>540000</v>
      </c>
      <c r="M22" s="38"/>
      <c r="P22" s="45" t="n">
        <f aca="false">+L22</f>
        <v>540000</v>
      </c>
      <c r="Q22" s="45"/>
      <c r="R22" s="45" t="n">
        <f aca="false">SUM(L19:L22)</f>
        <v>2340450</v>
      </c>
      <c r="S22" s="14"/>
      <c r="T22" s="14"/>
      <c r="U22" s="14"/>
      <c r="V22" s="14"/>
    </row>
    <row r="23" customFormat="false" ht="12.75" hidden="false" customHeight="false" outlineLevel="0" collapsed="false">
      <c r="B23" s="46"/>
      <c r="C23" s="41"/>
      <c r="D23" s="41"/>
      <c r="E23" s="105"/>
      <c r="F23" s="38"/>
      <c r="G23" s="43"/>
      <c r="H23" s="41"/>
      <c r="I23" s="106"/>
      <c r="J23" s="38"/>
      <c r="K23" s="44"/>
      <c r="L23" s="38"/>
      <c r="M23" s="38"/>
      <c r="P23" s="47"/>
      <c r="Q23" s="45"/>
      <c r="R23" s="14"/>
      <c r="S23" s="14"/>
      <c r="T23" s="14"/>
      <c r="U23" s="14"/>
      <c r="V23" s="14"/>
    </row>
    <row r="24" customFormat="false" ht="12.75" hidden="false" customHeight="false" outlineLevel="0" collapsed="false">
      <c r="C24" s="41"/>
      <c r="D24" s="41"/>
      <c r="E24" s="105"/>
      <c r="F24" s="38"/>
      <c r="G24" s="43"/>
      <c r="H24" s="41"/>
      <c r="I24" s="106"/>
      <c r="J24" s="38"/>
      <c r="K24" s="44"/>
      <c r="L24" s="38"/>
      <c r="M24" s="38"/>
      <c r="P24" s="47"/>
      <c r="Q24" s="45"/>
      <c r="R24" s="14"/>
      <c r="S24" s="14"/>
      <c r="T24" s="14"/>
      <c r="U24" s="14"/>
      <c r="V24" s="14"/>
    </row>
    <row r="25" customFormat="false" ht="12.75" hidden="false" customHeight="false" outlineLevel="0" collapsed="false">
      <c r="A25" s="0" t="s">
        <v>238</v>
      </c>
      <c r="B25" s="0" t="s">
        <v>239</v>
      </c>
      <c r="C25" s="41" t="n">
        <v>35000</v>
      </c>
      <c r="D25" s="104" t="n">
        <f aca="false">+E25/30.4</f>
        <v>0.01</v>
      </c>
      <c r="E25" s="105" t="n">
        <f aca="false">+F25/C25</f>
        <v>0.304</v>
      </c>
      <c r="F25" s="38" t="n">
        <v>10640</v>
      </c>
      <c r="G25" s="43"/>
      <c r="H25" s="41" t="n">
        <v>0</v>
      </c>
      <c r="I25" s="106" t="n">
        <v>0</v>
      </c>
      <c r="J25" s="38" t="n">
        <v>0</v>
      </c>
      <c r="K25" s="44"/>
      <c r="L25" s="38" t="n">
        <f aca="false">+F25+J25</f>
        <v>10640</v>
      </c>
      <c r="M25" s="38"/>
      <c r="P25" s="45" t="n">
        <f aca="false">+L25</f>
        <v>10640</v>
      </c>
      <c r="Q25" s="14"/>
      <c r="R25" s="14"/>
      <c r="S25" s="14"/>
      <c r="T25" s="14"/>
      <c r="U25" s="14"/>
      <c r="V25" s="14"/>
    </row>
    <row r="26" customFormat="false" ht="12.75" hidden="false" customHeight="false" outlineLevel="0" collapsed="false">
      <c r="A26" s="0" t="s">
        <v>238</v>
      </c>
      <c r="B26" s="0" t="s">
        <v>234</v>
      </c>
      <c r="C26" s="41" t="n">
        <v>0</v>
      </c>
      <c r="D26" s="41" t="n">
        <v>0</v>
      </c>
      <c r="E26" s="105" t="n">
        <v>0</v>
      </c>
      <c r="F26" s="38" t="n">
        <v>0</v>
      </c>
      <c r="G26" s="43"/>
      <c r="H26" s="41" t="n">
        <v>100987008</v>
      </c>
      <c r="I26" s="106" t="n">
        <f aca="false">+J26/H26</f>
        <v>0.017151750847</v>
      </c>
      <c r="J26" s="38" t="n">
        <v>1732104</v>
      </c>
      <c r="K26" s="44"/>
      <c r="L26" s="38" t="n">
        <f aca="false">+F26+J26</f>
        <v>1732104</v>
      </c>
      <c r="M26" s="38"/>
      <c r="P26" s="45" t="n">
        <f aca="false">+L26</f>
        <v>1732104</v>
      </c>
      <c r="Q26" s="45"/>
      <c r="R26" s="14"/>
      <c r="S26" s="14"/>
      <c r="T26" s="14"/>
      <c r="U26" s="14"/>
      <c r="V26" s="14"/>
    </row>
    <row r="27" customFormat="false" ht="12.75" hidden="false" customHeight="false" outlineLevel="0" collapsed="false">
      <c r="A27" s="0" t="s">
        <v>238</v>
      </c>
      <c r="B27" s="20" t="s">
        <v>235</v>
      </c>
      <c r="C27" s="41" t="n">
        <v>0</v>
      </c>
      <c r="D27" s="41" t="n">
        <v>0</v>
      </c>
      <c r="E27" s="105" t="n">
        <v>0</v>
      </c>
      <c r="F27" s="38" t="n">
        <v>0</v>
      </c>
      <c r="G27" s="43"/>
      <c r="H27" s="41" t="n">
        <v>54000000</v>
      </c>
      <c r="I27" s="106" t="n">
        <f aca="false">+J27/H27</f>
        <v>0.01</v>
      </c>
      <c r="J27" s="38" t="n">
        <v>540000</v>
      </c>
      <c r="K27" s="44"/>
      <c r="L27" s="38" t="n">
        <f aca="false">+F27+J27</f>
        <v>540000</v>
      </c>
      <c r="M27" s="38"/>
      <c r="P27" s="45" t="n">
        <f aca="false">+L27</f>
        <v>540000</v>
      </c>
      <c r="Q27" s="14"/>
      <c r="R27" s="45" t="n">
        <f aca="false">SUM(L25:L27)</f>
        <v>2282744</v>
      </c>
      <c r="S27" s="14"/>
      <c r="T27" s="14"/>
      <c r="U27" s="14"/>
      <c r="V27" s="14"/>
    </row>
    <row r="28" customFormat="false" ht="12.75" hidden="false" customHeight="false" outlineLevel="0" collapsed="false">
      <c r="B28" s="20"/>
      <c r="C28" s="41"/>
      <c r="D28" s="41"/>
      <c r="E28" s="105"/>
      <c r="F28" s="38"/>
      <c r="G28" s="43"/>
      <c r="H28" s="41"/>
      <c r="I28" s="106"/>
      <c r="J28" s="38"/>
      <c r="K28" s="44"/>
      <c r="L28" s="38"/>
      <c r="M28" s="38"/>
      <c r="P28" s="47"/>
      <c r="Q28" s="14"/>
      <c r="R28" s="14"/>
      <c r="S28" s="14"/>
      <c r="T28" s="14"/>
      <c r="U28" s="14"/>
      <c r="V28" s="14"/>
    </row>
    <row r="29" customFormat="false" ht="12.75" hidden="false" customHeight="false" outlineLevel="0" collapsed="false">
      <c r="A29" s="0" t="s">
        <v>240</v>
      </c>
      <c r="B29" s="20" t="s">
        <v>218</v>
      </c>
      <c r="C29" s="41" t="n">
        <v>1990000</v>
      </c>
      <c r="D29" s="104" t="n">
        <f aca="false">+E29/30.4</f>
        <v>0.0128642720179847</v>
      </c>
      <c r="E29" s="105" t="n">
        <f aca="false">+F29/C29</f>
        <v>0.391073869346734</v>
      </c>
      <c r="F29" s="38" t="n">
        <v>778237</v>
      </c>
      <c r="G29" s="43"/>
      <c r="H29" s="41" t="n">
        <v>0</v>
      </c>
      <c r="I29" s="106" t="n">
        <v>0</v>
      </c>
      <c r="J29" s="38" t="n">
        <v>0</v>
      </c>
      <c r="K29" s="44"/>
      <c r="L29" s="38" t="n">
        <f aca="false">+F29+J29</f>
        <v>778237</v>
      </c>
      <c r="M29" s="38"/>
      <c r="P29" s="45" t="n">
        <f aca="false">+L29</f>
        <v>778237</v>
      </c>
      <c r="Q29" s="14"/>
      <c r="R29" s="14"/>
      <c r="S29" s="14"/>
      <c r="T29" s="14"/>
      <c r="U29" s="14"/>
      <c r="V29" s="14"/>
    </row>
    <row r="30" customFormat="false" ht="12.75" hidden="false" customHeight="false" outlineLevel="0" collapsed="false">
      <c r="A30" s="0" t="s">
        <v>240</v>
      </c>
      <c r="B30" s="20" t="s">
        <v>241</v>
      </c>
      <c r="C30" s="41" t="n">
        <v>0</v>
      </c>
      <c r="D30" s="104"/>
      <c r="E30" s="105"/>
      <c r="F30" s="38" t="n">
        <v>0</v>
      </c>
      <c r="G30" s="43"/>
      <c r="H30" s="41"/>
      <c r="I30" s="106"/>
      <c r="J30" s="38"/>
      <c r="K30" s="44"/>
      <c r="L30" s="38"/>
      <c r="M30" s="38"/>
      <c r="P30" s="45" t="n">
        <f aca="false">+L30</f>
        <v>0</v>
      </c>
      <c r="Q30" s="14"/>
      <c r="R30" s="45" t="n">
        <f aca="false">SUM(L29:L30)</f>
        <v>778237</v>
      </c>
      <c r="S30" s="14"/>
      <c r="T30" s="14"/>
      <c r="U30" s="14"/>
      <c r="V30" s="14"/>
    </row>
    <row r="31" customFormat="false" ht="12.75" hidden="false" customHeight="false" outlineLevel="0" collapsed="false">
      <c r="B31" s="20"/>
      <c r="C31" s="41"/>
      <c r="D31" s="104"/>
      <c r="E31" s="105"/>
      <c r="F31" s="38"/>
      <c r="G31" s="43"/>
      <c r="H31" s="41"/>
      <c r="I31" s="106"/>
      <c r="J31" s="38"/>
      <c r="K31" s="44"/>
      <c r="L31" s="38"/>
      <c r="M31" s="38"/>
      <c r="P31" s="45"/>
      <c r="Q31" s="14"/>
      <c r="R31" s="14"/>
      <c r="S31" s="14"/>
      <c r="T31" s="14"/>
      <c r="U31" s="14"/>
      <c r="V31" s="14"/>
    </row>
    <row r="32" customFormat="false" ht="12.75" hidden="false" customHeight="false" outlineLevel="0" collapsed="false">
      <c r="B32" s="20"/>
      <c r="C32" s="41"/>
      <c r="D32" s="104"/>
      <c r="E32" s="105"/>
      <c r="F32" s="38"/>
      <c r="G32" s="43"/>
      <c r="H32" s="41"/>
      <c r="I32" s="106"/>
      <c r="J32" s="38"/>
      <c r="K32" s="44"/>
      <c r="L32" s="38"/>
      <c r="M32" s="38"/>
      <c r="P32" s="47"/>
      <c r="Q32" s="45"/>
      <c r="R32" s="14"/>
      <c r="S32" s="14"/>
      <c r="T32" s="14"/>
      <c r="U32" s="14"/>
      <c r="V32" s="14"/>
    </row>
    <row r="33" customFormat="false" ht="12.75" hidden="false" customHeight="false" outlineLevel="0" collapsed="false">
      <c r="A33" s="0" t="s">
        <v>242</v>
      </c>
      <c r="B33" s="20" t="s">
        <v>218</v>
      </c>
      <c r="C33" s="41" t="n">
        <v>1485007</v>
      </c>
      <c r="D33" s="104" t="n">
        <f aca="false">+E33/30.4</f>
        <v>0.0293306919729919</v>
      </c>
      <c r="E33" s="105" t="n">
        <f aca="false">+F33/C33</f>
        <v>0.891653035978955</v>
      </c>
      <c r="F33" s="38" t="n">
        <v>1324111</v>
      </c>
      <c r="G33" s="43"/>
      <c r="H33" s="41" t="n">
        <v>0</v>
      </c>
      <c r="I33" s="106" t="n">
        <v>0</v>
      </c>
      <c r="J33" s="38" t="n">
        <v>0</v>
      </c>
      <c r="K33" s="44"/>
      <c r="L33" s="38" t="n">
        <f aca="false">+F33+J33</f>
        <v>1324111</v>
      </c>
      <c r="M33" s="38"/>
      <c r="P33" s="45" t="n">
        <f aca="false">+L33</f>
        <v>1324111</v>
      </c>
      <c r="Q33" s="45"/>
      <c r="R33" s="14"/>
      <c r="S33" s="14"/>
      <c r="T33" s="14"/>
      <c r="U33" s="14"/>
      <c r="V33" s="14"/>
    </row>
    <row r="34" customFormat="false" ht="12.75" hidden="false" customHeight="false" outlineLevel="0" collapsed="false">
      <c r="A34" s="0" t="s">
        <v>242</v>
      </c>
      <c r="B34" s="20" t="s">
        <v>234</v>
      </c>
      <c r="C34" s="41" t="n">
        <v>0</v>
      </c>
      <c r="D34" s="41" t="n">
        <v>0</v>
      </c>
      <c r="E34" s="105" t="n">
        <v>0</v>
      </c>
      <c r="F34" s="38" t="n">
        <v>0</v>
      </c>
      <c r="G34" s="43"/>
      <c r="H34" s="41" t="n">
        <v>31869000</v>
      </c>
      <c r="I34" s="106" t="n">
        <f aca="false">+J34/H34</f>
        <v>0.02</v>
      </c>
      <c r="J34" s="38" t="n">
        <v>637380</v>
      </c>
      <c r="K34" s="44"/>
      <c r="L34" s="38" t="n">
        <f aca="false">+F34+J34</f>
        <v>637380</v>
      </c>
      <c r="M34" s="38"/>
      <c r="P34" s="45" t="n">
        <f aca="false">+L34</f>
        <v>637380</v>
      </c>
      <c r="Q34" s="45"/>
      <c r="R34" s="14"/>
      <c r="S34" s="14"/>
      <c r="T34" s="14"/>
      <c r="U34" s="14"/>
      <c r="V34" s="14"/>
    </row>
    <row r="35" customFormat="false" ht="12.75" hidden="false" customHeight="false" outlineLevel="0" collapsed="false">
      <c r="A35" s="0" t="s">
        <v>242</v>
      </c>
      <c r="B35" s="20" t="s">
        <v>237</v>
      </c>
      <c r="C35" s="41" t="n">
        <v>0</v>
      </c>
      <c r="D35" s="41" t="n">
        <v>0</v>
      </c>
      <c r="E35" s="105" t="n">
        <v>0</v>
      </c>
      <c r="F35" s="38" t="n">
        <v>0</v>
      </c>
      <c r="G35" s="43"/>
      <c r="H35" s="41" t="n">
        <v>61692000</v>
      </c>
      <c r="I35" s="106" t="n">
        <f aca="false">+J35/H35</f>
        <v>0.0150019451468586</v>
      </c>
      <c r="J35" s="38" t="n">
        <v>925500</v>
      </c>
      <c r="K35" s="44"/>
      <c r="L35" s="38" t="n">
        <f aca="false">+F35+J35</f>
        <v>925500</v>
      </c>
      <c r="M35" s="38"/>
      <c r="P35" s="45" t="n">
        <f aca="false">+L35</f>
        <v>925500</v>
      </c>
      <c r="Q35" s="45"/>
      <c r="R35" s="14"/>
      <c r="S35" s="14"/>
      <c r="T35" s="14"/>
      <c r="U35" s="14"/>
      <c r="V35" s="14"/>
    </row>
    <row r="36" customFormat="false" ht="12.75" hidden="false" customHeight="false" outlineLevel="0" collapsed="false">
      <c r="A36" s="0" t="s">
        <v>242</v>
      </c>
      <c r="B36" s="20" t="s">
        <v>235</v>
      </c>
      <c r="C36" s="41" t="n">
        <v>0</v>
      </c>
      <c r="D36" s="41" t="n">
        <v>0</v>
      </c>
      <c r="E36" s="105" t="n">
        <v>0</v>
      </c>
      <c r="F36" s="38" t="n">
        <v>0</v>
      </c>
      <c r="G36" s="43"/>
      <c r="H36" s="41" t="n">
        <v>50000000</v>
      </c>
      <c r="I36" s="106" t="n">
        <f aca="false">+J36/H36</f>
        <v>0.0105192</v>
      </c>
      <c r="J36" s="38" t="n">
        <v>525960</v>
      </c>
      <c r="K36" s="44"/>
      <c r="L36" s="38" t="n">
        <f aca="false">+F36+J36</f>
        <v>525960</v>
      </c>
      <c r="M36" s="38"/>
      <c r="P36" s="45" t="n">
        <f aca="false">+L36</f>
        <v>525960</v>
      </c>
      <c r="Q36" s="45"/>
      <c r="R36" s="45" t="n">
        <f aca="false">SUM(L33:L36)</f>
        <v>3412951</v>
      </c>
      <c r="S36" s="14"/>
      <c r="T36" s="14"/>
      <c r="U36" s="14"/>
      <c r="V36" s="14"/>
    </row>
    <row r="37" customFormat="false" ht="12.75" hidden="false" customHeight="false" outlineLevel="0" collapsed="false">
      <c r="B37" s="20"/>
      <c r="C37" s="41"/>
      <c r="D37" s="41"/>
      <c r="E37" s="105"/>
      <c r="F37" s="38"/>
      <c r="G37" s="43"/>
      <c r="H37" s="41"/>
      <c r="I37" s="106"/>
      <c r="J37" s="38"/>
      <c r="K37" s="44"/>
      <c r="L37" s="38"/>
      <c r="M37" s="38"/>
      <c r="P37" s="45"/>
      <c r="Q37" s="45"/>
      <c r="R37" s="14"/>
      <c r="S37" s="14"/>
      <c r="T37" s="14"/>
      <c r="U37" s="14"/>
      <c r="V37" s="14"/>
    </row>
    <row r="38" customFormat="false" ht="12.75" hidden="false" customHeight="false" outlineLevel="0" collapsed="false">
      <c r="A38" s="0" t="s">
        <v>112</v>
      </c>
      <c r="B38" s="20" t="s">
        <v>243</v>
      </c>
      <c r="C38" s="41" t="n">
        <v>0</v>
      </c>
      <c r="D38" s="41" t="n">
        <v>0</v>
      </c>
      <c r="E38" s="105" t="n">
        <v>0</v>
      </c>
      <c r="F38" s="38" t="n">
        <v>0</v>
      </c>
      <c r="G38" s="43"/>
      <c r="H38" s="41" t="n">
        <v>6900000</v>
      </c>
      <c r="I38" s="106" t="n">
        <f aca="false">+J38/H38</f>
        <v>0.11</v>
      </c>
      <c r="J38" s="38" t="n">
        <v>759000</v>
      </c>
      <c r="K38" s="44"/>
      <c r="L38" s="38" t="n">
        <f aca="false">+F38+J38</f>
        <v>759000</v>
      </c>
      <c r="M38" s="38"/>
      <c r="P38" s="45" t="n">
        <f aca="false">+L38</f>
        <v>759000</v>
      </c>
      <c r="Q38" s="45"/>
      <c r="R38" s="45" t="n">
        <f aca="false">+L38</f>
        <v>759000</v>
      </c>
      <c r="S38" s="14"/>
      <c r="T38" s="14"/>
      <c r="U38" s="14"/>
      <c r="V38" s="14"/>
    </row>
    <row r="39" customFormat="false" ht="13.5" hidden="false" customHeight="false" outlineLevel="0" collapsed="false">
      <c r="C39" s="108" t="n">
        <f aca="false">SUM(C9:C38)</f>
        <v>4555007</v>
      </c>
      <c r="D39" s="41"/>
      <c r="E39" s="105"/>
      <c r="F39" s="60" t="n">
        <f aca="false">SUM(F9:F38)</f>
        <v>4604892</v>
      </c>
      <c r="G39" s="43"/>
      <c r="H39" s="108" t="n">
        <f aca="false">SUM(H9:H38)</f>
        <v>465451910</v>
      </c>
      <c r="I39" s="106"/>
      <c r="J39" s="60" t="n">
        <f aca="false">SUM(J9:J38)</f>
        <v>9191354</v>
      </c>
      <c r="K39" s="59"/>
      <c r="L39" s="60" t="n">
        <f aca="false">SUM(L9:L38)</f>
        <v>13796246</v>
      </c>
      <c r="M39" s="53"/>
      <c r="P39" s="60" t="n">
        <f aca="false">SUM(P9:P38)</f>
        <v>13796246</v>
      </c>
      <c r="Q39" s="45"/>
      <c r="R39" s="64" t="n">
        <f aca="false">SUM(R10:R38)</f>
        <v>13796246</v>
      </c>
      <c r="S39" s="14"/>
      <c r="T39" s="14"/>
      <c r="U39" s="14"/>
      <c r="V39" s="14"/>
    </row>
    <row r="40" customFormat="false" ht="13.5" hidden="false" customHeight="false" outlineLevel="0" collapsed="false">
      <c r="C40" s="48"/>
      <c r="D40" s="41"/>
      <c r="E40" s="105"/>
      <c r="F40" s="53"/>
      <c r="G40" s="43"/>
      <c r="H40" s="48"/>
      <c r="I40" s="106"/>
      <c r="J40" s="53"/>
      <c r="K40" s="59"/>
      <c r="L40" s="53"/>
      <c r="M40" s="53"/>
      <c r="P40" s="53"/>
      <c r="Q40" s="45"/>
      <c r="R40" s="14"/>
      <c r="S40" s="14"/>
      <c r="T40" s="14"/>
      <c r="U40" s="14"/>
      <c r="V40" s="14"/>
    </row>
    <row r="41" customFormat="false" ht="12.75" hidden="false" customHeight="false" outlineLevel="0" collapsed="false">
      <c r="C41" s="48"/>
      <c r="D41" s="41"/>
      <c r="E41" s="105"/>
      <c r="F41" s="53"/>
      <c r="G41" s="43"/>
      <c r="H41" s="48"/>
      <c r="I41" s="106"/>
      <c r="J41" s="53"/>
      <c r="K41" s="59"/>
      <c r="L41" s="53"/>
      <c r="M41" s="53"/>
      <c r="P41" s="53"/>
      <c r="Q41" s="45"/>
      <c r="R41" s="14"/>
      <c r="S41" s="14"/>
      <c r="T41" s="14"/>
      <c r="U41" s="14"/>
      <c r="V41" s="14"/>
    </row>
    <row r="42" customFormat="false" ht="12.75" hidden="false" customHeight="false" outlineLevel="0" collapsed="false">
      <c r="A42" s="14"/>
      <c r="B42" s="14"/>
      <c r="C42" s="48"/>
      <c r="D42" s="41"/>
      <c r="E42" s="105"/>
      <c r="F42" s="53"/>
      <c r="G42" s="43"/>
      <c r="H42" s="48"/>
      <c r="I42" s="109"/>
      <c r="J42" s="53"/>
      <c r="K42" s="59"/>
      <c r="L42" s="53"/>
      <c r="M42" s="53"/>
      <c r="N42" s="14"/>
      <c r="O42" s="14"/>
      <c r="P42" s="53"/>
      <c r="Q42" s="45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customFormat="false" ht="20.25" hidden="false" customHeight="false" outlineLevel="0" collapsed="false">
      <c r="A43" s="39" t="s">
        <v>96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customFormat="false" ht="12.75" hidden="false" customHeight="false" outlineLevel="0" collapsed="false">
      <c r="F44" s="43"/>
      <c r="G44" s="43"/>
      <c r="M44" s="38"/>
      <c r="P44" s="14"/>
      <c r="Q44" s="45"/>
      <c r="R44" s="14"/>
      <c r="S44" s="14"/>
      <c r="T44" s="14"/>
      <c r="U44" s="14"/>
      <c r="V44" s="14"/>
    </row>
    <row r="45" customFormat="false" ht="51" hidden="false" customHeight="false" outlineLevel="0" collapsed="false">
      <c r="A45" s="110" t="s">
        <v>236</v>
      </c>
      <c r="B45" s="111" t="s">
        <v>244</v>
      </c>
      <c r="C45" s="41" t="n">
        <v>455000</v>
      </c>
      <c r="D45" s="104" t="n">
        <f aca="false">+E45/30.4</f>
        <v>0.0384615384615385</v>
      </c>
      <c r="E45" s="105" t="n">
        <f aca="false">+F45/C45</f>
        <v>1.16923076923077</v>
      </c>
      <c r="F45" s="62" t="n">
        <v>532000</v>
      </c>
      <c r="G45" s="43"/>
      <c r="H45" s="41" t="n">
        <v>20000000</v>
      </c>
      <c r="I45" s="112" t="n">
        <f aca="false">+J45/H45</f>
        <v>0.01575</v>
      </c>
      <c r="J45" s="38" t="n">
        <v>315000</v>
      </c>
      <c r="L45" s="38" t="n">
        <f aca="false">+F45+J45</f>
        <v>847000</v>
      </c>
      <c r="M45" s="84"/>
      <c r="N45" s="113"/>
      <c r="P45" s="38" t="n">
        <f aca="false">+L45</f>
        <v>847000</v>
      </c>
      <c r="Q45" s="45"/>
      <c r="R45" s="14"/>
      <c r="S45" s="14"/>
      <c r="T45" s="14"/>
      <c r="U45" s="14"/>
      <c r="V45" s="14"/>
    </row>
    <row r="46" customFormat="false" ht="12.75" hidden="false" customHeight="false" outlineLevel="0" collapsed="false">
      <c r="A46" s="110"/>
      <c r="B46" s="111"/>
      <c r="C46" s="41"/>
      <c r="D46" s="104"/>
      <c r="E46" s="105"/>
      <c r="F46" s="62"/>
      <c r="G46" s="43"/>
      <c r="H46" s="41"/>
      <c r="I46" s="112"/>
      <c r="J46" s="38"/>
      <c r="L46" s="38"/>
      <c r="M46" s="84"/>
      <c r="N46" s="113"/>
      <c r="P46" s="38"/>
      <c r="Q46" s="45"/>
      <c r="R46" s="14"/>
      <c r="S46" s="14"/>
      <c r="T46" s="14"/>
      <c r="U46" s="14"/>
      <c r="V46" s="14"/>
    </row>
    <row r="47" customFormat="false" ht="12.75" hidden="false" customHeight="false" outlineLevel="0" collapsed="false">
      <c r="A47" s="110" t="s">
        <v>245</v>
      </c>
      <c r="B47" s="111" t="s">
        <v>246</v>
      </c>
      <c r="C47" s="41" t="n">
        <v>200000</v>
      </c>
      <c r="D47" s="104" t="n">
        <f aca="false">+E47/30.4</f>
        <v>0.02</v>
      </c>
      <c r="E47" s="105" t="n">
        <f aca="false">+F47/C47</f>
        <v>0.608</v>
      </c>
      <c r="F47" s="62" t="n">
        <v>121600</v>
      </c>
      <c r="G47" s="43"/>
      <c r="H47" s="41"/>
      <c r="I47" s="112"/>
      <c r="J47" s="38"/>
      <c r="L47" s="38" t="n">
        <f aca="false">+F47+J47</f>
        <v>121600</v>
      </c>
      <c r="M47" s="84"/>
      <c r="N47" s="113"/>
      <c r="P47" s="38" t="n">
        <f aca="false">+L47</f>
        <v>121600</v>
      </c>
      <c r="Q47" s="45"/>
      <c r="R47" s="14"/>
      <c r="S47" s="14"/>
      <c r="T47" s="14"/>
      <c r="U47" s="14"/>
      <c r="V47" s="14"/>
    </row>
    <row r="48" customFormat="false" ht="12.75" hidden="false" customHeight="false" outlineLevel="0" collapsed="false">
      <c r="L48" s="38"/>
    </row>
    <row r="49" customFormat="false" ht="25.5" hidden="false" customHeight="false" outlineLevel="0" collapsed="false">
      <c r="A49" s="110" t="s">
        <v>242</v>
      </c>
      <c r="B49" s="111" t="s">
        <v>247</v>
      </c>
      <c r="C49" s="41" t="n">
        <v>735000</v>
      </c>
      <c r="D49" s="104" t="n">
        <f aca="false">+E49/30.4</f>
        <v>0.0290476190476191</v>
      </c>
      <c r="E49" s="105" t="n">
        <f aca="false">+F49/C49</f>
        <v>0.883047619047619</v>
      </c>
      <c r="F49" s="62" t="n">
        <v>649040</v>
      </c>
      <c r="G49" s="43"/>
      <c r="H49" s="41" t="n">
        <v>56834000</v>
      </c>
      <c r="I49" s="112" t="n">
        <f aca="false">+J49/H49</f>
        <v>0.0155276770946968</v>
      </c>
      <c r="J49" s="38" t="n">
        <v>882500</v>
      </c>
      <c r="L49" s="38" t="n">
        <f aca="false">+F49+J49</f>
        <v>1531540</v>
      </c>
      <c r="M49" s="84"/>
      <c r="N49" s="113"/>
      <c r="P49" s="38" t="n">
        <f aca="false">+L49</f>
        <v>1531540</v>
      </c>
      <c r="Q49" s="38"/>
      <c r="R49" s="38"/>
      <c r="S49" s="38"/>
      <c r="T49" s="38"/>
      <c r="U49" s="14"/>
      <c r="V49" s="14"/>
    </row>
    <row r="50" customFormat="false" ht="12.75" hidden="false" customHeight="false" outlineLevel="0" collapsed="false">
      <c r="A50" s="110"/>
      <c r="G50" s="43"/>
      <c r="H50" s="41"/>
      <c r="I50" s="112"/>
      <c r="J50" s="38"/>
      <c r="L50" s="38"/>
      <c r="M50" s="84"/>
      <c r="N50" s="113"/>
      <c r="P50" s="38"/>
      <c r="Q50" s="38"/>
      <c r="R50" s="38"/>
      <c r="S50" s="38"/>
      <c r="T50" s="38"/>
      <c r="U50" s="14"/>
      <c r="V50" s="14"/>
    </row>
    <row r="51" customFormat="false" ht="25.5" hidden="false" customHeight="false" outlineLevel="0" collapsed="false">
      <c r="A51" s="110" t="s">
        <v>112</v>
      </c>
      <c r="B51" s="111" t="s">
        <v>243</v>
      </c>
      <c r="C51" s="41" t="n">
        <v>0</v>
      </c>
      <c r="D51" s="41" t="n">
        <v>0</v>
      </c>
      <c r="E51" s="41" t="n">
        <v>0</v>
      </c>
      <c r="F51" s="62" t="n">
        <v>0</v>
      </c>
      <c r="G51" s="43"/>
      <c r="H51" s="41" t="n">
        <v>6900000</v>
      </c>
      <c r="I51" s="112" t="n">
        <f aca="false">+J51/H51</f>
        <v>0.11</v>
      </c>
      <c r="J51" s="38" t="n">
        <v>759000</v>
      </c>
      <c r="L51" s="38" t="n">
        <f aca="false">+J51+F51</f>
        <v>759000</v>
      </c>
      <c r="M51" s="84"/>
      <c r="N51" s="113"/>
      <c r="P51" s="38" t="n">
        <f aca="false">+L51</f>
        <v>759000</v>
      </c>
      <c r="Q51" s="14"/>
      <c r="R51" s="14"/>
      <c r="S51" s="14"/>
      <c r="T51" s="14"/>
      <c r="U51" s="14"/>
      <c r="V51" s="14"/>
    </row>
    <row r="52" customFormat="false" ht="12.75" hidden="false" customHeight="false" outlineLevel="0" collapsed="false">
      <c r="A52" s="110"/>
      <c r="B52" s="114"/>
      <c r="C52" s="41"/>
      <c r="D52" s="104"/>
      <c r="E52" s="106"/>
      <c r="F52" s="38"/>
      <c r="G52" s="43"/>
      <c r="H52" s="21"/>
      <c r="I52" s="21"/>
      <c r="J52" s="46"/>
      <c r="L52" s="38" t="n">
        <f aca="false">+F52+J52</f>
        <v>0</v>
      </c>
      <c r="M52" s="84"/>
      <c r="N52" s="113"/>
      <c r="P52" s="38"/>
    </row>
    <row r="53" customFormat="false" ht="13.5" hidden="false" customHeight="false" outlineLevel="0" collapsed="false">
      <c r="F53" s="115" t="n">
        <f aca="false">SUM(F45:F52)</f>
        <v>1302640</v>
      </c>
      <c r="G53" s="43"/>
      <c r="H53" s="41"/>
      <c r="I53" s="106"/>
      <c r="J53" s="115" t="n">
        <f aca="false">SUM(J45:J52)</f>
        <v>1956500</v>
      </c>
      <c r="K53" s="59"/>
      <c r="L53" s="115" t="n">
        <f aca="false">SUM(L45:L52)</f>
        <v>3259140</v>
      </c>
      <c r="M53" s="38"/>
      <c r="P53" s="115" t="n">
        <f aca="false">SUM(P45:P52)</f>
        <v>3259140</v>
      </c>
      <c r="Q53" s="14"/>
      <c r="R53" s="115" t="n">
        <f aca="false">+P53</f>
        <v>3259140</v>
      </c>
      <c r="S53" s="14"/>
      <c r="T53" s="14" t="n">
        <v>31295181</v>
      </c>
      <c r="U53" s="14" t="s">
        <v>248</v>
      </c>
      <c r="V53" s="14"/>
    </row>
    <row r="54" customFormat="false" ht="13.5" hidden="false" customHeight="false" outlineLevel="0" collapsed="false">
      <c r="F54" s="43"/>
      <c r="G54" s="43"/>
      <c r="H54" s="41"/>
      <c r="I54" s="106"/>
      <c r="K54" s="59"/>
      <c r="L54" s="45"/>
      <c r="M54" s="38"/>
      <c r="P54" s="14"/>
      <c r="Q54" s="38"/>
      <c r="R54" s="38"/>
      <c r="S54" s="38"/>
      <c r="T54" s="0" t="n">
        <v>31459257</v>
      </c>
      <c r="U54" s="41" t="s">
        <v>249</v>
      </c>
      <c r="V54" s="14"/>
    </row>
    <row r="55" customFormat="false" ht="12.75" hidden="false" customHeight="false" outlineLevel="0" collapsed="false">
      <c r="H55" s="41"/>
      <c r="I55" s="106"/>
      <c r="K55" s="59"/>
      <c r="T55" s="0" t="n">
        <f aca="false">+T53-T54</f>
        <v>-164076</v>
      </c>
      <c r="U55" s="0" t="s">
        <v>250</v>
      </c>
    </row>
    <row r="56" customFormat="false" ht="12.75" hidden="false" customHeight="false" outlineLevel="0" collapsed="false">
      <c r="H56" s="41"/>
      <c r="I56" s="106"/>
      <c r="K56" s="59"/>
      <c r="X56" s="116" t="n">
        <f aca="false">+X58+X57</f>
        <v>2822424</v>
      </c>
    </row>
    <row r="57" customFormat="false" ht="12.75" hidden="false" customHeight="false" outlineLevel="0" collapsed="false">
      <c r="H57" s="117"/>
      <c r="I57" s="118"/>
      <c r="J57" s="66"/>
      <c r="K57" s="67"/>
      <c r="L57" s="68"/>
      <c r="X57" s="119" t="n">
        <v>-164076</v>
      </c>
    </row>
    <row r="58" customFormat="false" ht="15.75" hidden="false" customHeight="false" outlineLevel="0" collapsed="false">
      <c r="H58" s="120" t="s">
        <v>251</v>
      </c>
      <c r="I58" s="109"/>
      <c r="J58" s="45"/>
      <c r="K58" s="14"/>
      <c r="L58" s="71" t="n">
        <v>14095429</v>
      </c>
      <c r="M58" s="71"/>
      <c r="N58" s="71"/>
      <c r="T58" s="121" t="s">
        <v>252</v>
      </c>
      <c r="U58" s="122" t="n">
        <v>11108928</v>
      </c>
      <c r="V58" s="121"/>
      <c r="W58" s="121" t="s">
        <v>252</v>
      </c>
      <c r="X58" s="123" t="n">
        <v>2986500</v>
      </c>
      <c r="Y58" s="121"/>
      <c r="Z58" s="121" t="s">
        <v>252</v>
      </c>
      <c r="AA58" s="124" t="n">
        <v>14095428</v>
      </c>
    </row>
    <row r="59" customFormat="false" ht="15.75" hidden="false" customHeight="false" outlineLevel="0" collapsed="false">
      <c r="A59" s="0" t="str">
        <f aca="true">CELL("filename")</f>
        <v>'file:///mnt/12tb/@roms/datasets/enron/EDRM Enron Email Data Set v2 XML/filtered-attachments/xls/2002_Plan_Contracted_uncontracted_stretch_9_21_01.xls'#$P &amp; S by Risk Category</v>
      </c>
      <c r="H59" s="95" t="s">
        <v>56</v>
      </c>
      <c r="I59" s="109"/>
      <c r="J59" s="14"/>
      <c r="K59" s="14"/>
      <c r="L59" s="71" t="n">
        <v>13796126</v>
      </c>
      <c r="T59" s="125" t="s">
        <v>253</v>
      </c>
      <c r="U59" s="126" t="n">
        <v>4870894.56</v>
      </c>
      <c r="V59" s="125"/>
      <c r="W59" s="125" t="s">
        <v>253</v>
      </c>
      <c r="X59" s="126" t="n">
        <v>9355394</v>
      </c>
      <c r="Y59" s="125"/>
      <c r="Z59" s="125" t="s">
        <v>253</v>
      </c>
      <c r="AA59" s="126" t="n">
        <v>14226288.56</v>
      </c>
    </row>
    <row r="60" customFormat="false" ht="17.25" hidden="false" customHeight="false" outlineLevel="0" collapsed="false">
      <c r="H60" s="95" t="s">
        <v>96</v>
      </c>
      <c r="I60" s="109"/>
      <c r="J60" s="14"/>
      <c r="K60" s="14"/>
      <c r="L60" s="127" t="n">
        <v>5903540</v>
      </c>
      <c r="T60" s="125" t="s">
        <v>254</v>
      </c>
      <c r="U60" s="128" t="n">
        <v>1181040</v>
      </c>
      <c r="V60" s="125"/>
      <c r="W60" s="125" t="s">
        <v>254</v>
      </c>
      <c r="X60" s="126" t="n">
        <v>1956500</v>
      </c>
      <c r="Y60" s="125"/>
      <c r="Z60" s="125" t="s">
        <v>254</v>
      </c>
      <c r="AA60" s="126" t="n">
        <v>3137540</v>
      </c>
    </row>
    <row r="61" customFormat="false" ht="16.5" hidden="false" customHeight="false" outlineLevel="0" collapsed="false">
      <c r="H61" s="97" t="s">
        <v>255</v>
      </c>
      <c r="I61" s="129"/>
      <c r="J61" s="98"/>
      <c r="K61" s="75"/>
      <c r="L61" s="76" t="n">
        <f aca="false">L58+L59+L60</f>
        <v>33795095</v>
      </c>
      <c r="N61" s="79"/>
      <c r="T61" s="130" t="s">
        <v>256</v>
      </c>
      <c r="U61" s="131" t="n">
        <v>17160862.56</v>
      </c>
      <c r="V61" s="130"/>
      <c r="W61" s="130" t="s">
        <v>257</v>
      </c>
      <c r="X61" s="131" t="n">
        <v>14298394</v>
      </c>
      <c r="Y61" s="130"/>
      <c r="Z61" s="130" t="s">
        <v>258</v>
      </c>
      <c r="AA61" s="132" t="n">
        <f aca="false">31459256.56</f>
        <v>31459256.56</v>
      </c>
    </row>
    <row r="62" customFormat="false" ht="16.5" hidden="false" customHeight="false" outlineLevel="0" collapsed="false">
      <c r="G62" s="14"/>
      <c r="H62" s="70"/>
      <c r="I62" s="109"/>
      <c r="J62" s="14"/>
      <c r="K62" s="14"/>
      <c r="L62" s="84"/>
      <c r="M62" s="14"/>
      <c r="AA62" s="119" t="n">
        <f aca="false">+T55</f>
        <v>-164076</v>
      </c>
    </row>
    <row r="63" customFormat="false" ht="15.75" hidden="false" customHeight="false" outlineLevel="0" collapsed="false">
      <c r="G63" s="14"/>
      <c r="H63" s="72"/>
      <c r="I63" s="109"/>
      <c r="J63" s="14"/>
      <c r="K63" s="14"/>
      <c r="L63" s="84"/>
      <c r="M63" s="14"/>
      <c r="AA63" s="116" t="n">
        <f aca="false">+AA61+AA62</f>
        <v>31295180.56</v>
      </c>
    </row>
    <row r="64" customFormat="false" ht="17.25" hidden="false" customHeight="false" outlineLevel="0" collapsed="false">
      <c r="G64" s="14"/>
      <c r="H64" s="72"/>
      <c r="I64" s="109"/>
      <c r="J64" s="14"/>
      <c r="K64" s="14"/>
      <c r="L64" s="133"/>
      <c r="M64" s="14"/>
    </row>
    <row r="65" customFormat="false" ht="17.25" hidden="false" customHeight="false" outlineLevel="0" collapsed="false">
      <c r="G65" s="14"/>
      <c r="H65" s="72"/>
      <c r="I65" s="109"/>
      <c r="J65" s="14"/>
      <c r="K65" s="14"/>
      <c r="L65" s="133"/>
      <c r="M65" s="14"/>
    </row>
    <row r="66" customFormat="false" ht="17.25" hidden="false" customHeight="false" outlineLevel="0" collapsed="false">
      <c r="G66" s="14"/>
      <c r="H66" s="72"/>
      <c r="I66" s="109"/>
      <c r="J66" s="14"/>
      <c r="K66" s="14"/>
      <c r="L66" s="133"/>
      <c r="M66" s="14"/>
    </row>
    <row r="67" customFormat="false" ht="15.75" hidden="false" customHeight="false" outlineLevel="0" collapsed="false">
      <c r="G67" s="14"/>
      <c r="H67" s="89"/>
      <c r="I67" s="109"/>
      <c r="J67" s="14"/>
      <c r="K67" s="59"/>
      <c r="L67" s="91"/>
      <c r="M67" s="14"/>
    </row>
    <row r="68" customFormat="false" ht="12.75" hidden="false" customHeight="false" outlineLevel="0" collapsed="false">
      <c r="H68" s="41"/>
      <c r="I68" s="106"/>
      <c r="K68" s="59"/>
    </row>
    <row r="69" customFormat="false" ht="12.75" hidden="false" customHeight="false" outlineLevel="0" collapsed="false">
      <c r="H69" s="41"/>
      <c r="I69" s="106"/>
      <c r="K69" s="59"/>
    </row>
    <row r="70" customFormat="false" ht="12.75" hidden="false" customHeight="false" outlineLevel="0" collapsed="false">
      <c r="H70" s="41"/>
      <c r="I70" s="106"/>
      <c r="K70" s="59"/>
    </row>
    <row r="71" customFormat="false" ht="12.75" hidden="false" customHeight="false" outlineLevel="0" collapsed="false">
      <c r="H71" s="41"/>
      <c r="I71" s="106"/>
      <c r="K71" s="59"/>
    </row>
    <row r="72" customFormat="false" ht="12.75" hidden="false" customHeight="false" outlineLevel="0" collapsed="false">
      <c r="H72" s="41"/>
      <c r="I72" s="106"/>
      <c r="K72" s="59"/>
    </row>
    <row r="73" customFormat="false" ht="12.75" hidden="false" customHeight="false" outlineLevel="0" collapsed="false">
      <c r="H73" s="41"/>
      <c r="I73" s="106"/>
      <c r="K73" s="59"/>
    </row>
    <row r="74" customFormat="false" ht="12.75" hidden="false" customHeight="false" outlineLevel="0" collapsed="false">
      <c r="H74" s="41"/>
      <c r="I74" s="106"/>
      <c r="K74" s="59"/>
    </row>
    <row r="75" customFormat="false" ht="12.75" hidden="false" customHeight="false" outlineLevel="0" collapsed="false">
      <c r="H75" s="41"/>
      <c r="I75" s="106"/>
      <c r="K75" s="59"/>
    </row>
    <row r="76" customFormat="false" ht="12.75" hidden="false" customHeight="false" outlineLevel="0" collapsed="false">
      <c r="H76" s="41"/>
      <c r="I76" s="106"/>
      <c r="K76" s="59"/>
    </row>
    <row r="77" customFormat="false" ht="12.75" hidden="false" customHeight="false" outlineLevel="0" collapsed="false">
      <c r="H77" s="41"/>
      <c r="I77" s="106"/>
      <c r="K77" s="59"/>
    </row>
    <row r="78" customFormat="false" ht="12.75" hidden="false" customHeight="false" outlineLevel="0" collapsed="false">
      <c r="H78" s="41"/>
      <c r="I78" s="106"/>
      <c r="K78" s="59"/>
    </row>
    <row r="79" customFormat="false" ht="12.75" hidden="false" customHeight="false" outlineLevel="0" collapsed="false">
      <c r="H79" s="41"/>
      <c r="I79" s="106"/>
      <c r="K79" s="59"/>
    </row>
    <row r="80" customFormat="false" ht="12.75" hidden="false" customHeight="false" outlineLevel="0" collapsed="false">
      <c r="H80" s="41"/>
      <c r="I80" s="106"/>
      <c r="K80" s="59"/>
    </row>
    <row r="81" customFormat="false" ht="12.75" hidden="false" customHeight="false" outlineLevel="0" collapsed="false">
      <c r="H81" s="41"/>
      <c r="I81" s="106"/>
      <c r="K81" s="59"/>
    </row>
    <row r="82" customFormat="false" ht="12.75" hidden="false" customHeight="false" outlineLevel="0" collapsed="false">
      <c r="H82" s="41"/>
      <c r="I82" s="106"/>
      <c r="K82" s="59"/>
    </row>
    <row r="83" customFormat="false" ht="12.75" hidden="false" customHeight="false" outlineLevel="0" collapsed="false">
      <c r="H83" s="41"/>
      <c r="I83" s="106"/>
      <c r="K83" s="59"/>
    </row>
    <row r="84" customFormat="false" ht="12.75" hidden="false" customHeight="false" outlineLevel="0" collapsed="false">
      <c r="H84" s="41"/>
      <c r="I84" s="106"/>
      <c r="K84" s="59"/>
    </row>
    <row r="85" customFormat="false" ht="12.75" hidden="false" customHeight="false" outlineLevel="0" collapsed="false">
      <c r="H85" s="41"/>
      <c r="I85" s="106"/>
      <c r="K85" s="59"/>
    </row>
    <row r="86" customFormat="false" ht="12.75" hidden="false" customHeight="false" outlineLevel="0" collapsed="false">
      <c r="H86" s="41"/>
      <c r="I86" s="106"/>
      <c r="K86" s="59"/>
    </row>
    <row r="87" customFormat="false" ht="12.75" hidden="false" customHeight="false" outlineLevel="0" collapsed="false">
      <c r="H87" s="41"/>
      <c r="I87" s="106"/>
      <c r="K87" s="59"/>
    </row>
    <row r="88" customFormat="false" ht="12.75" hidden="false" customHeight="false" outlineLevel="0" collapsed="false">
      <c r="H88" s="41"/>
      <c r="I88" s="106"/>
      <c r="K88" s="59"/>
    </row>
    <row r="89" customFormat="false" ht="12.75" hidden="false" customHeight="false" outlineLevel="0" collapsed="false">
      <c r="H89" s="41"/>
      <c r="I89" s="106"/>
      <c r="K89" s="59"/>
    </row>
    <row r="90" customFormat="false" ht="12.75" hidden="false" customHeight="false" outlineLevel="0" collapsed="false">
      <c r="H90" s="41"/>
      <c r="I90" s="106"/>
      <c r="K90" s="59"/>
    </row>
    <row r="91" customFormat="false" ht="12.75" hidden="false" customHeight="false" outlineLevel="0" collapsed="false">
      <c r="H91" s="41"/>
      <c r="I91" s="106"/>
      <c r="K91" s="59"/>
    </row>
    <row r="92" customFormat="false" ht="12.75" hidden="false" customHeight="false" outlineLevel="0" collapsed="false">
      <c r="H92" s="41"/>
      <c r="I92" s="106"/>
      <c r="K92" s="59"/>
    </row>
    <row r="93" customFormat="false" ht="12.75" hidden="false" customHeight="false" outlineLevel="0" collapsed="false">
      <c r="H93" s="41"/>
      <c r="I93" s="106"/>
      <c r="K93" s="59"/>
    </row>
    <row r="94" customFormat="false" ht="12.75" hidden="false" customHeight="false" outlineLevel="0" collapsed="false">
      <c r="H94" s="41"/>
      <c r="I94" s="106"/>
      <c r="K94" s="59"/>
    </row>
    <row r="95" customFormat="false" ht="12.75" hidden="false" customHeight="false" outlineLevel="0" collapsed="false">
      <c r="H95" s="41"/>
      <c r="K95" s="59"/>
    </row>
    <row r="96" customFormat="false" ht="12.75" hidden="false" customHeight="false" outlineLevel="0" collapsed="false">
      <c r="H96" s="41"/>
      <c r="K96" s="59"/>
    </row>
    <row r="97" customFormat="false" ht="12.75" hidden="false" customHeight="false" outlineLevel="0" collapsed="false">
      <c r="H97" s="41"/>
      <c r="K97" s="59"/>
    </row>
    <row r="98" customFormat="false" ht="12.75" hidden="false" customHeight="false" outlineLevel="0" collapsed="false">
      <c r="H98" s="41"/>
      <c r="K98" s="59"/>
    </row>
    <row r="99" customFormat="false" ht="12.75" hidden="false" customHeight="false" outlineLevel="0" collapsed="false">
      <c r="H99" s="41"/>
      <c r="K99" s="59"/>
    </row>
    <row r="100" customFormat="false" ht="12.75" hidden="false" customHeight="false" outlineLevel="0" collapsed="false">
      <c r="H100" s="41"/>
      <c r="K100" s="59"/>
    </row>
    <row r="101" customFormat="false" ht="12.75" hidden="false" customHeight="false" outlineLevel="0" collapsed="false">
      <c r="H101" s="41"/>
      <c r="K101" s="59"/>
    </row>
    <row r="102" customFormat="false" ht="12.75" hidden="false" customHeight="false" outlineLevel="0" collapsed="false">
      <c r="H102" s="41"/>
      <c r="K102" s="59"/>
    </row>
    <row r="103" customFormat="false" ht="12.75" hidden="false" customHeight="false" outlineLevel="0" collapsed="false">
      <c r="H103" s="41"/>
      <c r="K103" s="59"/>
    </row>
    <row r="104" customFormat="false" ht="12.75" hidden="false" customHeight="false" outlineLevel="0" collapsed="false">
      <c r="H104" s="41"/>
      <c r="K104" s="59"/>
    </row>
    <row r="105" customFormat="false" ht="12.75" hidden="false" customHeight="false" outlineLevel="0" collapsed="false">
      <c r="H105" s="41"/>
      <c r="K105" s="59"/>
    </row>
    <row r="106" customFormat="false" ht="12.75" hidden="false" customHeight="false" outlineLevel="0" collapsed="false">
      <c r="H106" s="41"/>
      <c r="K106" s="59"/>
    </row>
    <row r="107" customFormat="false" ht="12.75" hidden="false" customHeight="false" outlineLevel="0" collapsed="false">
      <c r="H107" s="41"/>
      <c r="K107" s="59"/>
    </row>
    <row r="108" customFormat="false" ht="12.75" hidden="false" customHeight="false" outlineLevel="0" collapsed="false">
      <c r="H108" s="41"/>
      <c r="K108" s="59"/>
    </row>
    <row r="109" customFormat="false" ht="12.75" hidden="false" customHeight="false" outlineLevel="0" collapsed="false">
      <c r="H109" s="41"/>
      <c r="K109" s="59"/>
    </row>
    <row r="110" customFormat="false" ht="12.75" hidden="false" customHeight="false" outlineLevel="0" collapsed="false">
      <c r="H110" s="41"/>
      <c r="K110" s="59"/>
    </row>
    <row r="111" customFormat="false" ht="12.75" hidden="false" customHeight="false" outlineLevel="0" collapsed="false">
      <c r="H111" s="41"/>
      <c r="K111" s="59"/>
    </row>
    <row r="112" customFormat="false" ht="12.75" hidden="false" customHeight="false" outlineLevel="0" collapsed="false">
      <c r="H112" s="41"/>
      <c r="K112" s="59"/>
    </row>
    <row r="113" customFormat="false" ht="12.75" hidden="false" customHeight="false" outlineLevel="0" collapsed="false">
      <c r="H113" s="41"/>
      <c r="K113" s="59"/>
    </row>
    <row r="114" customFormat="false" ht="12.75" hidden="false" customHeight="false" outlineLevel="0" collapsed="false">
      <c r="H114" s="41"/>
      <c r="K114" s="59"/>
    </row>
    <row r="115" customFormat="false" ht="12.75" hidden="false" customHeight="false" outlineLevel="0" collapsed="false">
      <c r="H115" s="41"/>
      <c r="K115" s="59"/>
    </row>
    <row r="116" customFormat="false" ht="12.75" hidden="false" customHeight="false" outlineLevel="0" collapsed="false">
      <c r="H116" s="41"/>
      <c r="K116" s="59"/>
    </row>
    <row r="117" customFormat="false" ht="12.75" hidden="false" customHeight="false" outlineLevel="0" collapsed="false">
      <c r="H117" s="41"/>
      <c r="K117" s="59"/>
    </row>
    <row r="118" customFormat="false" ht="12.75" hidden="false" customHeight="false" outlineLevel="0" collapsed="false">
      <c r="H118" s="41"/>
      <c r="K118" s="59"/>
    </row>
    <row r="119" customFormat="false" ht="12.75" hidden="false" customHeight="false" outlineLevel="0" collapsed="false">
      <c r="H119" s="41"/>
      <c r="K119" s="59"/>
    </row>
    <row r="120" customFormat="false" ht="12.75" hidden="false" customHeight="false" outlineLevel="0" collapsed="false">
      <c r="K120" s="59"/>
    </row>
    <row r="121" customFormat="false" ht="12.75" hidden="false" customHeight="false" outlineLevel="0" collapsed="false">
      <c r="K121" s="59"/>
    </row>
  </sheetData>
  <mergeCells count="6">
    <mergeCell ref="A1:M1"/>
    <mergeCell ref="A2:M2"/>
    <mergeCell ref="D3:G3"/>
    <mergeCell ref="A4:M4"/>
    <mergeCell ref="A9:M9"/>
    <mergeCell ref="A43:M43"/>
  </mergeCells>
  <printOptions headings="false" gridLines="false" gridLinesSet="true" horizontalCentered="false" verticalCentered="false"/>
  <pageMargins left="0.679861111111111" right="0.329861111111111" top="0.509722222222222" bottom="0.769444444444445" header="0.511811023622047" footer="0.209722222222222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
&amp;T&amp;CPage &amp;P of &amp;N&amp;R&amp;F
&amp;A</oddFooter>
  </headerFooter>
  <rowBreaks count="1" manualBreakCount="1">
    <brk id="42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0" activeCellId="0" sqref="A9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34" width="16.28"/>
    <col collapsed="false" customWidth="true" hidden="false" outlineLevel="0" max="2" min="2" style="134" width="29.71"/>
    <col collapsed="false" customWidth="true" hidden="false" outlineLevel="0" max="3" min="3" style="135" width="3.85"/>
    <col collapsed="false" customWidth="true" hidden="false" outlineLevel="0" max="4" min="4" style="21" width="11.42"/>
    <col collapsed="false" customWidth="true" hidden="false" outlineLevel="0" max="5" min="5" style="42" width="10.41"/>
    <col collapsed="false" customWidth="true" hidden="false" outlineLevel="0" max="6" min="6" style="38" width="13.28"/>
    <col collapsed="false" customWidth="true" hidden="false" outlineLevel="0" max="7" min="7" style="0" width="4.14"/>
    <col collapsed="false" customWidth="true" hidden="false" outlineLevel="0" max="8" min="8" style="21" width="11.99"/>
    <col collapsed="false" customWidth="true" hidden="false" outlineLevel="0" max="9" min="9" style="42" width="10.41"/>
    <col collapsed="false" customWidth="true" hidden="false" outlineLevel="0" max="10" min="10" style="38" width="13.28"/>
    <col collapsed="false" customWidth="true" hidden="false" outlineLevel="0" max="11" min="11" style="0" width="4.14"/>
    <col collapsed="false" customWidth="true" hidden="false" outlineLevel="0" max="12" min="12" style="21" width="11.42"/>
    <col collapsed="false" customWidth="true" hidden="false" outlineLevel="0" max="13" min="13" style="42" width="10.41"/>
    <col collapsed="false" customWidth="true" hidden="false" outlineLevel="0" max="14" min="14" style="38" width="11.7"/>
    <col collapsed="false" customWidth="true" hidden="false" outlineLevel="0" max="15" min="15" style="136" width="12.14"/>
    <col collapsed="false" customWidth="true" hidden="false" outlineLevel="0" max="16" min="16" style="38" width="2.13"/>
    <col collapsed="false" customWidth="true" hidden="false" outlineLevel="0" max="17" min="17" style="38" width="11.99"/>
    <col collapsed="false" customWidth="true" hidden="false" outlineLevel="0" max="18" min="18" style="0" width="2.84"/>
    <col collapsed="false" customWidth="true" hidden="false" outlineLevel="0" max="19" min="19" style="21" width="11.99"/>
    <col collapsed="false" customWidth="true" hidden="false" outlineLevel="0" max="20" min="20" style="42" width="10.41"/>
    <col collapsed="false" customWidth="true" hidden="false" outlineLevel="0" max="21" min="21" style="38" width="13.28"/>
  </cols>
  <sheetData>
    <row r="1" customFormat="false" ht="15" hidden="false" customHeight="false" outlineLevel="0" collapsed="false">
      <c r="A1" s="137" t="s">
        <v>259</v>
      </c>
    </row>
    <row r="2" customFormat="false" ht="15" hidden="false" customHeight="false" outlineLevel="0" collapsed="false">
      <c r="A2" s="137" t="s">
        <v>260</v>
      </c>
    </row>
    <row r="3" customFormat="false" ht="15" hidden="false" customHeight="false" outlineLevel="0" collapsed="false">
      <c r="A3" s="137" t="s">
        <v>261</v>
      </c>
      <c r="D3" s="138" t="n">
        <v>36749</v>
      </c>
      <c r="H3" s="0"/>
      <c r="L3" s="0"/>
      <c r="S3" s="138"/>
    </row>
    <row r="4" customFormat="false" ht="15" hidden="false" customHeight="false" outlineLevel="0" collapsed="false">
      <c r="A4" s="137"/>
      <c r="D4" s="139" t="s">
        <v>262</v>
      </c>
      <c r="E4" s="139"/>
      <c r="F4" s="139"/>
      <c r="H4" s="139" t="s">
        <v>263</v>
      </c>
      <c r="I4" s="139"/>
      <c r="J4" s="139"/>
      <c r="L4" s="139" t="s">
        <v>264</v>
      </c>
      <c r="M4" s="139"/>
      <c r="N4" s="139"/>
      <c r="O4" s="139"/>
      <c r="P4" s="139"/>
      <c r="Q4" s="139"/>
      <c r="S4" s="139" t="s">
        <v>265</v>
      </c>
      <c r="T4" s="139"/>
      <c r="U4" s="139"/>
    </row>
    <row r="6" customFormat="false" ht="26.25" hidden="false" customHeight="false" outlineLevel="0" collapsed="false">
      <c r="A6" s="140" t="s">
        <v>266</v>
      </c>
      <c r="B6" s="140" t="s">
        <v>50</v>
      </c>
      <c r="C6" s="141"/>
      <c r="D6" s="142" t="s">
        <v>267</v>
      </c>
      <c r="E6" s="143" t="s">
        <v>268</v>
      </c>
      <c r="F6" s="144" t="s">
        <v>269</v>
      </c>
      <c r="G6" s="140"/>
      <c r="H6" s="142" t="s">
        <v>267</v>
      </c>
      <c r="I6" s="143" t="s">
        <v>268</v>
      </c>
      <c r="J6" s="144" t="s">
        <v>269</v>
      </c>
      <c r="K6" s="140"/>
      <c r="L6" s="142" t="s">
        <v>267</v>
      </c>
      <c r="M6" s="143" t="s">
        <v>268</v>
      </c>
      <c r="N6" s="144" t="s">
        <v>269</v>
      </c>
      <c r="O6" s="145" t="s">
        <v>270</v>
      </c>
      <c r="P6" s="144"/>
      <c r="Q6" s="144" t="s">
        <v>271</v>
      </c>
      <c r="R6" s="140"/>
      <c r="S6" s="142" t="s">
        <v>267</v>
      </c>
      <c r="T6" s="143" t="s">
        <v>268</v>
      </c>
      <c r="U6" s="144" t="s">
        <v>269</v>
      </c>
    </row>
    <row r="7" customFormat="false" ht="13.5" hidden="false" customHeight="false" outlineLevel="0" collapsed="false">
      <c r="A7" s="146" t="s">
        <v>272</v>
      </c>
      <c r="B7" s="140"/>
      <c r="C7" s="141"/>
      <c r="D7" s="142"/>
      <c r="E7" s="143"/>
      <c r="F7" s="144"/>
      <c r="G7" s="140"/>
      <c r="H7" s="142"/>
      <c r="I7" s="143"/>
      <c r="J7" s="144"/>
      <c r="K7" s="140"/>
      <c r="L7" s="142"/>
      <c r="M7" s="143"/>
      <c r="N7" s="144"/>
      <c r="O7" s="145"/>
      <c r="P7" s="144"/>
      <c r="Q7" s="144"/>
      <c r="R7" s="140"/>
      <c r="S7" s="142"/>
      <c r="T7" s="143"/>
      <c r="U7" s="144"/>
    </row>
    <row r="8" customFormat="false" ht="12.75" hidden="false" customHeight="false" outlineLevel="0" collapsed="false">
      <c r="A8" s="147" t="s">
        <v>273</v>
      </c>
      <c r="B8" s="148" t="s">
        <v>274</v>
      </c>
      <c r="C8" s="149"/>
      <c r="D8" s="150"/>
      <c r="E8" s="151"/>
      <c r="F8" s="152"/>
      <c r="G8" s="16"/>
      <c r="H8" s="150"/>
      <c r="I8" s="151"/>
      <c r="J8" s="152"/>
      <c r="K8" s="16"/>
      <c r="L8" s="150"/>
      <c r="M8" s="151"/>
      <c r="N8" s="152"/>
      <c r="O8" s="153"/>
      <c r="P8" s="152"/>
      <c r="Q8" s="152"/>
      <c r="R8" s="16"/>
      <c r="S8" s="154"/>
      <c r="T8" s="154"/>
      <c r="U8" s="154"/>
    </row>
    <row r="9" customFormat="false" ht="12.75" hidden="false" customHeight="false" outlineLevel="0" collapsed="false">
      <c r="A9" s="147"/>
      <c r="B9" s="155" t="s">
        <v>275</v>
      </c>
      <c r="C9" s="149"/>
      <c r="D9" s="150"/>
      <c r="E9" s="151"/>
      <c r="F9" s="152"/>
      <c r="G9" s="16"/>
      <c r="H9" s="150" t="n">
        <v>3</v>
      </c>
      <c r="I9" s="151" t="n">
        <v>0.23</v>
      </c>
      <c r="J9" s="152" t="n">
        <v>690</v>
      </c>
      <c r="K9" s="16"/>
      <c r="L9" s="150" t="n">
        <v>3</v>
      </c>
      <c r="M9" s="151" t="n">
        <v>0.14</v>
      </c>
      <c r="N9" s="152" t="n">
        <v>420</v>
      </c>
      <c r="O9" s="153" t="n">
        <v>0.5</v>
      </c>
      <c r="P9" s="152"/>
      <c r="Q9" s="152" t="n">
        <v>210</v>
      </c>
      <c r="R9" s="16"/>
      <c r="S9" s="150" t="n">
        <v>3</v>
      </c>
      <c r="T9" s="151" t="n">
        <v>0.3</v>
      </c>
      <c r="U9" s="152" t="n">
        <v>900</v>
      </c>
    </row>
    <row r="10" customFormat="false" ht="12.75" hidden="false" customHeight="false" outlineLevel="0" collapsed="false">
      <c r="A10" s="147"/>
      <c r="B10" s="155" t="s">
        <v>276</v>
      </c>
      <c r="C10" s="149"/>
      <c r="D10" s="150"/>
      <c r="E10" s="151"/>
      <c r="F10" s="152"/>
      <c r="G10" s="16"/>
      <c r="H10" s="150" t="n">
        <v>1</v>
      </c>
      <c r="I10" s="151" t="n">
        <v>0.2172</v>
      </c>
      <c r="J10" s="152" t="n">
        <v>217.2</v>
      </c>
      <c r="K10" s="16"/>
      <c r="L10" s="150" t="n">
        <v>1</v>
      </c>
      <c r="M10" s="151" t="n">
        <v>0.14</v>
      </c>
      <c r="N10" s="152" t="n">
        <v>140</v>
      </c>
      <c r="O10" s="153" t="n">
        <v>0.5</v>
      </c>
      <c r="P10" s="152"/>
      <c r="Q10" s="152" t="n">
        <v>70</v>
      </c>
      <c r="R10" s="16"/>
      <c r="S10" s="150" t="n">
        <v>1</v>
      </c>
      <c r="T10" s="151" t="n">
        <v>0.2872</v>
      </c>
      <c r="U10" s="152" t="n">
        <v>287.2</v>
      </c>
    </row>
    <row r="11" customFormat="false" ht="12.75" hidden="false" customHeight="false" outlineLevel="0" collapsed="false">
      <c r="A11" s="147"/>
      <c r="B11" s="147" t="s">
        <v>277</v>
      </c>
      <c r="C11" s="149"/>
      <c r="D11" s="150"/>
      <c r="E11" s="151"/>
      <c r="F11" s="152"/>
      <c r="G11" s="16"/>
      <c r="H11" s="156"/>
      <c r="I11" s="157"/>
      <c r="J11" s="158" t="n">
        <v>18.118</v>
      </c>
      <c r="K11" s="16"/>
      <c r="L11" s="156"/>
      <c r="M11" s="157"/>
      <c r="N11" s="158"/>
      <c r="O11" s="159"/>
      <c r="P11" s="158"/>
      <c r="Q11" s="158"/>
      <c r="R11" s="16"/>
      <c r="S11" s="156"/>
      <c r="T11" s="157"/>
      <c r="U11" s="158" t="n">
        <v>18.118</v>
      </c>
    </row>
    <row r="12" customFormat="false" ht="12.75" hidden="false" customHeight="false" outlineLevel="0" collapsed="false">
      <c r="A12" s="147" t="s">
        <v>278</v>
      </c>
      <c r="B12" s="147" t="s">
        <v>279</v>
      </c>
      <c r="C12" s="149"/>
      <c r="D12" s="150"/>
      <c r="E12" s="151"/>
      <c r="F12" s="152"/>
      <c r="G12" s="16"/>
      <c r="H12" s="150" t="n">
        <v>4</v>
      </c>
      <c r="I12" s="151" t="n">
        <v>0.2313295</v>
      </c>
      <c r="J12" s="152" t="n">
        <v>925.318</v>
      </c>
      <c r="K12" s="16"/>
      <c r="L12" s="150" t="n">
        <v>4</v>
      </c>
      <c r="M12" s="151" t="n">
        <v>0.14</v>
      </c>
      <c r="N12" s="152" t="n">
        <v>560</v>
      </c>
      <c r="O12" s="153"/>
      <c r="P12" s="152"/>
      <c r="Q12" s="152" t="n">
        <v>280</v>
      </c>
      <c r="R12" s="16"/>
      <c r="S12" s="150" t="n">
        <v>4</v>
      </c>
      <c r="T12" s="151" t="n">
        <v>0.3013295</v>
      </c>
      <c r="U12" s="152" t="n">
        <v>1205.318</v>
      </c>
    </row>
    <row r="13" customFormat="false" ht="12.75" hidden="false" customHeight="false" outlineLevel="0" collapsed="false">
      <c r="A13" s="147"/>
      <c r="B13" s="147"/>
      <c r="C13" s="149"/>
      <c r="D13" s="150"/>
      <c r="E13" s="151"/>
      <c r="F13" s="152"/>
      <c r="G13" s="16"/>
      <c r="H13" s="150"/>
      <c r="I13" s="151"/>
      <c r="J13" s="152"/>
      <c r="K13" s="16"/>
      <c r="L13" s="150"/>
      <c r="M13" s="151"/>
      <c r="N13" s="152"/>
      <c r="O13" s="153"/>
      <c r="P13" s="152"/>
      <c r="Q13" s="152"/>
      <c r="R13" s="16"/>
      <c r="S13" s="150"/>
      <c r="T13" s="151"/>
      <c r="U13" s="152"/>
    </row>
    <row r="14" customFormat="false" ht="12.75" hidden="false" customHeight="false" outlineLevel="0" collapsed="false">
      <c r="A14" s="147"/>
      <c r="B14" s="147" t="s">
        <v>280</v>
      </c>
      <c r="C14" s="149"/>
      <c r="D14" s="150"/>
      <c r="E14" s="151"/>
      <c r="F14" s="152"/>
      <c r="G14" s="16"/>
      <c r="H14" s="150" t="n">
        <v>1.5</v>
      </c>
      <c r="I14" s="151" t="n">
        <v>0.08</v>
      </c>
      <c r="J14" s="152" t="n">
        <v>120</v>
      </c>
      <c r="K14" s="16"/>
      <c r="L14" s="150" t="n">
        <v>1.5</v>
      </c>
      <c r="M14" s="151" t="n">
        <v>0.08</v>
      </c>
      <c r="N14" s="152" t="n">
        <v>120</v>
      </c>
      <c r="O14" s="153" t="n">
        <v>0.5</v>
      </c>
      <c r="P14" s="152"/>
      <c r="Q14" s="152" t="n">
        <v>60</v>
      </c>
      <c r="R14" s="16"/>
      <c r="S14" s="150" t="n">
        <v>1.5</v>
      </c>
      <c r="T14" s="151" t="n">
        <v>0.12</v>
      </c>
      <c r="U14" s="152" t="n">
        <v>180</v>
      </c>
    </row>
    <row r="15" customFormat="false" ht="12.75" hidden="false" customHeight="false" outlineLevel="0" collapsed="false">
      <c r="A15" s="147"/>
      <c r="B15" s="147"/>
      <c r="C15" s="160"/>
      <c r="D15" s="150"/>
      <c r="E15" s="151"/>
      <c r="F15" s="152"/>
      <c r="G15" s="16"/>
      <c r="H15" s="150"/>
      <c r="I15" s="151"/>
      <c r="J15" s="152"/>
      <c r="K15" s="16"/>
      <c r="L15" s="150"/>
      <c r="M15" s="151"/>
      <c r="N15" s="152"/>
      <c r="O15" s="153"/>
      <c r="P15" s="152"/>
      <c r="Q15" s="152"/>
      <c r="R15" s="16"/>
      <c r="S15" s="150"/>
      <c r="T15" s="151"/>
      <c r="U15" s="152"/>
    </row>
    <row r="16" customFormat="false" ht="12.75" hidden="false" customHeight="false" outlineLevel="0" collapsed="false">
      <c r="A16" s="147"/>
      <c r="B16" s="147" t="s">
        <v>281</v>
      </c>
      <c r="C16" s="160"/>
      <c r="D16" s="150"/>
      <c r="E16" s="151"/>
      <c r="F16" s="152"/>
      <c r="G16" s="16"/>
      <c r="H16" s="150"/>
      <c r="I16" s="151"/>
      <c r="J16" s="152" t="n">
        <v>1045.318</v>
      </c>
      <c r="K16" s="16"/>
      <c r="L16" s="150"/>
      <c r="M16" s="151"/>
      <c r="N16" s="152" t="n">
        <v>680</v>
      </c>
      <c r="O16" s="153"/>
      <c r="P16" s="152"/>
      <c r="Q16" s="152" t="n">
        <v>340</v>
      </c>
      <c r="R16" s="16"/>
      <c r="S16" s="150"/>
      <c r="T16" s="151"/>
      <c r="U16" s="152" t="n">
        <v>1385.318</v>
      </c>
    </row>
    <row r="17" customFormat="false" ht="12.75" hidden="false" customHeight="false" outlineLevel="0" collapsed="false">
      <c r="E17" s="161"/>
      <c r="I17" s="161"/>
      <c r="M17" s="161"/>
      <c r="T17" s="161"/>
    </row>
    <row r="18" customFormat="false" ht="12.75" hidden="false" customHeight="false" outlineLevel="0" collapsed="false">
      <c r="A18" s="147" t="s">
        <v>282</v>
      </c>
      <c r="B18" s="148" t="s">
        <v>283</v>
      </c>
      <c r="C18" s="149"/>
      <c r="D18" s="154"/>
      <c r="E18" s="154"/>
      <c r="F18" s="154"/>
      <c r="G18" s="16"/>
      <c r="H18" s="154"/>
      <c r="I18" s="154"/>
      <c r="J18" s="154"/>
      <c r="K18" s="16"/>
      <c r="L18" s="154"/>
      <c r="M18" s="154"/>
      <c r="N18" s="154"/>
      <c r="O18" s="162"/>
      <c r="P18" s="154"/>
      <c r="Q18" s="154"/>
      <c r="R18" s="16"/>
      <c r="S18" s="154"/>
      <c r="T18" s="154"/>
      <c r="U18" s="154"/>
    </row>
    <row r="19" customFormat="false" ht="12.75" hidden="false" customHeight="false" outlineLevel="0" collapsed="false">
      <c r="A19" s="147"/>
      <c r="B19" s="155" t="s">
        <v>284</v>
      </c>
      <c r="C19" s="149"/>
      <c r="D19" s="150"/>
      <c r="E19" s="151"/>
      <c r="F19" s="152"/>
      <c r="G19" s="16"/>
      <c r="H19" s="150" t="n">
        <v>1.5</v>
      </c>
      <c r="I19" s="151" t="n">
        <v>0.789291333333333</v>
      </c>
      <c r="J19" s="152" t="n">
        <v>1183.937</v>
      </c>
      <c r="K19" s="16"/>
      <c r="L19" s="150"/>
      <c r="M19" s="151"/>
      <c r="N19" s="152"/>
      <c r="O19" s="153"/>
      <c r="P19" s="152"/>
      <c r="Q19" s="152"/>
      <c r="R19" s="16"/>
      <c r="S19" s="150" t="n">
        <v>1.5</v>
      </c>
      <c r="T19" s="151" t="n">
        <v>0.789291333333333</v>
      </c>
      <c r="U19" s="152" t="n">
        <v>1183.937</v>
      </c>
    </row>
    <row r="20" customFormat="false" ht="12.75" hidden="false" customHeight="false" outlineLevel="0" collapsed="false">
      <c r="A20" s="147"/>
      <c r="B20" s="163" t="s">
        <v>285</v>
      </c>
      <c r="C20" s="149"/>
      <c r="D20" s="150"/>
      <c r="E20" s="151"/>
      <c r="F20" s="152"/>
      <c r="G20" s="16"/>
      <c r="H20" s="150" t="n">
        <v>0.1</v>
      </c>
      <c r="I20" s="151" t="n">
        <v>0.83</v>
      </c>
      <c r="J20" s="152" t="n">
        <v>83</v>
      </c>
      <c r="K20" s="16"/>
      <c r="L20" s="150"/>
      <c r="M20" s="151"/>
      <c r="N20" s="152"/>
      <c r="O20" s="153"/>
      <c r="P20" s="152"/>
      <c r="Q20" s="152"/>
      <c r="R20" s="16"/>
      <c r="S20" s="150" t="n">
        <v>0.1</v>
      </c>
      <c r="T20" s="151" t="n">
        <v>0.83</v>
      </c>
      <c r="U20" s="152" t="n">
        <v>83</v>
      </c>
    </row>
    <row r="21" customFormat="false" ht="12.75" hidden="false" customHeight="false" outlineLevel="0" collapsed="false">
      <c r="A21" s="147"/>
      <c r="B21" s="155" t="s">
        <v>286</v>
      </c>
      <c r="C21" s="164"/>
      <c r="D21" s="150"/>
      <c r="E21" s="151"/>
      <c r="F21" s="152"/>
      <c r="G21" s="16"/>
      <c r="H21" s="150"/>
      <c r="I21" s="151"/>
      <c r="J21" s="152"/>
      <c r="K21" s="16"/>
      <c r="L21" s="150"/>
      <c r="M21" s="151"/>
      <c r="N21" s="152"/>
      <c r="O21" s="153"/>
      <c r="P21" s="152"/>
      <c r="Q21" s="152"/>
      <c r="R21" s="16"/>
      <c r="S21" s="150"/>
      <c r="T21" s="151"/>
      <c r="U21" s="152"/>
    </row>
    <row r="22" customFormat="false" ht="12.75" hidden="false" customHeight="false" outlineLevel="0" collapsed="false">
      <c r="A22" s="147"/>
      <c r="B22" s="155" t="s">
        <v>277</v>
      </c>
      <c r="C22" s="149"/>
      <c r="D22" s="150"/>
      <c r="E22" s="151"/>
      <c r="F22" s="152"/>
      <c r="G22" s="16"/>
      <c r="H22" s="150" t="n">
        <v>1.5</v>
      </c>
      <c r="I22" s="151" t="n">
        <v>0.46</v>
      </c>
      <c r="J22" s="152" t="n">
        <v>690</v>
      </c>
      <c r="K22" s="16"/>
      <c r="L22" s="150"/>
      <c r="M22" s="151"/>
      <c r="N22" s="152"/>
      <c r="O22" s="153"/>
      <c r="P22" s="152"/>
      <c r="Q22" s="152"/>
      <c r="R22" s="16"/>
      <c r="S22" s="150" t="n">
        <v>2</v>
      </c>
      <c r="T22" s="151" t="n">
        <v>0.345</v>
      </c>
      <c r="U22" s="152" t="n">
        <v>690</v>
      </c>
    </row>
    <row r="23" customFormat="false" ht="12.75" hidden="false" customHeight="false" outlineLevel="0" collapsed="false">
      <c r="A23" s="147"/>
      <c r="B23" s="163" t="s">
        <v>287</v>
      </c>
      <c r="C23" s="149"/>
      <c r="D23" s="150"/>
      <c r="E23" s="151"/>
      <c r="F23" s="152"/>
      <c r="G23" s="16"/>
      <c r="H23" s="150"/>
      <c r="I23" s="151"/>
      <c r="J23" s="152"/>
      <c r="K23" s="16"/>
      <c r="L23" s="150" t="n">
        <v>1</v>
      </c>
      <c r="M23" s="151" t="n">
        <v>0.7041</v>
      </c>
      <c r="N23" s="152" t="n">
        <v>704.1</v>
      </c>
      <c r="O23" s="153" t="n">
        <v>0.75</v>
      </c>
      <c r="P23" s="152"/>
      <c r="Q23" s="152" t="n">
        <v>528.075</v>
      </c>
      <c r="R23" s="16"/>
      <c r="S23" s="150" t="n">
        <v>1</v>
      </c>
      <c r="T23" s="151" t="n">
        <v>0.528075</v>
      </c>
      <c r="U23" s="152" t="n">
        <v>528.075</v>
      </c>
    </row>
    <row r="24" customFormat="false" ht="12.75" hidden="false" customHeight="false" outlineLevel="0" collapsed="false">
      <c r="A24" s="147"/>
      <c r="B24" s="163" t="s">
        <v>288</v>
      </c>
      <c r="C24" s="149"/>
      <c r="D24" s="150"/>
      <c r="E24" s="151"/>
      <c r="F24" s="152"/>
      <c r="G24" s="16"/>
      <c r="H24" s="150" t="n">
        <v>1</v>
      </c>
      <c r="I24" s="151" t="n">
        <v>0.7311</v>
      </c>
      <c r="J24" s="152" t="n">
        <v>731.1</v>
      </c>
      <c r="K24" s="16"/>
      <c r="L24" s="150"/>
      <c r="M24" s="151"/>
      <c r="N24" s="152"/>
      <c r="O24" s="153"/>
      <c r="P24" s="152"/>
      <c r="Q24" s="152"/>
      <c r="R24" s="16"/>
      <c r="S24" s="150" t="n">
        <v>1</v>
      </c>
      <c r="T24" s="151" t="n">
        <v>0.7311</v>
      </c>
      <c r="U24" s="152" t="n">
        <v>731.1</v>
      </c>
    </row>
    <row r="25" customFormat="false" ht="12.75" hidden="false" customHeight="false" outlineLevel="0" collapsed="false">
      <c r="A25" s="147"/>
      <c r="B25" s="163" t="s">
        <v>289</v>
      </c>
      <c r="C25" s="164"/>
      <c r="D25" s="150"/>
      <c r="E25" s="151"/>
      <c r="F25" s="152"/>
      <c r="G25" s="16"/>
      <c r="H25" s="156" t="n">
        <v>1.35</v>
      </c>
      <c r="I25" s="157" t="n">
        <v>0.591833333333333</v>
      </c>
      <c r="J25" s="158" t="n">
        <v>798.975</v>
      </c>
      <c r="K25" s="16"/>
      <c r="L25" s="156"/>
      <c r="M25" s="157"/>
      <c r="N25" s="158"/>
      <c r="O25" s="159"/>
      <c r="P25" s="158"/>
      <c r="Q25" s="158"/>
      <c r="R25" s="16"/>
      <c r="S25" s="156" t="n">
        <v>3</v>
      </c>
      <c r="T25" s="157" t="n">
        <v>0.266325</v>
      </c>
      <c r="U25" s="158" t="n">
        <v>798.975</v>
      </c>
    </row>
    <row r="26" customFormat="false" ht="12.75" hidden="false" customHeight="false" outlineLevel="0" collapsed="false">
      <c r="A26" s="147"/>
      <c r="B26" s="163" t="s">
        <v>290</v>
      </c>
      <c r="C26" s="164"/>
      <c r="D26" s="150"/>
      <c r="E26" s="151"/>
      <c r="F26" s="152"/>
      <c r="G26" s="16"/>
      <c r="H26" s="150" t="n">
        <v>5.45</v>
      </c>
      <c r="I26" s="151" t="n">
        <v>0.63981871559633</v>
      </c>
      <c r="J26" s="152" t="n">
        <v>3487.012</v>
      </c>
      <c r="K26" s="16"/>
      <c r="L26" s="150" t="n">
        <v>1</v>
      </c>
      <c r="M26" s="151"/>
      <c r="N26" s="152" t="n">
        <v>704.1</v>
      </c>
      <c r="O26" s="153"/>
      <c r="P26" s="152"/>
      <c r="Q26" s="152" t="n">
        <v>528.075</v>
      </c>
      <c r="R26" s="16"/>
      <c r="S26" s="150"/>
      <c r="T26" s="151"/>
      <c r="U26" s="152" t="n">
        <v>4015.087</v>
      </c>
    </row>
    <row r="27" customFormat="false" ht="12.75" hidden="false" customHeight="false" outlineLevel="0" collapsed="false">
      <c r="A27" s="147"/>
      <c r="B27" s="148" t="s">
        <v>291</v>
      </c>
      <c r="C27" s="164"/>
      <c r="D27" s="150"/>
      <c r="E27" s="151"/>
      <c r="F27" s="152"/>
      <c r="G27" s="16"/>
      <c r="H27" s="150"/>
      <c r="I27" s="151"/>
      <c r="J27" s="152"/>
      <c r="K27" s="16"/>
      <c r="L27" s="150"/>
      <c r="M27" s="151"/>
      <c r="N27" s="152"/>
      <c r="O27" s="153"/>
      <c r="P27" s="152"/>
      <c r="Q27" s="152"/>
      <c r="R27" s="16"/>
      <c r="S27" s="150"/>
      <c r="T27" s="151"/>
      <c r="U27" s="152"/>
    </row>
    <row r="28" customFormat="false" ht="12.75" hidden="false" customHeight="false" outlineLevel="0" collapsed="false">
      <c r="A28" s="147"/>
      <c r="B28" s="155" t="s">
        <v>284</v>
      </c>
      <c r="C28" s="164"/>
      <c r="D28" s="150"/>
      <c r="E28" s="151"/>
      <c r="F28" s="152"/>
      <c r="G28" s="16"/>
      <c r="H28" s="150" t="n">
        <v>2</v>
      </c>
      <c r="I28" s="151" t="n">
        <v>0.0889</v>
      </c>
      <c r="J28" s="152" t="n">
        <v>177.8</v>
      </c>
      <c r="K28" s="16"/>
      <c r="L28" s="150"/>
      <c r="M28" s="151"/>
      <c r="N28" s="152"/>
      <c r="O28" s="153"/>
      <c r="P28" s="152"/>
      <c r="Q28" s="152"/>
      <c r="R28" s="16"/>
      <c r="S28" s="150"/>
      <c r="T28" s="151"/>
      <c r="U28" s="152" t="n">
        <v>177.8</v>
      </c>
    </row>
    <row r="29" customFormat="false" ht="12.75" hidden="false" customHeight="false" outlineLevel="0" collapsed="false">
      <c r="A29" s="147"/>
      <c r="B29" s="155" t="s">
        <v>287</v>
      </c>
      <c r="C29" s="164"/>
      <c r="D29" s="150"/>
      <c r="E29" s="151"/>
      <c r="F29" s="152"/>
      <c r="G29" s="16"/>
      <c r="H29" s="156"/>
      <c r="I29" s="157"/>
      <c r="J29" s="158"/>
      <c r="K29" s="16"/>
      <c r="L29" s="156" t="n">
        <v>0.5</v>
      </c>
      <c r="M29" s="157" t="n">
        <v>0.0889</v>
      </c>
      <c r="N29" s="158" t="n">
        <v>44.45</v>
      </c>
      <c r="O29" s="159" t="n">
        <v>0.5</v>
      </c>
      <c r="P29" s="158"/>
      <c r="Q29" s="158" t="n">
        <v>22.225</v>
      </c>
      <c r="R29" s="16"/>
      <c r="S29" s="156"/>
      <c r="T29" s="157"/>
      <c r="U29" s="158" t="n">
        <v>22.225</v>
      </c>
    </row>
    <row r="30" customFormat="false" ht="12.75" hidden="false" customHeight="false" outlineLevel="0" collapsed="false">
      <c r="A30" s="147"/>
      <c r="B30" s="163" t="s">
        <v>292</v>
      </c>
      <c r="C30" s="164"/>
      <c r="D30" s="150"/>
      <c r="E30" s="151"/>
      <c r="F30" s="152"/>
      <c r="G30" s="16"/>
      <c r="H30" s="150" t="n">
        <v>2</v>
      </c>
      <c r="I30" s="151" t="n">
        <v>0.0889</v>
      </c>
      <c r="J30" s="152" t="n">
        <v>177.8</v>
      </c>
      <c r="K30" s="16"/>
      <c r="L30" s="150" t="n">
        <v>0.5</v>
      </c>
      <c r="M30" s="151" t="n">
        <v>0.0889</v>
      </c>
      <c r="N30" s="152" t="n">
        <v>44.45</v>
      </c>
      <c r="O30" s="153"/>
      <c r="P30" s="152"/>
      <c r="Q30" s="152" t="n">
        <v>22.225</v>
      </c>
      <c r="R30" s="16"/>
      <c r="S30" s="150"/>
      <c r="T30" s="151"/>
      <c r="U30" s="152" t="n">
        <v>200.025</v>
      </c>
    </row>
    <row r="31" customFormat="false" ht="12.75" hidden="false" customHeight="false" outlineLevel="0" collapsed="false">
      <c r="A31" s="147"/>
      <c r="B31" s="163"/>
      <c r="C31" s="164"/>
      <c r="D31" s="150"/>
      <c r="E31" s="151"/>
      <c r="F31" s="152"/>
      <c r="G31" s="16"/>
      <c r="H31" s="150"/>
      <c r="I31" s="151"/>
      <c r="J31" s="152"/>
      <c r="K31" s="16"/>
      <c r="L31" s="150"/>
      <c r="M31" s="151"/>
      <c r="N31" s="152"/>
      <c r="O31" s="153"/>
      <c r="P31" s="152"/>
      <c r="Q31" s="152"/>
      <c r="R31" s="16"/>
      <c r="S31" s="150"/>
      <c r="T31" s="151"/>
      <c r="U31" s="152"/>
    </row>
    <row r="32" customFormat="false" ht="12.75" hidden="false" customHeight="false" outlineLevel="0" collapsed="false">
      <c r="A32" s="147"/>
      <c r="B32" s="165" t="s">
        <v>293</v>
      </c>
      <c r="C32" s="164"/>
      <c r="D32" s="150"/>
      <c r="E32" s="151"/>
      <c r="F32" s="152"/>
      <c r="G32" s="16"/>
      <c r="H32" s="150" t="n">
        <v>7.45</v>
      </c>
      <c r="I32" s="151" t="n">
        <v>0.491921073825503</v>
      </c>
      <c r="J32" s="152" t="n">
        <v>3664.812</v>
      </c>
      <c r="K32" s="16"/>
      <c r="L32" s="150" t="n">
        <v>1.5</v>
      </c>
      <c r="M32" s="151" t="n">
        <v>0.499033333333333</v>
      </c>
      <c r="N32" s="152" t="n">
        <v>748.55</v>
      </c>
      <c r="O32" s="153"/>
      <c r="P32" s="152"/>
      <c r="Q32" s="152" t="n">
        <v>550.3</v>
      </c>
      <c r="R32" s="16"/>
      <c r="S32" s="150" t="n">
        <v>0</v>
      </c>
      <c r="T32" s="151"/>
      <c r="U32" s="152" t="n">
        <v>4215.112</v>
      </c>
    </row>
    <row r="34" customFormat="false" ht="12.75" hidden="false" customHeight="false" outlineLevel="0" collapsed="false">
      <c r="A34" s="147" t="s">
        <v>294</v>
      </c>
      <c r="B34" s="147" t="s">
        <v>273</v>
      </c>
      <c r="C34" s="149"/>
      <c r="D34" s="150"/>
      <c r="E34" s="151"/>
      <c r="F34" s="152"/>
      <c r="G34" s="16"/>
      <c r="H34" s="150" t="n">
        <v>5</v>
      </c>
      <c r="I34" s="151" t="n">
        <v>0.05</v>
      </c>
      <c r="J34" s="152" t="n">
        <v>250</v>
      </c>
      <c r="K34" s="16"/>
      <c r="L34" s="150" t="n">
        <v>2.76</v>
      </c>
      <c r="M34" s="151" t="n">
        <v>0.05</v>
      </c>
      <c r="N34" s="152" t="n">
        <v>138</v>
      </c>
      <c r="O34" s="153" t="n">
        <v>0.3</v>
      </c>
      <c r="P34" s="152"/>
      <c r="Q34" s="152" t="n">
        <v>41.4</v>
      </c>
      <c r="R34" s="16"/>
      <c r="S34" s="150" t="n">
        <v>5.828</v>
      </c>
      <c r="T34" s="151" t="n">
        <v>0.05</v>
      </c>
      <c r="U34" s="152" t="n">
        <v>291.4</v>
      </c>
    </row>
    <row r="35" customFormat="false" ht="12.75" hidden="false" customHeight="false" outlineLevel="0" collapsed="false">
      <c r="A35" s="147"/>
      <c r="B35" s="147" t="s">
        <v>295</v>
      </c>
      <c r="C35" s="149"/>
      <c r="D35" s="150"/>
      <c r="E35" s="151"/>
      <c r="F35" s="152"/>
      <c r="G35" s="16"/>
      <c r="H35" s="150"/>
      <c r="I35" s="151"/>
      <c r="J35" s="152"/>
      <c r="K35" s="16"/>
      <c r="L35" s="150"/>
      <c r="M35" s="151"/>
      <c r="N35" s="152"/>
      <c r="O35" s="153"/>
      <c r="P35" s="152"/>
      <c r="Q35" s="152"/>
      <c r="R35" s="16"/>
      <c r="S35" s="150" t="n">
        <v>0</v>
      </c>
      <c r="T35" s="151"/>
      <c r="U35" s="152" t="n">
        <v>0</v>
      </c>
    </row>
    <row r="36" customFormat="false" ht="12.75" hidden="false" customHeight="false" outlineLevel="0" collapsed="false">
      <c r="A36" s="147"/>
      <c r="B36" s="166" t="s">
        <v>296</v>
      </c>
      <c r="C36" s="149"/>
      <c r="D36" s="150"/>
      <c r="E36" s="151"/>
      <c r="F36" s="152"/>
      <c r="G36" s="16"/>
      <c r="H36" s="150"/>
      <c r="I36" s="151"/>
      <c r="J36" s="167" t="n">
        <v>220.569</v>
      </c>
      <c r="K36" s="16"/>
      <c r="L36" s="150"/>
      <c r="M36" s="151"/>
      <c r="N36" s="152"/>
      <c r="O36" s="153"/>
      <c r="P36" s="152"/>
      <c r="Q36" s="152"/>
      <c r="R36" s="16"/>
      <c r="S36" s="150"/>
      <c r="T36" s="151"/>
      <c r="U36" s="152" t="n">
        <v>220.569</v>
      </c>
    </row>
    <row r="37" customFormat="false" ht="12.75" hidden="false" customHeight="false" outlineLevel="0" collapsed="false">
      <c r="A37" s="147"/>
      <c r="B37" s="147" t="s">
        <v>282</v>
      </c>
      <c r="C37" s="149"/>
      <c r="D37" s="150"/>
      <c r="E37" s="151"/>
      <c r="F37" s="152"/>
      <c r="G37" s="16"/>
      <c r="H37" s="150" t="n">
        <v>5</v>
      </c>
      <c r="I37" s="151" t="n">
        <v>0.05</v>
      </c>
      <c r="J37" s="152" t="n">
        <v>250</v>
      </c>
      <c r="K37" s="16"/>
      <c r="L37" s="150" t="n">
        <v>2.76</v>
      </c>
      <c r="M37" s="151" t="n">
        <v>0.05</v>
      </c>
      <c r="N37" s="152" t="n">
        <v>138</v>
      </c>
      <c r="O37" s="153" t="n">
        <v>0.3</v>
      </c>
      <c r="P37" s="152"/>
      <c r="Q37" s="152" t="n">
        <v>41.4</v>
      </c>
      <c r="R37" s="16"/>
      <c r="S37" s="150" t="n">
        <v>5.828</v>
      </c>
      <c r="T37" s="151" t="n">
        <v>0.05</v>
      </c>
      <c r="U37" s="152" t="n">
        <v>291.4</v>
      </c>
    </row>
    <row r="38" customFormat="false" ht="12.75" hidden="false" customHeight="false" outlineLevel="0" collapsed="false">
      <c r="A38" s="147"/>
      <c r="B38" s="147" t="s">
        <v>295</v>
      </c>
      <c r="C38" s="149"/>
      <c r="D38" s="150"/>
      <c r="E38" s="151"/>
      <c r="F38" s="152"/>
      <c r="G38" s="16"/>
      <c r="H38" s="168" t="n">
        <v>0.5</v>
      </c>
      <c r="I38" s="169" t="n">
        <v>0.0128</v>
      </c>
      <c r="J38" s="167" t="n">
        <v>6.4</v>
      </c>
      <c r="K38" s="16"/>
      <c r="L38" s="150"/>
      <c r="M38" s="151"/>
      <c r="N38" s="152"/>
      <c r="O38" s="153"/>
      <c r="P38" s="152"/>
      <c r="Q38" s="152"/>
      <c r="R38" s="16"/>
      <c r="S38" s="150" t="n">
        <v>0.5</v>
      </c>
      <c r="T38" s="151" t="n">
        <v>0.0128</v>
      </c>
      <c r="U38" s="152" t="n">
        <v>6.4</v>
      </c>
    </row>
    <row r="39" customFormat="false" ht="12.75" hidden="false" customHeight="false" outlineLevel="0" collapsed="false">
      <c r="A39" s="147"/>
      <c r="B39" s="166" t="s">
        <v>296</v>
      </c>
      <c r="C39" s="149"/>
      <c r="D39" s="150"/>
      <c r="E39" s="151"/>
      <c r="F39" s="152"/>
      <c r="G39" s="16"/>
      <c r="H39" s="156"/>
      <c r="I39" s="157"/>
      <c r="J39" s="170" t="n">
        <v>220.569</v>
      </c>
      <c r="K39" s="16"/>
      <c r="L39" s="156"/>
      <c r="M39" s="157"/>
      <c r="N39" s="158"/>
      <c r="O39" s="159"/>
      <c r="P39" s="158"/>
      <c r="Q39" s="158"/>
      <c r="R39" s="16"/>
      <c r="S39" s="156"/>
      <c r="T39" s="157"/>
      <c r="U39" s="158" t="n">
        <v>220.569</v>
      </c>
    </row>
    <row r="40" customFormat="false" ht="12.75" hidden="false" customHeight="false" outlineLevel="0" collapsed="false">
      <c r="A40" s="147"/>
      <c r="B40" s="147" t="s">
        <v>297</v>
      </c>
      <c r="C40" s="149"/>
      <c r="D40" s="150"/>
      <c r="E40" s="151"/>
      <c r="F40" s="152"/>
      <c r="G40" s="16"/>
      <c r="H40" s="150"/>
      <c r="I40" s="151"/>
      <c r="J40" s="152" t="n">
        <v>947.538</v>
      </c>
      <c r="K40" s="16"/>
      <c r="L40" s="150"/>
      <c r="M40" s="151"/>
      <c r="N40" s="152" t="n">
        <v>276</v>
      </c>
      <c r="O40" s="153"/>
      <c r="P40" s="152"/>
      <c r="Q40" s="152" t="n">
        <v>82.8</v>
      </c>
      <c r="R40" s="16"/>
      <c r="S40" s="150"/>
      <c r="T40" s="151"/>
      <c r="U40" s="152" t="n">
        <v>1030.338</v>
      </c>
    </row>
    <row r="41" customFormat="false" ht="12.75" hidden="false" customHeight="false" outlineLevel="0" collapsed="false">
      <c r="A41" s="16"/>
      <c r="B41" s="16"/>
      <c r="C41" s="160"/>
      <c r="D41" s="24"/>
      <c r="E41" s="171"/>
      <c r="F41" s="84"/>
      <c r="G41" s="16"/>
      <c r="H41" s="24"/>
      <c r="I41" s="171"/>
      <c r="J41" s="84"/>
      <c r="K41" s="16"/>
      <c r="L41" s="24"/>
      <c r="M41" s="171"/>
      <c r="N41" s="84"/>
      <c r="O41" s="172"/>
      <c r="P41" s="84"/>
      <c r="Q41" s="84"/>
      <c r="R41" s="16"/>
      <c r="S41" s="24"/>
      <c r="T41" s="171"/>
      <c r="U41" s="84"/>
    </row>
    <row r="42" customFormat="false" ht="12.75" hidden="false" customHeight="false" outlineLevel="0" collapsed="false">
      <c r="A42" s="147" t="s">
        <v>14</v>
      </c>
      <c r="B42" s="147"/>
      <c r="C42" s="149"/>
      <c r="D42" s="150"/>
      <c r="E42" s="151"/>
      <c r="F42" s="152"/>
      <c r="G42" s="16"/>
      <c r="H42" s="150"/>
      <c r="I42" s="151"/>
      <c r="J42" s="152"/>
      <c r="K42" s="16"/>
      <c r="L42" s="150"/>
      <c r="M42" s="151"/>
      <c r="N42" s="152"/>
      <c r="O42" s="153"/>
      <c r="P42" s="152"/>
      <c r="Q42" s="152"/>
      <c r="R42" s="16"/>
      <c r="S42" s="150"/>
      <c r="T42" s="151"/>
      <c r="U42" s="152"/>
    </row>
    <row r="43" customFormat="false" ht="12.75" hidden="false" customHeight="false" outlineLevel="0" collapsed="false">
      <c r="A43" s="147"/>
      <c r="B43" s="147" t="s">
        <v>298</v>
      </c>
      <c r="C43" s="149"/>
      <c r="D43" s="150"/>
      <c r="E43" s="151"/>
      <c r="F43" s="152"/>
      <c r="G43" s="16"/>
      <c r="H43" s="150"/>
      <c r="I43" s="151"/>
      <c r="J43" s="152"/>
      <c r="K43" s="16"/>
      <c r="L43" s="150"/>
      <c r="M43" s="151"/>
      <c r="N43" s="152"/>
      <c r="O43" s="153"/>
      <c r="P43" s="152"/>
      <c r="Q43" s="152"/>
      <c r="R43" s="16"/>
      <c r="S43" s="150"/>
      <c r="T43" s="151"/>
      <c r="U43" s="152"/>
    </row>
    <row r="44" customFormat="false" ht="12.75" hidden="false" customHeight="false" outlineLevel="0" collapsed="false">
      <c r="A44" s="147"/>
      <c r="B44" s="173" t="s">
        <v>299</v>
      </c>
      <c r="C44" s="149"/>
      <c r="D44" s="150"/>
      <c r="E44" s="151"/>
      <c r="F44" s="152"/>
      <c r="G44" s="16"/>
      <c r="H44" s="150" t="n">
        <v>1</v>
      </c>
      <c r="I44" s="151" t="n">
        <v>0.11</v>
      </c>
      <c r="J44" s="152" t="n">
        <v>110</v>
      </c>
      <c r="K44" s="16"/>
      <c r="L44" s="150" t="n">
        <v>1</v>
      </c>
      <c r="M44" s="151" t="n">
        <v>0.11</v>
      </c>
      <c r="N44" s="152" t="n">
        <v>110</v>
      </c>
      <c r="O44" s="153" t="n">
        <v>0.5</v>
      </c>
      <c r="P44" s="152"/>
      <c r="Q44" s="152" t="n">
        <v>55</v>
      </c>
      <c r="R44" s="16"/>
      <c r="S44" s="150" t="n">
        <v>1.5</v>
      </c>
      <c r="T44" s="151" t="n">
        <v>0.11</v>
      </c>
      <c r="U44" s="152" t="n">
        <v>165</v>
      </c>
    </row>
    <row r="45" customFormat="false" ht="12.75" hidden="false" customHeight="false" outlineLevel="0" collapsed="false">
      <c r="A45" s="147"/>
      <c r="B45" s="173" t="s">
        <v>300</v>
      </c>
      <c r="C45" s="149"/>
      <c r="D45" s="150"/>
      <c r="E45" s="151"/>
      <c r="F45" s="152"/>
      <c r="G45" s="16"/>
      <c r="H45" s="150" t="n">
        <v>0.25</v>
      </c>
      <c r="I45" s="151" t="n">
        <v>0.1</v>
      </c>
      <c r="J45" s="152" t="n">
        <v>25</v>
      </c>
      <c r="K45" s="16"/>
      <c r="L45" s="150"/>
      <c r="M45" s="151"/>
      <c r="N45" s="152"/>
      <c r="O45" s="153"/>
      <c r="P45" s="152"/>
      <c r="Q45" s="152"/>
      <c r="R45" s="16"/>
      <c r="S45" s="150" t="n">
        <v>0.25</v>
      </c>
      <c r="T45" s="151" t="n">
        <v>0.1</v>
      </c>
      <c r="U45" s="152" t="n">
        <v>25</v>
      </c>
    </row>
    <row r="46" customFormat="false" ht="12.75" hidden="false" customHeight="false" outlineLevel="0" collapsed="false">
      <c r="A46" s="147"/>
      <c r="B46" s="173" t="s">
        <v>301</v>
      </c>
      <c r="C46" s="149"/>
      <c r="D46" s="150"/>
      <c r="E46" s="151"/>
      <c r="F46" s="152"/>
      <c r="G46" s="16"/>
      <c r="H46" s="156" t="n">
        <v>1.1</v>
      </c>
      <c r="I46" s="157" t="n">
        <v>0.11</v>
      </c>
      <c r="J46" s="158" t="n">
        <v>121</v>
      </c>
      <c r="K46" s="16"/>
      <c r="L46" s="156"/>
      <c r="M46" s="157"/>
      <c r="N46" s="158"/>
      <c r="O46" s="159"/>
      <c r="P46" s="158"/>
      <c r="Q46" s="158"/>
      <c r="R46" s="16"/>
      <c r="S46" s="156" t="n">
        <v>1.1</v>
      </c>
      <c r="T46" s="157" t="n">
        <v>0.11</v>
      </c>
      <c r="U46" s="158" t="n">
        <v>121</v>
      </c>
    </row>
    <row r="47" customFormat="false" ht="12.75" hidden="false" customHeight="false" outlineLevel="0" collapsed="false">
      <c r="A47" s="147"/>
      <c r="B47" s="147" t="s">
        <v>302</v>
      </c>
      <c r="C47" s="149"/>
      <c r="D47" s="150"/>
      <c r="E47" s="151"/>
      <c r="F47" s="152"/>
      <c r="G47" s="16"/>
      <c r="H47" s="150" t="n">
        <v>2.35</v>
      </c>
      <c r="I47" s="151" t="n">
        <v>0.108936170212766</v>
      </c>
      <c r="J47" s="152" t="n">
        <v>256</v>
      </c>
      <c r="K47" s="16"/>
      <c r="L47" s="150" t="n">
        <v>1</v>
      </c>
      <c r="M47" s="151" t="n">
        <v>0.11</v>
      </c>
      <c r="N47" s="152" t="n">
        <v>110</v>
      </c>
      <c r="O47" s="153"/>
      <c r="P47" s="152"/>
      <c r="Q47" s="152" t="n">
        <v>55</v>
      </c>
      <c r="R47" s="16"/>
      <c r="S47" s="150" t="n">
        <v>2.85</v>
      </c>
      <c r="T47" s="151" t="n">
        <v>0.109122807017544</v>
      </c>
      <c r="U47" s="152" t="n">
        <v>311</v>
      </c>
    </row>
    <row r="48" customFormat="false" ht="12.75" hidden="false" customHeight="false" outlineLevel="0" collapsed="false">
      <c r="A48" s="147"/>
      <c r="B48" s="147"/>
      <c r="C48" s="149"/>
      <c r="D48" s="150"/>
      <c r="E48" s="151"/>
      <c r="F48" s="152"/>
      <c r="G48" s="16"/>
      <c r="H48" s="150"/>
      <c r="I48" s="151"/>
      <c r="J48" s="152"/>
      <c r="K48" s="16"/>
      <c r="L48" s="150"/>
      <c r="M48" s="151"/>
      <c r="N48" s="152"/>
      <c r="O48" s="153"/>
      <c r="P48" s="152"/>
      <c r="Q48" s="152"/>
      <c r="R48" s="16"/>
      <c r="S48" s="150"/>
      <c r="T48" s="151"/>
      <c r="U48" s="152"/>
    </row>
    <row r="49" customFormat="false" ht="12.75" hidden="false" customHeight="false" outlineLevel="0" collapsed="false">
      <c r="A49" s="147"/>
      <c r="B49" s="147" t="s">
        <v>303</v>
      </c>
      <c r="C49" s="149"/>
      <c r="D49" s="150"/>
      <c r="E49" s="151"/>
      <c r="F49" s="152"/>
      <c r="G49" s="16"/>
      <c r="H49" s="150" t="n">
        <v>2.35</v>
      </c>
      <c r="I49" s="151" t="n">
        <v>0.108936170212766</v>
      </c>
      <c r="J49" s="152" t="n">
        <v>256</v>
      </c>
      <c r="K49" s="16"/>
      <c r="L49" s="150" t="n">
        <v>1</v>
      </c>
      <c r="M49" s="151" t="n">
        <v>0.11</v>
      </c>
      <c r="N49" s="152" t="n">
        <v>110</v>
      </c>
      <c r="O49" s="153"/>
      <c r="P49" s="152"/>
      <c r="Q49" s="152" t="n">
        <v>55</v>
      </c>
      <c r="R49" s="16"/>
      <c r="S49" s="150" t="n">
        <v>2.85</v>
      </c>
      <c r="T49" s="151" t="n">
        <v>0.109122807017544</v>
      </c>
      <c r="U49" s="152" t="n">
        <v>311</v>
      </c>
    </row>
    <row r="50" customFormat="false" ht="12.75" hidden="false" customHeight="false" outlineLevel="0" collapsed="false">
      <c r="A50" s="16"/>
      <c r="B50" s="16"/>
      <c r="C50" s="160"/>
      <c r="D50" s="24"/>
      <c r="E50" s="171"/>
      <c r="F50" s="84"/>
      <c r="G50" s="16"/>
      <c r="H50" s="24"/>
      <c r="I50" s="171"/>
      <c r="J50" s="84"/>
      <c r="K50" s="16"/>
      <c r="L50" s="24"/>
      <c r="M50" s="171"/>
      <c r="N50" s="84"/>
      <c r="O50" s="172"/>
      <c r="P50" s="84"/>
      <c r="Q50" s="84"/>
      <c r="R50" s="16"/>
      <c r="S50" s="24"/>
      <c r="T50" s="171"/>
      <c r="U50" s="84"/>
    </row>
    <row r="51" customFormat="false" ht="12.75" hidden="false" customHeight="false" outlineLevel="0" collapsed="false">
      <c r="A51" s="147" t="s">
        <v>304</v>
      </c>
      <c r="B51" s="147"/>
      <c r="C51" s="149"/>
      <c r="D51" s="150"/>
      <c r="E51" s="147"/>
      <c r="F51" s="152"/>
      <c r="G51" s="16"/>
      <c r="H51" s="150" t="s">
        <v>305</v>
      </c>
      <c r="I51" s="147"/>
      <c r="J51" s="152" t="n">
        <v>990</v>
      </c>
      <c r="K51" s="16"/>
      <c r="L51" s="150"/>
      <c r="M51" s="151"/>
      <c r="N51" s="152"/>
      <c r="O51" s="153"/>
      <c r="P51" s="152"/>
      <c r="Q51" s="152"/>
      <c r="R51" s="16"/>
      <c r="S51" s="150" t="s">
        <v>305</v>
      </c>
      <c r="T51" s="147"/>
      <c r="U51" s="152" t="n">
        <v>990</v>
      </c>
    </row>
    <row r="52" customFormat="false" ht="12.75" hidden="false" customHeight="false" outlineLevel="0" collapsed="false">
      <c r="A52" s="149"/>
      <c r="B52" s="149"/>
      <c r="C52" s="149"/>
      <c r="D52" s="24"/>
      <c r="E52" s="149"/>
      <c r="F52" s="84"/>
      <c r="G52" s="160"/>
      <c r="H52" s="24"/>
      <c r="I52" s="149"/>
      <c r="J52" s="84"/>
      <c r="K52" s="160"/>
      <c r="L52" s="24"/>
      <c r="M52" s="171"/>
      <c r="N52" s="84"/>
      <c r="O52" s="172"/>
      <c r="P52" s="84"/>
      <c r="Q52" s="84"/>
      <c r="R52" s="160"/>
      <c r="S52" s="24"/>
      <c r="T52" s="149"/>
      <c r="U52" s="84"/>
    </row>
    <row r="53" customFormat="false" ht="12.75" hidden="false" customHeight="false" outlineLevel="0" collapsed="false">
      <c r="A53" s="147" t="s">
        <v>306</v>
      </c>
      <c r="B53" s="147"/>
      <c r="C53" s="149"/>
      <c r="D53" s="150"/>
      <c r="E53" s="147"/>
      <c r="F53" s="152"/>
      <c r="G53" s="16"/>
      <c r="H53" s="150"/>
      <c r="I53" s="147"/>
      <c r="J53" s="152" t="n">
        <v>-300</v>
      </c>
      <c r="K53" s="16"/>
      <c r="L53" s="150"/>
      <c r="M53" s="151"/>
      <c r="N53" s="152"/>
      <c r="O53" s="153"/>
      <c r="P53" s="152"/>
      <c r="Q53" s="152"/>
      <c r="R53" s="16"/>
      <c r="S53" s="150"/>
      <c r="T53" s="147"/>
      <c r="U53" s="152" t="n">
        <v>-300</v>
      </c>
    </row>
    <row r="54" customFormat="false" ht="12.75" hidden="false" customHeight="false" outlineLevel="0" collapsed="false">
      <c r="A54" s="16"/>
      <c r="B54" s="16"/>
      <c r="C54" s="160"/>
      <c r="D54" s="24"/>
      <c r="E54" s="174"/>
      <c r="F54" s="84"/>
      <c r="G54" s="16"/>
      <c r="H54" s="24"/>
      <c r="I54" s="174"/>
      <c r="J54" s="84"/>
      <c r="K54" s="16"/>
      <c r="L54" s="24"/>
      <c r="M54" s="174"/>
      <c r="N54" s="84"/>
      <c r="O54" s="172"/>
      <c r="P54" s="84"/>
      <c r="Q54" s="84"/>
      <c r="R54" s="16"/>
      <c r="S54" s="24"/>
      <c r="T54" s="174"/>
      <c r="U54" s="84"/>
    </row>
    <row r="55" customFormat="false" ht="12.75" hidden="false" customHeight="false" outlineLevel="0" collapsed="false">
      <c r="A55" s="16" t="s">
        <v>307</v>
      </c>
      <c r="B55" s="16"/>
      <c r="C55" s="160"/>
      <c r="D55" s="16"/>
      <c r="E55" s="174"/>
      <c r="F55" s="175" t="n">
        <v>0</v>
      </c>
      <c r="G55" s="16"/>
      <c r="H55" s="16"/>
      <c r="I55" s="174"/>
      <c r="J55" s="175" t="n">
        <v>6603.668</v>
      </c>
      <c r="K55" s="16"/>
      <c r="L55" s="16"/>
      <c r="M55" s="174"/>
      <c r="N55" s="175" t="n">
        <v>1814.55</v>
      </c>
      <c r="O55" s="172"/>
      <c r="P55" s="84"/>
      <c r="Q55" s="175" t="n">
        <v>1028.1</v>
      </c>
      <c r="R55" s="16"/>
      <c r="S55" s="16"/>
      <c r="T55" s="174"/>
      <c r="U55" s="175" t="n">
        <v>7631.768</v>
      </c>
    </row>
    <row r="56" customFormat="false" ht="12.75" hidden="false" customHeight="false" outlineLevel="0" collapsed="false">
      <c r="A56" s="16"/>
      <c r="B56" s="16"/>
      <c r="C56" s="160"/>
      <c r="D56" s="16"/>
      <c r="E56" s="174"/>
      <c r="F56" s="84"/>
      <c r="G56" s="16"/>
      <c r="H56" s="16"/>
      <c r="I56" s="174"/>
      <c r="J56" s="84"/>
      <c r="K56" s="16"/>
      <c r="L56" s="16"/>
      <c r="M56" s="174"/>
      <c r="N56" s="84"/>
      <c r="O56" s="172"/>
      <c r="P56" s="84"/>
      <c r="Q56" s="84"/>
      <c r="R56" s="16"/>
      <c r="S56" s="16"/>
      <c r="T56" s="174"/>
      <c r="U56" s="84"/>
    </row>
    <row r="57" customFormat="false" ht="12.75" hidden="false" customHeight="false" outlineLevel="0" collapsed="false">
      <c r="A57" s="16"/>
      <c r="B57" s="16"/>
      <c r="C57" s="160"/>
      <c r="D57" s="16"/>
      <c r="E57" s="174"/>
      <c r="F57" s="84"/>
      <c r="G57" s="16"/>
      <c r="H57" s="16"/>
      <c r="I57" s="174"/>
      <c r="J57" s="84"/>
      <c r="K57" s="16"/>
      <c r="L57" s="16"/>
      <c r="M57" s="174"/>
      <c r="N57" s="84"/>
      <c r="O57" s="172"/>
      <c r="P57" s="84"/>
      <c r="Q57" s="84"/>
      <c r="R57" s="16"/>
      <c r="S57" s="16"/>
      <c r="T57" s="174"/>
      <c r="U57" s="84"/>
    </row>
    <row r="58" customFormat="false" ht="12.75" hidden="false" customHeight="false" outlineLevel="0" collapsed="false">
      <c r="A58" s="16"/>
      <c r="B58" s="16"/>
      <c r="C58" s="160"/>
      <c r="D58" s="16"/>
      <c r="E58" s="174"/>
      <c r="F58" s="84"/>
      <c r="G58" s="16"/>
      <c r="H58" s="16"/>
      <c r="I58" s="174"/>
      <c r="J58" s="84"/>
      <c r="K58" s="16"/>
      <c r="L58" s="16"/>
      <c r="M58" s="174"/>
      <c r="N58" s="84"/>
      <c r="O58" s="172"/>
      <c r="P58" s="84"/>
      <c r="Q58" s="84"/>
      <c r="R58" s="16"/>
      <c r="S58" s="16"/>
      <c r="T58" s="174"/>
      <c r="U58" s="84"/>
    </row>
    <row r="59" customFormat="false" ht="12.75" hidden="false" customHeight="false" outlineLevel="0" collapsed="false">
      <c r="A59" s="16"/>
      <c r="B59" s="16"/>
      <c r="C59" s="160"/>
      <c r="D59" s="16"/>
      <c r="E59" s="174"/>
      <c r="F59" s="84"/>
      <c r="G59" s="16"/>
      <c r="H59" s="16"/>
      <c r="I59" s="174"/>
      <c r="J59" s="84"/>
      <c r="K59" s="16"/>
      <c r="L59" s="16"/>
      <c r="M59" s="174"/>
      <c r="N59" s="84"/>
      <c r="O59" s="172"/>
      <c r="P59" s="84"/>
      <c r="Q59" s="84"/>
      <c r="R59" s="16"/>
      <c r="S59" s="16"/>
      <c r="T59" s="174"/>
      <c r="U59" s="84"/>
    </row>
    <row r="60" customFormat="false" ht="12.75" hidden="false" customHeight="false" outlineLevel="0" collapsed="false">
      <c r="A60" s="16"/>
      <c r="B60" s="16"/>
      <c r="C60" s="160"/>
      <c r="D60" s="16"/>
      <c r="E60" s="174"/>
      <c r="F60" s="84"/>
      <c r="G60" s="16"/>
      <c r="H60" s="16"/>
      <c r="I60" s="174"/>
      <c r="J60" s="84"/>
      <c r="K60" s="16"/>
      <c r="L60" s="16"/>
      <c r="M60" s="174"/>
      <c r="N60" s="84"/>
      <c r="O60" s="172"/>
      <c r="P60" s="84"/>
      <c r="Q60" s="84"/>
      <c r="R60" s="16"/>
      <c r="S60" s="16"/>
      <c r="T60" s="174"/>
      <c r="U60" s="84"/>
    </row>
    <row r="61" customFormat="false" ht="12.75" hidden="false" customHeight="false" outlineLevel="0" collapsed="false">
      <c r="A61" s="16"/>
      <c r="B61" s="16"/>
      <c r="C61" s="160"/>
      <c r="D61" s="24"/>
      <c r="E61" s="174"/>
      <c r="F61" s="84"/>
      <c r="G61" s="16"/>
      <c r="H61" s="24"/>
      <c r="I61" s="174"/>
      <c r="J61" s="84"/>
      <c r="K61" s="16"/>
      <c r="L61" s="24"/>
      <c r="M61" s="174"/>
      <c r="N61" s="84"/>
      <c r="O61" s="172"/>
      <c r="P61" s="84"/>
      <c r="Q61" s="84"/>
      <c r="R61" s="16"/>
      <c r="S61" s="24"/>
      <c r="T61" s="174"/>
      <c r="U61" s="84"/>
    </row>
    <row r="62" customFormat="false" ht="15" hidden="false" customHeight="false" outlineLevel="0" collapsed="false">
      <c r="A62" s="137" t="s">
        <v>259</v>
      </c>
    </row>
    <row r="63" customFormat="false" ht="15" hidden="false" customHeight="false" outlineLevel="0" collapsed="false">
      <c r="A63" s="137" t="s">
        <v>308</v>
      </c>
    </row>
    <row r="64" customFormat="false" ht="15" hidden="false" customHeight="false" outlineLevel="0" collapsed="false">
      <c r="A64" s="137" t="s">
        <v>261</v>
      </c>
      <c r="D64" s="138" t="n">
        <f aca="false">D3</f>
        <v>36749</v>
      </c>
      <c r="H64" s="0"/>
      <c r="L64" s="0"/>
      <c r="S64" s="138"/>
    </row>
    <row r="65" customFormat="false" ht="15" hidden="false" customHeight="false" outlineLevel="0" collapsed="false">
      <c r="A65" s="137"/>
      <c r="D65" s="176"/>
      <c r="H65" s="176"/>
      <c r="L65" s="176"/>
      <c r="S65" s="176"/>
    </row>
    <row r="66" customFormat="false" ht="15" hidden="false" customHeight="false" outlineLevel="0" collapsed="false">
      <c r="A66" s="137"/>
      <c r="D66" s="139" t="s">
        <v>262</v>
      </c>
      <c r="E66" s="139"/>
      <c r="F66" s="139"/>
      <c r="H66" s="139" t="s">
        <v>263</v>
      </c>
      <c r="I66" s="139"/>
      <c r="J66" s="139"/>
      <c r="L66" s="139" t="s">
        <v>264</v>
      </c>
      <c r="M66" s="139"/>
      <c r="N66" s="139"/>
      <c r="O66" s="139"/>
      <c r="P66" s="139"/>
      <c r="Q66" s="139"/>
      <c r="S66" s="139" t="s">
        <v>265</v>
      </c>
      <c r="T66" s="139"/>
      <c r="U66" s="139"/>
    </row>
    <row r="68" customFormat="false" ht="25.5" hidden="false" customHeight="false" outlineLevel="0" collapsed="false">
      <c r="A68" s="140" t="s">
        <v>266</v>
      </c>
      <c r="B68" s="140" t="s">
        <v>50</v>
      </c>
      <c r="C68" s="141"/>
      <c r="D68" s="142" t="s">
        <v>267</v>
      </c>
      <c r="E68" s="143" t="s">
        <v>268</v>
      </c>
      <c r="F68" s="144" t="s">
        <v>269</v>
      </c>
      <c r="G68" s="140"/>
      <c r="H68" s="142" t="s">
        <v>267</v>
      </c>
      <c r="I68" s="143" t="s">
        <v>268</v>
      </c>
      <c r="J68" s="144" t="s">
        <v>269</v>
      </c>
      <c r="K68" s="140"/>
      <c r="L68" s="142" t="s">
        <v>267</v>
      </c>
      <c r="M68" s="143" t="s">
        <v>268</v>
      </c>
      <c r="N68" s="144" t="s">
        <v>269</v>
      </c>
      <c r="O68" s="145" t="s">
        <v>270</v>
      </c>
      <c r="P68" s="144"/>
      <c r="Q68" s="144" t="s">
        <v>271</v>
      </c>
      <c r="R68" s="140"/>
      <c r="S68" s="142" t="s">
        <v>267</v>
      </c>
      <c r="T68" s="143" t="s">
        <v>268</v>
      </c>
      <c r="U68" s="144" t="s">
        <v>269</v>
      </c>
    </row>
    <row r="69" customFormat="false" ht="13.5" hidden="false" customHeight="false" outlineLevel="0" collapsed="false">
      <c r="A69" s="16"/>
      <c r="B69" s="16"/>
      <c r="C69" s="160"/>
      <c r="D69" s="24"/>
      <c r="E69" s="174"/>
      <c r="F69" s="84"/>
      <c r="G69" s="16"/>
      <c r="H69" s="24"/>
      <c r="I69" s="174"/>
      <c r="J69" s="84"/>
      <c r="K69" s="16"/>
      <c r="L69" s="24"/>
      <c r="M69" s="174"/>
      <c r="N69" s="84"/>
      <c r="O69" s="172"/>
      <c r="P69" s="84"/>
      <c r="Q69" s="84"/>
      <c r="R69" s="16"/>
      <c r="S69" s="24"/>
      <c r="T69" s="174"/>
      <c r="U69" s="84"/>
    </row>
    <row r="70" customFormat="false" ht="13.5" hidden="false" customHeight="false" outlineLevel="0" collapsed="false">
      <c r="A70" s="177" t="s">
        <v>309</v>
      </c>
      <c r="B70" s="16"/>
      <c r="C70" s="160"/>
      <c r="D70" s="0"/>
      <c r="E70" s="174"/>
      <c r="F70" s="84"/>
      <c r="G70" s="16"/>
      <c r="H70" s="24"/>
      <c r="I70" s="174"/>
      <c r="J70" s="84"/>
      <c r="K70" s="16"/>
      <c r="L70" s="24"/>
      <c r="M70" s="174"/>
      <c r="N70" s="84"/>
      <c r="O70" s="172"/>
      <c r="P70" s="84"/>
      <c r="Q70" s="84"/>
      <c r="R70" s="16"/>
      <c r="S70" s="24"/>
      <c r="T70" s="174"/>
      <c r="U70" s="84"/>
    </row>
    <row r="71" customFormat="false" ht="12.75" hidden="false" customHeight="false" outlineLevel="0" collapsed="false">
      <c r="A71" s="16"/>
      <c r="B71" s="16"/>
      <c r="C71" s="160"/>
      <c r="D71" s="24"/>
      <c r="E71" s="174"/>
      <c r="F71" s="84"/>
      <c r="G71" s="16"/>
      <c r="H71" s="24"/>
      <c r="I71" s="174"/>
      <c r="J71" s="84"/>
      <c r="K71" s="16"/>
      <c r="L71" s="24"/>
      <c r="M71" s="174"/>
      <c r="N71" s="84"/>
      <c r="O71" s="172"/>
      <c r="P71" s="84"/>
      <c r="Q71" s="84"/>
      <c r="R71" s="16"/>
      <c r="S71" s="24"/>
      <c r="T71" s="174"/>
      <c r="U71" s="84"/>
    </row>
    <row r="72" customFormat="false" ht="12.75" hidden="false" customHeight="false" outlineLevel="0" collapsed="false">
      <c r="A72" s="147" t="s">
        <v>310</v>
      </c>
      <c r="B72" s="147"/>
      <c r="C72" s="149"/>
      <c r="D72" s="150" t="n">
        <v>8.813287</v>
      </c>
      <c r="E72" s="178" t="n">
        <v>1.471</v>
      </c>
      <c r="F72" s="152" t="n">
        <v>12964.345177</v>
      </c>
      <c r="G72" s="16"/>
      <c r="H72" s="150" t="n">
        <v>0.607068</v>
      </c>
      <c r="I72" s="178" t="n">
        <v>1.471</v>
      </c>
      <c r="J72" s="152" t="n">
        <v>892.997028</v>
      </c>
      <c r="K72" s="16"/>
      <c r="L72" s="150"/>
      <c r="M72" s="178"/>
      <c r="N72" s="152"/>
      <c r="O72" s="153"/>
      <c r="P72" s="152"/>
      <c r="Q72" s="152"/>
      <c r="R72" s="16"/>
      <c r="S72" s="150" t="n">
        <v>9.420355</v>
      </c>
      <c r="T72" s="178" t="n">
        <v>1.471</v>
      </c>
      <c r="U72" s="152" t="n">
        <v>13857.342205</v>
      </c>
    </row>
    <row r="73" customFormat="false" ht="12.75" hidden="false" customHeight="false" outlineLevel="0" collapsed="false">
      <c r="A73" s="147"/>
      <c r="B73" s="147"/>
      <c r="C73" s="149"/>
      <c r="D73" s="150"/>
      <c r="E73" s="178"/>
      <c r="F73" s="152"/>
      <c r="G73" s="16"/>
      <c r="H73" s="150"/>
      <c r="I73" s="178"/>
      <c r="J73" s="152"/>
      <c r="K73" s="16"/>
      <c r="L73" s="150"/>
      <c r="M73" s="178"/>
      <c r="N73" s="152"/>
      <c r="O73" s="153"/>
      <c r="P73" s="152"/>
      <c r="Q73" s="152"/>
      <c r="R73" s="16"/>
      <c r="S73" s="150"/>
      <c r="T73" s="178"/>
      <c r="U73" s="152"/>
    </row>
    <row r="74" customFormat="false" ht="12.75" hidden="false" customHeight="false" outlineLevel="0" collapsed="false">
      <c r="A74" s="147" t="s">
        <v>51</v>
      </c>
      <c r="B74" s="147"/>
      <c r="C74" s="149"/>
      <c r="D74" s="150" t="n">
        <v>40.3287</v>
      </c>
      <c r="E74" s="178" t="n">
        <v>0.3062</v>
      </c>
      <c r="F74" s="152" t="n">
        <v>12348.64794</v>
      </c>
      <c r="G74" s="16"/>
      <c r="H74" s="150" t="n">
        <v>5</v>
      </c>
      <c r="I74" s="178" t="n">
        <v>0.3062</v>
      </c>
      <c r="J74" s="152" t="n">
        <v>1531</v>
      </c>
      <c r="K74" s="16"/>
      <c r="L74" s="150"/>
      <c r="M74" s="178"/>
      <c r="N74" s="152"/>
      <c r="O74" s="153"/>
      <c r="P74" s="152"/>
      <c r="Q74" s="152"/>
      <c r="R74" s="16"/>
      <c r="S74" s="150" t="n">
        <v>45.3287</v>
      </c>
      <c r="T74" s="178" t="n">
        <v>0.3062</v>
      </c>
      <c r="U74" s="152" t="n">
        <v>13879.64794</v>
      </c>
    </row>
    <row r="75" customFormat="false" ht="12.75" hidden="false" customHeight="false" outlineLevel="0" collapsed="false">
      <c r="A75" s="147"/>
      <c r="B75" s="147"/>
      <c r="C75" s="149"/>
      <c r="D75" s="150"/>
      <c r="E75" s="178"/>
      <c r="F75" s="152"/>
      <c r="G75" s="16"/>
      <c r="H75" s="150"/>
      <c r="I75" s="178"/>
      <c r="J75" s="152"/>
      <c r="K75" s="16"/>
      <c r="L75" s="150"/>
      <c r="M75" s="178"/>
      <c r="N75" s="152"/>
      <c r="O75" s="153"/>
      <c r="P75" s="152"/>
      <c r="Q75" s="152"/>
      <c r="R75" s="16"/>
      <c r="S75" s="150"/>
      <c r="T75" s="178"/>
      <c r="U75" s="152"/>
    </row>
    <row r="76" customFormat="false" ht="12.75" hidden="false" customHeight="false" outlineLevel="0" collapsed="false">
      <c r="A76" s="147" t="s">
        <v>311</v>
      </c>
      <c r="B76" s="147"/>
      <c r="C76" s="149"/>
      <c r="D76" s="150" t="n">
        <v>83.7</v>
      </c>
      <c r="E76" s="178" t="n">
        <v>0.0128</v>
      </c>
      <c r="F76" s="152" t="n">
        <v>1071.36</v>
      </c>
      <c r="G76" s="16"/>
      <c r="H76" s="150" t="n">
        <v>5.76250919793966</v>
      </c>
      <c r="I76" s="178" t="n">
        <v>0.0128</v>
      </c>
      <c r="J76" s="152" t="n">
        <v>73.7601177336277</v>
      </c>
      <c r="K76" s="16"/>
      <c r="L76" s="150"/>
      <c r="M76" s="178"/>
      <c r="N76" s="152"/>
      <c r="O76" s="153"/>
      <c r="P76" s="152"/>
      <c r="Q76" s="152"/>
      <c r="R76" s="16"/>
      <c r="S76" s="150" t="n">
        <v>89.4625091979397</v>
      </c>
      <c r="T76" s="178" t="n">
        <v>0.0128</v>
      </c>
      <c r="U76" s="152" t="n">
        <v>1145.12011773363</v>
      </c>
    </row>
    <row r="77" customFormat="false" ht="12.75" hidden="false" customHeight="false" outlineLevel="0" collapsed="false">
      <c r="A77" s="147"/>
      <c r="B77" s="147"/>
      <c r="C77" s="149"/>
      <c r="D77" s="150"/>
      <c r="E77" s="178"/>
      <c r="F77" s="152"/>
      <c r="G77" s="16"/>
      <c r="H77" s="150"/>
      <c r="I77" s="178"/>
      <c r="J77" s="152"/>
      <c r="K77" s="16"/>
      <c r="L77" s="150"/>
      <c r="M77" s="178"/>
      <c r="N77" s="152"/>
      <c r="O77" s="153"/>
      <c r="P77" s="152"/>
      <c r="Q77" s="152"/>
      <c r="R77" s="16"/>
      <c r="S77" s="150"/>
      <c r="T77" s="178"/>
      <c r="U77" s="152"/>
    </row>
    <row r="78" customFormat="false" ht="12.75" hidden="false" customHeight="false" outlineLevel="0" collapsed="false">
      <c r="A78" s="147" t="s">
        <v>312</v>
      </c>
      <c r="B78" s="147"/>
      <c r="C78" s="149"/>
      <c r="D78" s="150" t="n">
        <v>11</v>
      </c>
      <c r="E78" s="178" t="n">
        <v>0.04</v>
      </c>
      <c r="F78" s="152" t="n">
        <v>440</v>
      </c>
      <c r="G78" s="16"/>
      <c r="H78" s="150" t="n">
        <v>0.759749816041207</v>
      </c>
      <c r="I78" s="178" t="n">
        <v>0.04</v>
      </c>
      <c r="J78" s="152" t="n">
        <v>30.3899926416483</v>
      </c>
      <c r="K78" s="16"/>
      <c r="L78" s="150"/>
      <c r="M78" s="178"/>
      <c r="N78" s="152"/>
      <c r="O78" s="153"/>
      <c r="P78" s="152"/>
      <c r="Q78" s="152"/>
      <c r="R78" s="16"/>
      <c r="S78" s="150" t="n">
        <v>11.7597498160412</v>
      </c>
      <c r="T78" s="178" t="n">
        <v>0.04</v>
      </c>
      <c r="U78" s="152" t="n">
        <v>470.389992641648</v>
      </c>
    </row>
    <row r="79" customFormat="false" ht="12.75" hidden="false" customHeight="false" outlineLevel="0" collapsed="false">
      <c r="A79" s="147"/>
      <c r="B79" s="147"/>
      <c r="C79" s="149"/>
      <c r="D79" s="150"/>
      <c r="E79" s="178"/>
      <c r="F79" s="152"/>
      <c r="G79" s="16"/>
      <c r="H79" s="150"/>
      <c r="I79" s="178"/>
      <c r="J79" s="152"/>
      <c r="K79" s="16"/>
      <c r="L79" s="150"/>
      <c r="M79" s="178"/>
      <c r="N79" s="152"/>
      <c r="O79" s="153"/>
      <c r="P79" s="152"/>
      <c r="Q79" s="152"/>
      <c r="R79" s="16"/>
      <c r="S79" s="150"/>
      <c r="T79" s="178"/>
      <c r="U79" s="152"/>
    </row>
    <row r="80" customFormat="false" ht="12.75" hidden="false" customHeight="false" outlineLevel="0" collapsed="false">
      <c r="A80" s="147" t="s">
        <v>313</v>
      </c>
      <c r="B80" s="147"/>
      <c r="C80" s="149"/>
      <c r="D80" s="150" t="n">
        <v>0.328515111695138</v>
      </c>
      <c r="E80" s="178" t="n">
        <v>0.0761</v>
      </c>
      <c r="F80" s="152" t="n">
        <v>25</v>
      </c>
      <c r="G80" s="16"/>
      <c r="H80" s="150" t="n">
        <v>0.0193156732891832</v>
      </c>
      <c r="I80" s="178" t="n">
        <v>0.0761</v>
      </c>
      <c r="J80" s="152" t="n">
        <v>1.46992273730684</v>
      </c>
      <c r="K80" s="16"/>
      <c r="L80" s="150"/>
      <c r="M80" s="178"/>
      <c r="N80" s="152"/>
      <c r="O80" s="153"/>
      <c r="P80" s="152"/>
      <c r="Q80" s="152"/>
      <c r="R80" s="16"/>
      <c r="S80" s="150" t="n">
        <v>0.347830784984321</v>
      </c>
      <c r="T80" s="178" t="n">
        <v>0.0761</v>
      </c>
      <c r="U80" s="152" t="n">
        <v>26.4699227373068</v>
      </c>
    </row>
    <row r="81" customFormat="false" ht="12.75" hidden="false" customHeight="false" outlineLevel="0" collapsed="false">
      <c r="A81" s="147"/>
      <c r="B81" s="147"/>
      <c r="C81" s="149"/>
      <c r="D81" s="150"/>
      <c r="E81" s="178"/>
      <c r="F81" s="152"/>
      <c r="G81" s="16"/>
      <c r="H81" s="150"/>
      <c r="I81" s="178"/>
      <c r="J81" s="152"/>
      <c r="K81" s="16"/>
      <c r="L81" s="150"/>
      <c r="M81" s="178"/>
      <c r="N81" s="152"/>
      <c r="O81" s="153"/>
      <c r="P81" s="152"/>
      <c r="Q81" s="152"/>
      <c r="R81" s="16"/>
      <c r="S81" s="150"/>
      <c r="T81" s="178"/>
      <c r="U81" s="152"/>
    </row>
    <row r="82" customFormat="false" ht="12.75" hidden="false" customHeight="false" outlineLevel="0" collapsed="false">
      <c r="A82" s="147"/>
      <c r="B82" s="147"/>
      <c r="C82" s="149"/>
      <c r="D82" s="150"/>
      <c r="E82" s="178"/>
      <c r="F82" s="152"/>
      <c r="G82" s="16"/>
      <c r="H82" s="150"/>
      <c r="I82" s="178"/>
      <c r="J82" s="152"/>
      <c r="K82" s="16"/>
      <c r="L82" s="150"/>
      <c r="M82" s="178"/>
      <c r="N82" s="152"/>
      <c r="O82" s="153"/>
      <c r="P82" s="152"/>
      <c r="Q82" s="152"/>
      <c r="R82" s="16"/>
      <c r="S82" s="150"/>
      <c r="T82" s="178"/>
      <c r="U82" s="152"/>
    </row>
    <row r="83" customFormat="false" ht="12.75" hidden="false" customHeight="false" outlineLevel="0" collapsed="false">
      <c r="A83" s="16"/>
      <c r="B83" s="16"/>
      <c r="C83" s="160"/>
      <c r="D83" s="24"/>
      <c r="E83" s="174"/>
      <c r="F83" s="84"/>
      <c r="G83" s="16"/>
      <c r="H83" s="24"/>
      <c r="I83" s="174"/>
      <c r="J83" s="84"/>
      <c r="K83" s="16"/>
      <c r="L83" s="24"/>
      <c r="M83" s="174"/>
      <c r="N83" s="84"/>
      <c r="O83" s="172"/>
      <c r="P83" s="84"/>
      <c r="Q83" s="84"/>
      <c r="R83" s="16"/>
      <c r="S83" s="24"/>
      <c r="T83" s="174"/>
      <c r="U83" s="84"/>
    </row>
    <row r="84" customFormat="false" ht="12.75" hidden="false" customHeight="false" outlineLevel="0" collapsed="false">
      <c r="A84" s="16" t="s">
        <v>314</v>
      </c>
      <c r="B84" s="16"/>
      <c r="C84" s="160"/>
      <c r="D84" s="16"/>
      <c r="E84" s="174"/>
      <c r="F84" s="175" t="n">
        <v>26849.353117</v>
      </c>
      <c r="G84" s="16"/>
      <c r="H84" s="16"/>
      <c r="I84" s="174"/>
      <c r="J84" s="175" t="n">
        <v>2529.61706111258</v>
      </c>
      <c r="K84" s="16"/>
      <c r="L84" s="16"/>
      <c r="M84" s="174"/>
      <c r="N84" s="175" t="n">
        <v>0</v>
      </c>
      <c r="O84" s="172"/>
      <c r="P84" s="84"/>
      <c r="Q84" s="175" t="n">
        <v>0</v>
      </c>
      <c r="R84" s="16"/>
      <c r="S84" s="16"/>
      <c r="T84" s="174"/>
      <c r="U84" s="175" t="n">
        <v>29378.9701781126</v>
      </c>
    </row>
    <row r="85" customFormat="false" ht="12.75" hidden="false" customHeight="false" outlineLevel="0" collapsed="false">
      <c r="A85" s="16"/>
      <c r="B85" s="16"/>
      <c r="C85" s="160"/>
      <c r="D85" s="16"/>
      <c r="E85" s="174"/>
      <c r="F85" s="84"/>
      <c r="G85" s="16"/>
      <c r="H85" s="16"/>
      <c r="I85" s="174"/>
      <c r="J85" s="84"/>
      <c r="K85" s="16"/>
      <c r="L85" s="16"/>
      <c r="M85" s="174"/>
      <c r="N85" s="84"/>
      <c r="O85" s="172"/>
      <c r="P85" s="84"/>
      <c r="Q85" s="84"/>
      <c r="R85" s="16"/>
      <c r="S85" s="16"/>
      <c r="T85" s="174"/>
      <c r="U85" s="84"/>
    </row>
    <row r="86" customFormat="false" ht="12.75" hidden="false" customHeight="false" outlineLevel="0" collapsed="false">
      <c r="A86" s="16"/>
      <c r="B86" s="16"/>
      <c r="C86" s="160"/>
      <c r="D86" s="24"/>
      <c r="E86" s="174"/>
      <c r="F86" s="84"/>
      <c r="G86" s="16"/>
      <c r="H86" s="24"/>
      <c r="I86" s="174"/>
      <c r="J86" s="84"/>
      <c r="K86" s="16"/>
      <c r="L86" s="24"/>
      <c r="M86" s="174"/>
      <c r="N86" s="84"/>
      <c r="O86" s="172"/>
      <c r="P86" s="84"/>
      <c r="Q86" s="84"/>
      <c r="R86" s="16"/>
      <c r="S86" s="24"/>
      <c r="T86" s="174"/>
      <c r="U86" s="84"/>
    </row>
    <row r="87" customFormat="false" ht="12.75" hidden="false" customHeight="false" outlineLevel="0" collapsed="false">
      <c r="A87" s="16" t="s">
        <v>315</v>
      </c>
      <c r="B87" s="16"/>
      <c r="C87" s="160"/>
      <c r="D87" s="24"/>
      <c r="E87" s="174"/>
      <c r="F87" s="179" t="n">
        <v>26849.353117</v>
      </c>
      <c r="G87" s="16"/>
      <c r="H87" s="24"/>
      <c r="I87" s="174"/>
      <c r="J87" s="179" t="n">
        <v>9133.28506111258</v>
      </c>
      <c r="K87" s="16"/>
      <c r="L87" s="24"/>
      <c r="M87" s="174"/>
      <c r="N87" s="179" t="n">
        <v>1814.55</v>
      </c>
      <c r="O87" s="172"/>
      <c r="P87" s="84"/>
      <c r="Q87" s="179" t="n">
        <v>1028.1</v>
      </c>
      <c r="R87" s="16"/>
      <c r="S87" s="24"/>
      <c r="T87" s="174"/>
      <c r="U87" s="179" t="n">
        <v>37010.7381781126</v>
      </c>
    </row>
    <row r="91" customFormat="false" ht="13.5" hidden="false" customHeight="false" outlineLevel="0" collapsed="false"/>
    <row r="92" customFormat="false" ht="13.5" hidden="false" customHeight="false" outlineLevel="0" collapsed="false">
      <c r="A92" s="180" t="s">
        <v>316</v>
      </c>
      <c r="B92" s="181"/>
    </row>
    <row r="94" customFormat="false" ht="12.75" hidden="false" customHeight="false" outlineLevel="0" collapsed="false">
      <c r="A94" s="134" t="s">
        <v>317</v>
      </c>
      <c r="Q94" s="38" t="n">
        <v>2000</v>
      </c>
      <c r="U94" s="38" t="n">
        <f aca="false">+Q94</f>
        <v>2000</v>
      </c>
    </row>
    <row r="96" customFormat="false" ht="12.75" hidden="false" customHeight="false" outlineLevel="0" collapsed="false">
      <c r="A96" s="134" t="s">
        <v>318</v>
      </c>
      <c r="Q96" s="38" t="n">
        <v>500</v>
      </c>
      <c r="U96" s="38" t="n">
        <f aca="false">+Q96</f>
        <v>500</v>
      </c>
    </row>
    <row r="97" customFormat="false" ht="12.75" hidden="false" customHeight="false" outlineLevel="0" collapsed="false">
      <c r="A97" s="134" t="s">
        <v>319</v>
      </c>
    </row>
    <row r="99" customFormat="false" ht="12.75" hidden="false" customHeight="false" outlineLevel="0" collapsed="false">
      <c r="A99" s="134" t="s">
        <v>36</v>
      </c>
      <c r="Q99" s="38" t="n">
        <v>100</v>
      </c>
      <c r="U99" s="38" t="n">
        <f aca="false">+Q99</f>
        <v>100</v>
      </c>
    </row>
    <row r="101" customFormat="false" ht="12.75" hidden="false" customHeight="false" outlineLevel="0" collapsed="false">
      <c r="A101" s="134" t="s">
        <v>320</v>
      </c>
      <c r="Q101" s="38" t="n">
        <v>500</v>
      </c>
      <c r="U101" s="38" t="n">
        <f aca="false">+Q101</f>
        <v>500</v>
      </c>
    </row>
    <row r="102" customFormat="false" ht="13.5" hidden="false" customHeight="false" outlineLevel="0" collapsed="false"/>
    <row r="103" customFormat="false" ht="13.5" hidden="false" customHeight="false" outlineLevel="0" collapsed="false">
      <c r="M103" s="24" t="s">
        <v>321</v>
      </c>
      <c r="Q103" s="182" t="n">
        <f aca="false">SUM(Q94:Q101)</f>
        <v>3100</v>
      </c>
      <c r="U103" s="182" t="n">
        <f aca="false">+Q103</f>
        <v>3100</v>
      </c>
    </row>
  </sheetData>
  <mergeCells count="8">
    <mergeCell ref="D4:F4"/>
    <mergeCell ref="H4:J4"/>
    <mergeCell ref="L4:Q4"/>
    <mergeCell ref="S4:U4"/>
    <mergeCell ref="D66:F66"/>
    <mergeCell ref="H66:J66"/>
    <mergeCell ref="L66:Q66"/>
    <mergeCell ref="S66:U66"/>
  </mergeCells>
  <printOptions headings="false" gridLines="false" gridLinesSet="true" horizontalCentered="false" verticalCentered="false"/>
  <pageMargins left="0" right="0" top="0" bottom="0" header="0.511811023622047" footer="0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
&amp;T&amp;CPage &amp;P of &amp;N&amp;R&amp;F
&amp;A</oddFooter>
  </headerFooter>
  <rowBreaks count="1" manualBreakCount="1">
    <brk id="56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8" activeCellId="0" sqref="B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34" width="16.28"/>
    <col collapsed="false" customWidth="true" hidden="false" outlineLevel="0" max="2" min="2" style="134" width="33.7"/>
    <col collapsed="false" customWidth="true" hidden="false" outlineLevel="0" max="3" min="3" style="135" width="5.28"/>
    <col collapsed="false" customWidth="true" hidden="false" outlineLevel="0" max="4" min="4" style="21" width="10.28"/>
    <col collapsed="false" customWidth="true" hidden="false" outlineLevel="0" max="5" min="5" style="42" width="10.41"/>
    <col collapsed="false" customWidth="true" hidden="false" outlineLevel="0" max="6" min="6" style="38" width="13.28"/>
    <col collapsed="false" customWidth="true" hidden="false" outlineLevel="0" max="7" min="7" style="0" width="6.7"/>
    <col collapsed="false" customWidth="true" hidden="false" outlineLevel="0" max="8" min="8" style="21" width="10.28"/>
    <col collapsed="false" customWidth="true" hidden="false" outlineLevel="0" max="9" min="9" style="42" width="10.41"/>
    <col collapsed="false" customWidth="true" hidden="false" outlineLevel="0" max="10" min="10" style="38" width="13.28"/>
    <col collapsed="false" customWidth="true" hidden="false" outlineLevel="0" max="11" min="11" style="0" width="5.13"/>
    <col collapsed="false" customWidth="true" hidden="false" outlineLevel="0" max="12" min="12" style="21" width="10.28"/>
    <col collapsed="false" customWidth="true" hidden="false" outlineLevel="0" max="13" min="13" style="42" width="10.41"/>
    <col collapsed="false" customWidth="true" hidden="false" outlineLevel="0" max="14" min="14" style="38" width="9.99"/>
    <col collapsed="false" customWidth="true" hidden="false" outlineLevel="0" max="15" min="15" style="0" width="2.84"/>
    <col collapsed="false" customWidth="true" hidden="false" outlineLevel="0" max="16" min="16" style="21" width="10.28"/>
    <col collapsed="false" customWidth="true" hidden="false" outlineLevel="0" max="17" min="17" style="42" width="10.41"/>
    <col collapsed="false" customWidth="true" hidden="false" outlineLevel="0" max="18" min="18" style="38" width="13.28"/>
  </cols>
  <sheetData>
    <row r="1" customFormat="false" ht="26.25" hidden="false" customHeight="false" outlineLevel="0" collapsed="false">
      <c r="A1" s="34" t="s">
        <v>322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customFormat="false" ht="15.75" hidden="false" customHeight="false" outlineLevel="0" collapsed="false">
      <c r="A2" s="11" t="s">
        <v>323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customFormat="false" ht="15.75" hidden="false" customHeight="false" outlineLevel="0" collapsed="false">
      <c r="A3" s="10"/>
      <c r="B3" s="183"/>
      <c r="C3" s="184"/>
      <c r="D3" s="185"/>
      <c r="E3" s="57"/>
      <c r="F3" s="186"/>
      <c r="G3" s="35"/>
      <c r="H3" s="185"/>
      <c r="I3" s="57"/>
      <c r="J3" s="186"/>
      <c r="K3" s="35"/>
      <c r="L3" s="185"/>
      <c r="M3" s="57"/>
      <c r="N3" s="186"/>
      <c r="O3" s="35"/>
      <c r="P3" s="185"/>
      <c r="Q3" s="57"/>
      <c r="R3" s="186"/>
    </row>
    <row r="4" customFormat="false" ht="15" hidden="false" customHeight="false" outlineLevel="0" collapsed="false">
      <c r="A4" s="137" t="s">
        <v>261</v>
      </c>
      <c r="D4" s="138" t="n">
        <v>37147</v>
      </c>
      <c r="H4" s="0"/>
      <c r="L4" s="0"/>
      <c r="P4" s="138"/>
    </row>
    <row r="5" customFormat="false" ht="15" hidden="false" customHeight="false" outlineLevel="0" collapsed="false">
      <c r="A5" s="137"/>
      <c r="D5" s="139" t="s">
        <v>251</v>
      </c>
      <c r="E5" s="139"/>
      <c r="F5" s="139"/>
      <c r="H5" s="139" t="s">
        <v>56</v>
      </c>
      <c r="I5" s="139"/>
      <c r="J5" s="139"/>
      <c r="L5" s="139" t="s">
        <v>96</v>
      </c>
      <c r="M5" s="139"/>
      <c r="N5" s="139"/>
      <c r="P5" s="139" t="s">
        <v>265</v>
      </c>
      <c r="Q5" s="139"/>
      <c r="R5" s="139"/>
    </row>
    <row r="7" customFormat="false" ht="26.25" hidden="false" customHeight="false" outlineLevel="0" collapsed="false">
      <c r="A7" s="140" t="s">
        <v>266</v>
      </c>
      <c r="B7" s="140" t="s">
        <v>50</v>
      </c>
      <c r="C7" s="141"/>
      <c r="D7" s="142" t="s">
        <v>267</v>
      </c>
      <c r="E7" s="143" t="s">
        <v>268</v>
      </c>
      <c r="F7" s="144" t="s">
        <v>269</v>
      </c>
      <c r="G7" s="140"/>
      <c r="H7" s="142" t="s">
        <v>267</v>
      </c>
      <c r="I7" s="143" t="s">
        <v>268</v>
      </c>
      <c r="J7" s="144" t="s">
        <v>269</v>
      </c>
      <c r="K7" s="140"/>
      <c r="L7" s="142" t="s">
        <v>267</v>
      </c>
      <c r="M7" s="143" t="s">
        <v>268</v>
      </c>
      <c r="N7" s="144" t="s">
        <v>269</v>
      </c>
      <c r="O7" s="140"/>
      <c r="P7" s="142" t="s">
        <v>267</v>
      </c>
      <c r="Q7" s="143" t="s">
        <v>268</v>
      </c>
      <c r="R7" s="144" t="s">
        <v>269</v>
      </c>
    </row>
    <row r="8" customFormat="false" ht="13.5" hidden="false" customHeight="false" outlineLevel="0" collapsed="false">
      <c r="A8" s="146" t="s">
        <v>272</v>
      </c>
      <c r="B8" s="140"/>
      <c r="C8" s="141"/>
      <c r="D8" s="142"/>
      <c r="E8" s="143"/>
      <c r="F8" s="144"/>
      <c r="G8" s="140"/>
      <c r="H8" s="142"/>
      <c r="I8" s="143"/>
      <c r="J8" s="144"/>
      <c r="K8" s="140"/>
      <c r="L8" s="142"/>
      <c r="M8" s="143"/>
      <c r="N8" s="144"/>
      <c r="O8" s="140"/>
      <c r="P8" s="142"/>
      <c r="Q8" s="143"/>
      <c r="R8" s="144"/>
    </row>
    <row r="9" customFormat="false" ht="12.75" hidden="false" customHeight="false" outlineLevel="0" collapsed="false">
      <c r="A9" s="187" t="s">
        <v>273</v>
      </c>
      <c r="B9" s="188" t="s">
        <v>274</v>
      </c>
      <c r="C9" s="149"/>
      <c r="D9" s="189"/>
      <c r="E9" s="190"/>
      <c r="F9" s="191"/>
      <c r="G9" s="16"/>
      <c r="H9" s="189"/>
      <c r="I9" s="190"/>
      <c r="J9" s="191"/>
      <c r="K9" s="16"/>
      <c r="L9" s="189"/>
      <c r="M9" s="190"/>
      <c r="N9" s="191"/>
      <c r="O9" s="16"/>
      <c r="P9" s="192"/>
      <c r="Q9" s="192"/>
      <c r="R9" s="192"/>
    </row>
    <row r="10" customFormat="false" ht="12.75" hidden="false" customHeight="false" outlineLevel="0" collapsed="false">
      <c r="A10" s="187"/>
      <c r="B10" s="193" t="s">
        <v>324</v>
      </c>
      <c r="C10" s="149"/>
      <c r="D10" s="189"/>
      <c r="E10" s="190"/>
      <c r="F10" s="191"/>
      <c r="G10" s="16"/>
      <c r="H10" s="189" t="n">
        <v>3.5</v>
      </c>
      <c r="I10" s="190" t="n">
        <v>0.25</v>
      </c>
      <c r="J10" s="191" t="n">
        <f aca="false">H10*I10*1000</f>
        <v>875</v>
      </c>
      <c r="K10" s="16"/>
      <c r="L10" s="189" t="n">
        <f aca="false">+H10</f>
        <v>3.5</v>
      </c>
      <c r="M10" s="190" t="n">
        <v>0.068</v>
      </c>
      <c r="N10" s="191" t="n">
        <f aca="false">L10*M10*1000</f>
        <v>238</v>
      </c>
      <c r="O10" s="16"/>
      <c r="P10" s="189" t="n">
        <f aca="false">+H10</f>
        <v>3.5</v>
      </c>
      <c r="Q10" s="190" t="n">
        <f aca="false">R10/P10/1000</f>
        <v>0.318</v>
      </c>
      <c r="R10" s="191" t="n">
        <f aca="false">+J10+N10</f>
        <v>1113</v>
      </c>
    </row>
    <row r="11" customFormat="false" ht="12.75" hidden="false" customHeight="false" outlineLevel="0" collapsed="false">
      <c r="A11" s="187"/>
      <c r="B11" s="193" t="s">
        <v>325</v>
      </c>
      <c r="C11" s="149"/>
      <c r="D11" s="189"/>
      <c r="E11" s="190"/>
      <c r="F11" s="191"/>
      <c r="G11" s="16"/>
      <c r="H11" s="189" t="n">
        <v>1.5</v>
      </c>
      <c r="I11" s="190" t="n">
        <v>0.25</v>
      </c>
      <c r="J11" s="191" t="n">
        <f aca="false">H11*I11*1000</f>
        <v>375</v>
      </c>
      <c r="K11" s="16"/>
      <c r="L11" s="189" t="n">
        <f aca="false">+H11</f>
        <v>1.5</v>
      </c>
      <c r="M11" s="190" t="n">
        <v>0.068</v>
      </c>
      <c r="N11" s="191" t="n">
        <f aca="false">L11*M11*1000</f>
        <v>102</v>
      </c>
      <c r="O11" s="16"/>
      <c r="P11" s="189" t="n">
        <f aca="false">+H11</f>
        <v>1.5</v>
      </c>
      <c r="Q11" s="190" t="n">
        <f aca="false">R11/P11/1000</f>
        <v>0.318</v>
      </c>
      <c r="R11" s="191" t="n">
        <f aca="false">+J11+N11</f>
        <v>477</v>
      </c>
    </row>
    <row r="12" customFormat="false" ht="12.75" hidden="false" customHeight="false" outlineLevel="0" collapsed="false">
      <c r="A12" s="187"/>
      <c r="B12" s="187" t="s">
        <v>326</v>
      </c>
      <c r="C12" s="149"/>
      <c r="D12" s="189"/>
      <c r="E12" s="190"/>
      <c r="F12" s="191"/>
      <c r="G12" s="16"/>
      <c r="H12" s="189" t="n">
        <v>5.83</v>
      </c>
      <c r="I12" s="190" t="n">
        <v>0.471678216123499</v>
      </c>
      <c r="J12" s="191" t="n">
        <f aca="false">H12*I12*1000</f>
        <v>2749.884</v>
      </c>
      <c r="K12" s="16"/>
      <c r="L12" s="189"/>
      <c r="M12" s="190"/>
      <c r="N12" s="191"/>
      <c r="O12" s="16"/>
      <c r="P12" s="189" t="n">
        <f aca="false">+H12</f>
        <v>5.83</v>
      </c>
      <c r="Q12" s="190" t="n">
        <f aca="false">R12/P12/1000</f>
        <v>0.471678216123499</v>
      </c>
      <c r="R12" s="191" t="n">
        <f aca="false">+J12+N12</f>
        <v>2749.884</v>
      </c>
    </row>
    <row r="13" customFormat="false" ht="12.75" hidden="false" customHeight="false" outlineLevel="0" collapsed="false">
      <c r="A13" s="187"/>
      <c r="B13" s="187" t="s">
        <v>327</v>
      </c>
      <c r="C13" s="149"/>
      <c r="D13" s="189"/>
      <c r="E13" s="190"/>
      <c r="F13" s="191"/>
      <c r="G13" s="16"/>
      <c r="H13" s="194"/>
      <c r="I13" s="195"/>
      <c r="J13" s="196" t="n">
        <f aca="false">394.692+69.418</f>
        <v>464.11</v>
      </c>
      <c r="K13" s="16"/>
      <c r="L13" s="194"/>
      <c r="M13" s="195"/>
      <c r="N13" s="196"/>
      <c r="O13" s="16"/>
      <c r="P13" s="194"/>
      <c r="Q13" s="195"/>
      <c r="R13" s="196" t="n">
        <f aca="false">+J13+N13</f>
        <v>464.11</v>
      </c>
    </row>
    <row r="14" customFormat="false" ht="12.75" hidden="false" customHeight="false" outlineLevel="0" collapsed="false">
      <c r="A14" s="187" t="s">
        <v>278</v>
      </c>
      <c r="B14" s="187" t="s">
        <v>279</v>
      </c>
      <c r="C14" s="149"/>
      <c r="D14" s="189"/>
      <c r="E14" s="190"/>
      <c r="F14" s="191"/>
      <c r="G14" s="16"/>
      <c r="H14" s="189" t="n">
        <v>10.83</v>
      </c>
      <c r="I14" s="190" t="n">
        <v>0.443537765466297</v>
      </c>
      <c r="J14" s="191" t="n">
        <f aca="false">SUM(J10:J13)</f>
        <v>4463.994</v>
      </c>
      <c r="K14" s="16"/>
      <c r="L14" s="189" t="n">
        <f aca="false">SUM(L10:L13)</f>
        <v>5</v>
      </c>
      <c r="M14" s="190" t="n">
        <v>0.06</v>
      </c>
      <c r="N14" s="191" t="n">
        <f aca="false">SUM(N10:N13)</f>
        <v>340</v>
      </c>
      <c r="O14" s="16"/>
      <c r="P14" s="189" t="n">
        <f aca="false">+H14</f>
        <v>10.83</v>
      </c>
      <c r="Q14" s="190" t="n">
        <f aca="false">R14/P14/1000</f>
        <v>0.443582086795937</v>
      </c>
      <c r="R14" s="191" t="n">
        <f aca="false">SUM(R9:R13)</f>
        <v>4803.994</v>
      </c>
    </row>
    <row r="15" customFormat="false" ht="12.75" hidden="false" customHeight="false" outlineLevel="0" collapsed="false">
      <c r="A15" s="187"/>
      <c r="B15" s="187" t="s">
        <v>280</v>
      </c>
      <c r="C15" s="160"/>
      <c r="D15" s="189"/>
      <c r="E15" s="190"/>
      <c r="F15" s="191"/>
      <c r="G15" s="16"/>
      <c r="H15" s="194" t="n">
        <v>1.5</v>
      </c>
      <c r="I15" s="195" t="n">
        <v>0.08</v>
      </c>
      <c r="J15" s="196" t="n">
        <f aca="false">H15*I15*1000</f>
        <v>120</v>
      </c>
      <c r="K15" s="16"/>
      <c r="L15" s="194" t="n">
        <v>1.5</v>
      </c>
      <c r="M15" s="195" t="n">
        <v>0.04</v>
      </c>
      <c r="N15" s="196" t="n">
        <f aca="false">L15*M15*1000</f>
        <v>60</v>
      </c>
      <c r="O15" s="16"/>
      <c r="P15" s="194"/>
      <c r="Q15" s="195"/>
      <c r="R15" s="196" t="n">
        <f aca="false">+J15+N15</f>
        <v>180</v>
      </c>
    </row>
    <row r="16" customFormat="false" ht="12.75" hidden="false" customHeight="false" outlineLevel="0" collapsed="false">
      <c r="A16" s="187"/>
      <c r="B16" s="187" t="s">
        <v>281</v>
      </c>
      <c r="C16" s="160"/>
      <c r="D16" s="189"/>
      <c r="E16" s="190"/>
      <c r="F16" s="191"/>
      <c r="G16" s="16"/>
      <c r="H16" s="189"/>
      <c r="I16" s="190"/>
      <c r="J16" s="191" t="n">
        <f aca="false">SUM(J14:J15)</f>
        <v>4583.994</v>
      </c>
      <c r="K16" s="16"/>
      <c r="L16" s="189"/>
      <c r="M16" s="190"/>
      <c r="N16" s="191" t="n">
        <f aca="false">SUM(N14:N15)</f>
        <v>400</v>
      </c>
      <c r="O16" s="16"/>
      <c r="P16" s="189"/>
      <c r="Q16" s="190"/>
      <c r="R16" s="191" t="n">
        <f aca="false">SUM(R14:R15)</f>
        <v>4983.994</v>
      </c>
    </row>
    <row r="17" customFormat="false" ht="12.75" hidden="false" customHeight="false" outlineLevel="0" collapsed="false">
      <c r="E17" s="161"/>
      <c r="I17" s="161"/>
      <c r="M17" s="161"/>
      <c r="Q17" s="161"/>
    </row>
    <row r="18" customFormat="false" ht="12.75" hidden="false" customHeight="false" outlineLevel="0" collapsed="false">
      <c r="A18" s="187" t="s">
        <v>282</v>
      </c>
      <c r="B18" s="188" t="s">
        <v>291</v>
      </c>
      <c r="C18" s="149"/>
      <c r="D18" s="192"/>
      <c r="E18" s="192"/>
      <c r="F18" s="192"/>
      <c r="G18" s="16"/>
      <c r="H18" s="192"/>
      <c r="I18" s="192"/>
      <c r="J18" s="192"/>
      <c r="K18" s="16"/>
      <c r="L18" s="192"/>
      <c r="M18" s="192"/>
      <c r="N18" s="192"/>
      <c r="O18" s="16"/>
      <c r="P18" s="192"/>
      <c r="Q18" s="192"/>
      <c r="R18" s="192"/>
    </row>
    <row r="19" customFormat="false" ht="12.75" hidden="false" customHeight="false" outlineLevel="0" collapsed="false">
      <c r="A19" s="187"/>
      <c r="B19" s="193" t="s">
        <v>284</v>
      </c>
      <c r="C19" s="149"/>
      <c r="D19" s="189"/>
      <c r="E19" s="190"/>
      <c r="F19" s="191"/>
      <c r="G19" s="16"/>
      <c r="H19" s="189" t="n">
        <v>3.5</v>
      </c>
      <c r="I19" s="190" t="n">
        <v>0.706</v>
      </c>
      <c r="J19" s="191" t="n">
        <f aca="false">H19*I19*1000</f>
        <v>2471</v>
      </c>
      <c r="K19" s="16"/>
      <c r="L19" s="189" t="n">
        <v>3.5</v>
      </c>
      <c r="M19" s="190" t="n">
        <v>0.15</v>
      </c>
      <c r="N19" s="191" t="n">
        <f aca="false">L19*M19*1000+1</f>
        <v>526</v>
      </c>
      <c r="O19" s="16"/>
      <c r="P19" s="189" t="n">
        <f aca="false">+H19</f>
        <v>3.5</v>
      </c>
      <c r="Q19" s="190" t="n">
        <f aca="false">R19/P19/1000</f>
        <v>0.856285714285714</v>
      </c>
      <c r="R19" s="191" t="n">
        <f aca="false">+J19+N19</f>
        <v>2997</v>
      </c>
    </row>
    <row r="20" customFormat="false" ht="12.75" hidden="false" customHeight="false" outlineLevel="0" collapsed="false">
      <c r="A20" s="187"/>
      <c r="B20" s="197" t="s">
        <v>328</v>
      </c>
      <c r="C20" s="149"/>
      <c r="D20" s="189"/>
      <c r="E20" s="190"/>
      <c r="F20" s="191"/>
      <c r="G20" s="16"/>
      <c r="H20" s="189" t="n">
        <v>0.88</v>
      </c>
      <c r="I20" s="190" t="n">
        <v>0.706</v>
      </c>
      <c r="J20" s="191" t="n">
        <f aca="false">H20*I20*1000</f>
        <v>621.28</v>
      </c>
      <c r="K20" s="16"/>
      <c r="L20" s="189" t="n">
        <v>0.88</v>
      </c>
      <c r="M20" s="190" t="n">
        <v>0.15</v>
      </c>
      <c r="N20" s="191" t="n">
        <f aca="false">L20*M20*1000+1</f>
        <v>133</v>
      </c>
      <c r="O20" s="16"/>
      <c r="P20" s="189" t="n">
        <f aca="false">+H20</f>
        <v>0.88</v>
      </c>
      <c r="Q20" s="190" t="n">
        <f aca="false">R20/P20/1000</f>
        <v>0.857136363636364</v>
      </c>
      <c r="R20" s="191" t="n">
        <f aca="false">+J20+N20</f>
        <v>754.28</v>
      </c>
    </row>
    <row r="21" customFormat="false" ht="12.75" hidden="false" customHeight="false" outlineLevel="0" collapsed="false">
      <c r="A21" s="187"/>
      <c r="B21" s="193" t="s">
        <v>327</v>
      </c>
      <c r="C21" s="164"/>
      <c r="D21" s="189"/>
      <c r="E21" s="190"/>
      <c r="F21" s="191"/>
      <c r="G21" s="16"/>
      <c r="H21" s="189"/>
      <c r="I21" s="190"/>
      <c r="J21" s="191"/>
      <c r="K21" s="16"/>
      <c r="L21" s="189"/>
      <c r="M21" s="190"/>
      <c r="N21" s="191"/>
      <c r="O21" s="16"/>
      <c r="P21" s="189"/>
      <c r="Q21" s="190"/>
      <c r="R21" s="191"/>
    </row>
    <row r="22" customFormat="false" ht="12.75" hidden="false" customHeight="false" outlineLevel="0" collapsed="false">
      <c r="A22" s="187"/>
      <c r="B22" s="193" t="s">
        <v>284</v>
      </c>
      <c r="C22" s="149"/>
      <c r="D22" s="189"/>
      <c r="E22" s="190"/>
      <c r="F22" s="191"/>
      <c r="G22" s="16"/>
      <c r="H22" s="189" t="n">
        <v>2</v>
      </c>
      <c r="I22" s="190" t="n">
        <v>0.7</v>
      </c>
      <c r="J22" s="191" t="n">
        <f aca="false">H22*I22*1000</f>
        <v>1400</v>
      </c>
      <c r="K22" s="16"/>
      <c r="L22" s="189" t="n">
        <v>2</v>
      </c>
      <c r="M22" s="190" t="n">
        <v>0.15</v>
      </c>
      <c r="N22" s="191" t="n">
        <f aca="false">L22*M22*1000+1</f>
        <v>301</v>
      </c>
      <c r="O22" s="16"/>
      <c r="P22" s="189" t="n">
        <v>2</v>
      </c>
      <c r="Q22" s="190" t="n">
        <f aca="false">R22/P22/1000</f>
        <v>0.8505</v>
      </c>
      <c r="R22" s="191" t="n">
        <f aca="false">+J22+N22</f>
        <v>1701</v>
      </c>
    </row>
    <row r="23" customFormat="false" ht="12.75" hidden="false" customHeight="false" outlineLevel="0" collapsed="false">
      <c r="A23" s="187"/>
      <c r="B23" s="197" t="s">
        <v>328</v>
      </c>
      <c r="C23" s="149"/>
      <c r="D23" s="189"/>
      <c r="E23" s="190"/>
      <c r="F23" s="191"/>
      <c r="G23" s="16"/>
      <c r="H23" s="189" t="n">
        <v>1.25</v>
      </c>
      <c r="I23" s="190" t="n">
        <v>0.7</v>
      </c>
      <c r="J23" s="191" t="n">
        <f aca="false">H23*I23*1000</f>
        <v>875</v>
      </c>
      <c r="K23" s="16"/>
      <c r="L23" s="189" t="n">
        <v>1.25</v>
      </c>
      <c r="M23" s="190" t="n">
        <v>0.15</v>
      </c>
      <c r="N23" s="191" t="n">
        <f aca="false">L23*M23*1000+1</f>
        <v>188.5</v>
      </c>
      <c r="O23" s="16"/>
      <c r="P23" s="189" t="n">
        <f aca="false">+H23</f>
        <v>1.25</v>
      </c>
      <c r="Q23" s="190" t="n">
        <f aca="false">R23/P23/1000</f>
        <v>0.8508</v>
      </c>
      <c r="R23" s="191" t="n">
        <f aca="false">+J23+N23</f>
        <v>1063.5</v>
      </c>
    </row>
    <row r="24" customFormat="false" ht="12.75" hidden="false" customHeight="false" outlineLevel="0" collapsed="false">
      <c r="A24" s="187"/>
      <c r="B24" s="197" t="s">
        <v>289</v>
      </c>
      <c r="C24" s="149"/>
      <c r="D24" s="189"/>
      <c r="E24" s="190"/>
      <c r="F24" s="191"/>
      <c r="G24" s="16"/>
      <c r="H24" s="194" t="n">
        <v>0.45</v>
      </c>
      <c r="I24" s="195" t="n">
        <v>0.7</v>
      </c>
      <c r="J24" s="196" t="n">
        <f aca="false">H24*I24*1000</f>
        <v>315</v>
      </c>
      <c r="K24" s="16"/>
      <c r="L24" s="194" t="n">
        <v>0.45</v>
      </c>
      <c r="M24" s="195" t="n">
        <v>0.15</v>
      </c>
      <c r="N24" s="196" t="n">
        <f aca="false">L24*M24*1000+1</f>
        <v>68.5</v>
      </c>
      <c r="O24" s="16"/>
      <c r="P24" s="194" t="n">
        <f aca="false">+H24</f>
        <v>0.45</v>
      </c>
      <c r="Q24" s="195" t="n">
        <f aca="false">R24/P24/1000</f>
        <v>0.852222222222222</v>
      </c>
      <c r="R24" s="196" t="n">
        <f aca="false">+J24+N24</f>
        <v>383.5</v>
      </c>
    </row>
    <row r="25" customFormat="false" ht="12.75" hidden="false" customHeight="false" outlineLevel="0" collapsed="false">
      <c r="A25" s="187"/>
      <c r="B25" s="197" t="s">
        <v>292</v>
      </c>
      <c r="C25" s="164"/>
      <c r="D25" s="189"/>
      <c r="E25" s="190"/>
      <c r="F25" s="191"/>
      <c r="G25" s="16"/>
      <c r="H25" s="189" t="n">
        <f aca="false">SUM(H18:H24)</f>
        <v>8.08</v>
      </c>
      <c r="I25" s="190" t="n">
        <f aca="false">J25/H25/1000</f>
        <v>0.703252475247525</v>
      </c>
      <c r="J25" s="191" t="n">
        <f aca="false">SUM(J19:J24)</f>
        <v>5682.28</v>
      </c>
      <c r="K25" s="16"/>
      <c r="L25" s="189" t="n">
        <f aca="false">SUM(L18:L24)</f>
        <v>8.08</v>
      </c>
      <c r="M25" s="190" t="n">
        <f aca="false">N25/L25/1000</f>
        <v>0.150618811881188</v>
      </c>
      <c r="N25" s="191" t="n">
        <f aca="false">SUM(N19:N24)</f>
        <v>1217</v>
      </c>
      <c r="O25" s="16"/>
      <c r="P25" s="189"/>
      <c r="Q25" s="190"/>
      <c r="R25" s="191" t="n">
        <f aca="false">SUM(R19:R24)</f>
        <v>6899.28</v>
      </c>
    </row>
    <row r="26" customFormat="false" ht="12.75" hidden="false" customHeight="false" outlineLevel="0" collapsed="false">
      <c r="A26" s="187"/>
      <c r="B26" s="188" t="s">
        <v>329</v>
      </c>
      <c r="C26" s="164"/>
      <c r="D26" s="189"/>
      <c r="E26" s="190"/>
      <c r="F26" s="191"/>
      <c r="G26" s="16"/>
      <c r="H26" s="189"/>
      <c r="I26" s="190"/>
      <c r="J26" s="191"/>
      <c r="K26" s="16"/>
      <c r="L26" s="189"/>
      <c r="M26" s="190"/>
      <c r="N26" s="191"/>
      <c r="O26" s="16"/>
      <c r="P26" s="189"/>
      <c r="Q26" s="190"/>
      <c r="R26" s="191"/>
    </row>
    <row r="27" customFormat="false" ht="12.75" hidden="false" customHeight="false" outlineLevel="0" collapsed="false">
      <c r="A27" s="187"/>
      <c r="B27" s="193" t="s">
        <v>284</v>
      </c>
      <c r="C27" s="164"/>
      <c r="D27" s="189"/>
      <c r="E27" s="190"/>
      <c r="F27" s="191"/>
      <c r="G27" s="16"/>
      <c r="H27" s="189" t="n">
        <v>2</v>
      </c>
      <c r="I27" s="190" t="n">
        <v>0.0889</v>
      </c>
      <c r="J27" s="191" t="n">
        <v>177.8</v>
      </c>
      <c r="K27" s="16"/>
      <c r="L27" s="189"/>
      <c r="M27" s="190"/>
      <c r="N27" s="191"/>
      <c r="O27" s="16"/>
      <c r="P27" s="189"/>
      <c r="Q27" s="190"/>
      <c r="R27" s="191" t="n">
        <f aca="false">F27+J27</f>
        <v>177.8</v>
      </c>
    </row>
    <row r="28" customFormat="false" ht="12.75" hidden="false" customHeight="false" outlineLevel="0" collapsed="false">
      <c r="A28" s="187"/>
      <c r="B28" s="193" t="s">
        <v>328</v>
      </c>
      <c r="C28" s="164"/>
      <c r="D28" s="189"/>
      <c r="E28" s="190"/>
      <c r="F28" s="191"/>
      <c r="G28" s="16"/>
      <c r="H28" s="189" t="n">
        <v>1.75</v>
      </c>
      <c r="I28" s="190" t="n">
        <v>0.0128</v>
      </c>
      <c r="J28" s="191" t="n">
        <v>22.4</v>
      </c>
      <c r="K28" s="16"/>
      <c r="L28" s="189"/>
      <c r="M28" s="190"/>
      <c r="N28" s="191"/>
      <c r="O28" s="16"/>
      <c r="P28" s="189"/>
      <c r="Q28" s="190"/>
      <c r="R28" s="191" t="n">
        <f aca="false">F28+J28</f>
        <v>22.4</v>
      </c>
    </row>
    <row r="29" customFormat="false" ht="12.75" hidden="false" customHeight="false" outlineLevel="0" collapsed="false">
      <c r="A29" s="187"/>
      <c r="B29" s="197" t="s">
        <v>289</v>
      </c>
      <c r="C29" s="164"/>
      <c r="D29" s="189"/>
      <c r="E29" s="190"/>
      <c r="F29" s="191"/>
      <c r="G29" s="16"/>
      <c r="H29" s="194" t="n">
        <v>0</v>
      </c>
      <c r="I29" s="195"/>
      <c r="J29" s="196" t="n">
        <v>0</v>
      </c>
      <c r="K29" s="16"/>
      <c r="L29" s="194"/>
      <c r="M29" s="195"/>
      <c r="N29" s="196"/>
      <c r="O29" s="16"/>
      <c r="P29" s="194"/>
      <c r="Q29" s="195"/>
      <c r="R29" s="196" t="n">
        <v>0</v>
      </c>
    </row>
    <row r="30" customFormat="false" ht="12.75" hidden="false" customHeight="false" outlineLevel="0" collapsed="false">
      <c r="A30" s="187"/>
      <c r="B30" s="197" t="s">
        <v>330</v>
      </c>
      <c r="C30" s="164"/>
      <c r="D30" s="189"/>
      <c r="E30" s="190"/>
      <c r="F30" s="191"/>
      <c r="G30" s="16"/>
      <c r="H30" s="189"/>
      <c r="I30" s="190"/>
      <c r="J30" s="191" t="n">
        <f aca="false">SUM(J27:J29)</f>
        <v>200.2</v>
      </c>
      <c r="K30" s="16"/>
      <c r="L30" s="189" t="n">
        <f aca="false">SUM(L26:L29)</f>
        <v>0</v>
      </c>
      <c r="M30" s="190"/>
      <c r="N30" s="191" t="n">
        <f aca="false">SUM(N27:N29)</f>
        <v>0</v>
      </c>
      <c r="O30" s="16"/>
      <c r="P30" s="189"/>
      <c r="Q30" s="190"/>
      <c r="R30" s="191" t="n">
        <f aca="false">SUM(R27:R29)</f>
        <v>200.2</v>
      </c>
    </row>
    <row r="31" customFormat="false" ht="12.75" hidden="false" customHeight="false" outlineLevel="0" collapsed="false">
      <c r="A31" s="187"/>
      <c r="B31" s="198" t="s">
        <v>293</v>
      </c>
      <c r="C31" s="164"/>
      <c r="D31" s="189"/>
      <c r="E31" s="190"/>
      <c r="F31" s="191"/>
      <c r="G31" s="16"/>
      <c r="H31" s="189" t="n">
        <v>0</v>
      </c>
      <c r="I31" s="190"/>
      <c r="J31" s="191" t="n">
        <f aca="false">+J25+J30</f>
        <v>5882.48</v>
      </c>
      <c r="K31" s="16"/>
      <c r="L31" s="189" t="n">
        <f aca="false">+L25+L29</f>
        <v>8.08</v>
      </c>
      <c r="M31" s="190" t="n">
        <f aca="false">N31/L31/1000</f>
        <v>0.150618811881188</v>
      </c>
      <c r="N31" s="191" t="n">
        <f aca="false">+N25+N30</f>
        <v>1217</v>
      </c>
      <c r="O31" s="16"/>
      <c r="P31" s="189" t="n">
        <f aca="false">+P25+P29</f>
        <v>0</v>
      </c>
      <c r="Q31" s="190"/>
      <c r="R31" s="191" t="n">
        <f aca="false">+R25+R30</f>
        <v>7099.48</v>
      </c>
    </row>
    <row r="33" customFormat="false" ht="12.75" hidden="false" customHeight="false" outlineLevel="0" collapsed="false">
      <c r="A33" s="187" t="s">
        <v>294</v>
      </c>
      <c r="B33" s="187" t="s">
        <v>273</v>
      </c>
      <c r="C33" s="149"/>
      <c r="D33" s="189"/>
      <c r="E33" s="190"/>
      <c r="F33" s="191"/>
      <c r="G33" s="16"/>
      <c r="H33" s="189" t="n">
        <v>5</v>
      </c>
      <c r="I33" s="190" t="n">
        <v>0.05</v>
      </c>
      <c r="J33" s="191" t="n">
        <f aca="false">H33*I33*1000</f>
        <v>250</v>
      </c>
      <c r="K33" s="16"/>
      <c r="L33" s="189" t="n">
        <v>3.3</v>
      </c>
      <c r="M33" s="190" t="n">
        <v>0.08</v>
      </c>
      <c r="N33" s="191" t="n">
        <f aca="false">L33*M33*1000-2</f>
        <v>262</v>
      </c>
      <c r="O33" s="16"/>
      <c r="P33" s="189" t="n">
        <f aca="false">+H33</f>
        <v>5</v>
      </c>
      <c r="Q33" s="190" t="n">
        <f aca="false">(R33/P33)/1000</f>
        <v>0.1024</v>
      </c>
      <c r="R33" s="191" t="n">
        <f aca="false">+J33+N33</f>
        <v>512</v>
      </c>
    </row>
    <row r="34" customFormat="false" ht="12.75" hidden="false" customHeight="false" outlineLevel="0" collapsed="false">
      <c r="A34" s="187"/>
      <c r="B34" s="187" t="s">
        <v>331</v>
      </c>
      <c r="C34" s="149"/>
      <c r="D34" s="189"/>
      <c r="E34" s="190"/>
      <c r="F34" s="191"/>
      <c r="G34" s="16"/>
      <c r="H34" s="189"/>
      <c r="I34" s="190"/>
      <c r="J34" s="191" t="n">
        <f aca="false">H34*I34*1000</f>
        <v>0</v>
      </c>
      <c r="K34" s="16"/>
      <c r="L34" s="189"/>
      <c r="M34" s="190"/>
      <c r="N34" s="191" t="n">
        <f aca="false">L34*M34*1000</f>
        <v>0</v>
      </c>
      <c r="O34" s="16"/>
      <c r="P34" s="189"/>
      <c r="Q34" s="190"/>
      <c r="R34" s="191"/>
    </row>
    <row r="35" customFormat="false" ht="12.75" hidden="false" customHeight="false" outlineLevel="0" collapsed="false">
      <c r="A35" s="187"/>
      <c r="B35" s="187" t="s">
        <v>282</v>
      </c>
      <c r="C35" s="149"/>
      <c r="D35" s="189"/>
      <c r="E35" s="190"/>
      <c r="F35" s="191"/>
      <c r="G35" s="16"/>
      <c r="H35" s="189" t="n">
        <v>5</v>
      </c>
      <c r="I35" s="190" t="n">
        <v>0.05</v>
      </c>
      <c r="J35" s="191" t="n">
        <f aca="false">H35*I35*1000</f>
        <v>250</v>
      </c>
      <c r="K35" s="16"/>
      <c r="L35" s="189" t="n">
        <v>3.3</v>
      </c>
      <c r="M35" s="190" t="n">
        <v>0.08</v>
      </c>
      <c r="N35" s="191" t="n">
        <f aca="false">L35*M35*1000-2</f>
        <v>262</v>
      </c>
      <c r="O35" s="16"/>
      <c r="P35" s="189" t="n">
        <f aca="false">+H35</f>
        <v>5</v>
      </c>
      <c r="Q35" s="190" t="n">
        <f aca="false">(R35/P35)/1000</f>
        <v>0.1024</v>
      </c>
      <c r="R35" s="191" t="n">
        <f aca="false">+J35+N35</f>
        <v>512</v>
      </c>
    </row>
    <row r="36" customFormat="false" ht="12.75" hidden="false" customHeight="false" outlineLevel="0" collapsed="false">
      <c r="A36" s="187"/>
      <c r="B36" s="187" t="s">
        <v>332</v>
      </c>
      <c r="C36" s="149"/>
      <c r="D36" s="189"/>
      <c r="E36" s="190"/>
      <c r="F36" s="191"/>
      <c r="G36" s="16"/>
      <c r="H36" s="189" t="n">
        <v>0</v>
      </c>
      <c r="I36" s="190"/>
      <c r="J36" s="191" t="n">
        <v>0</v>
      </c>
      <c r="K36" s="16"/>
      <c r="L36" s="189" t="n">
        <v>0</v>
      </c>
      <c r="M36" s="190"/>
      <c r="N36" s="191" t="n">
        <f aca="false">L36*M36*1000</f>
        <v>0</v>
      </c>
      <c r="O36" s="16"/>
      <c r="P36" s="189"/>
      <c r="Q36" s="190"/>
      <c r="R36" s="191"/>
    </row>
    <row r="37" customFormat="false" ht="12.75" hidden="false" customHeight="false" outlineLevel="0" collapsed="false">
      <c r="A37" s="187"/>
      <c r="B37" s="199" t="s">
        <v>331</v>
      </c>
      <c r="C37" s="149"/>
      <c r="D37" s="189"/>
      <c r="E37" s="190"/>
      <c r="F37" s="191"/>
      <c r="G37" s="16"/>
      <c r="H37" s="194" t="n">
        <v>1</v>
      </c>
      <c r="I37" s="195" t="n">
        <v>0.0064</v>
      </c>
      <c r="J37" s="196" t="n">
        <v>6.4</v>
      </c>
      <c r="K37" s="16"/>
      <c r="L37" s="194"/>
      <c r="M37" s="195"/>
      <c r="N37" s="196"/>
      <c r="O37" s="16"/>
      <c r="P37" s="194" t="n">
        <f aca="false">+H37</f>
        <v>1</v>
      </c>
      <c r="Q37" s="195" t="n">
        <f aca="false">(R37/P37)/1000</f>
        <v>0.0064</v>
      </c>
      <c r="R37" s="196" t="n">
        <f aca="false">+J37+N37</f>
        <v>6.4</v>
      </c>
    </row>
    <row r="38" customFormat="false" ht="12.75" hidden="false" customHeight="false" outlineLevel="0" collapsed="false">
      <c r="A38" s="192"/>
      <c r="B38" s="192" t="s">
        <v>297</v>
      </c>
      <c r="C38" s="160"/>
      <c r="D38" s="189"/>
      <c r="E38" s="190"/>
      <c r="F38" s="191"/>
      <c r="G38" s="16"/>
      <c r="H38" s="189"/>
      <c r="I38" s="190"/>
      <c r="J38" s="191" t="n">
        <f aca="false">SUM(J33:J37)</f>
        <v>506.4</v>
      </c>
      <c r="K38" s="16"/>
      <c r="L38" s="189" t="n">
        <f aca="false">SUM(L33:L37)</f>
        <v>6.6</v>
      </c>
      <c r="M38" s="190"/>
      <c r="N38" s="191" t="n">
        <f aca="false">SUM(N33:N37)</f>
        <v>524</v>
      </c>
      <c r="O38" s="16"/>
      <c r="P38" s="189"/>
      <c r="Q38" s="190"/>
      <c r="R38" s="191" t="n">
        <f aca="false">SUM(R33:R37)</f>
        <v>1030.4</v>
      </c>
    </row>
    <row r="39" customFormat="false" ht="12.75" hidden="false" customHeight="false" outlineLevel="0" collapsed="false">
      <c r="A39" s="16"/>
      <c r="B39" s="16"/>
      <c r="C39" s="160"/>
      <c r="D39" s="24"/>
      <c r="E39" s="171"/>
      <c r="F39" s="84"/>
      <c r="G39" s="16"/>
      <c r="H39" s="24"/>
      <c r="I39" s="171"/>
      <c r="J39" s="84"/>
      <c r="K39" s="16"/>
      <c r="L39" s="24"/>
      <c r="M39" s="171"/>
      <c r="N39" s="84"/>
      <c r="O39" s="16"/>
      <c r="P39" s="24"/>
      <c r="Q39" s="171"/>
      <c r="R39" s="84"/>
    </row>
    <row r="40" customFormat="false" ht="12.75" hidden="false" customHeight="false" outlineLevel="0" collapsed="false">
      <c r="A40" s="187"/>
      <c r="B40" s="187"/>
      <c r="C40" s="149"/>
      <c r="D40" s="189"/>
      <c r="E40" s="190"/>
      <c r="F40" s="191"/>
      <c r="G40" s="16"/>
      <c r="H40" s="189"/>
      <c r="I40" s="190"/>
      <c r="J40" s="191"/>
      <c r="K40" s="16"/>
      <c r="L40" s="189"/>
      <c r="M40" s="190"/>
      <c r="N40" s="191"/>
      <c r="O40" s="16"/>
      <c r="P40" s="189"/>
      <c r="Q40" s="190"/>
      <c r="R40" s="191"/>
    </row>
    <row r="41" customFormat="false" ht="12.75" hidden="false" customHeight="false" outlineLevel="0" collapsed="false">
      <c r="A41" s="187" t="s">
        <v>14</v>
      </c>
      <c r="B41" s="187" t="s">
        <v>298</v>
      </c>
      <c r="C41" s="149"/>
      <c r="D41" s="189"/>
      <c r="E41" s="190"/>
      <c r="F41" s="191"/>
      <c r="G41" s="16"/>
      <c r="H41" s="189"/>
      <c r="I41" s="190"/>
      <c r="J41" s="191"/>
      <c r="K41" s="16"/>
      <c r="L41" s="189"/>
      <c r="M41" s="190"/>
      <c r="N41" s="191"/>
      <c r="O41" s="16"/>
      <c r="P41" s="189"/>
      <c r="Q41" s="190"/>
      <c r="R41" s="191"/>
    </row>
    <row r="42" customFormat="false" ht="12.75" hidden="false" customHeight="false" outlineLevel="0" collapsed="false">
      <c r="A42" s="187"/>
      <c r="B42" s="200" t="s">
        <v>299</v>
      </c>
      <c r="C42" s="149"/>
      <c r="D42" s="189"/>
      <c r="E42" s="190"/>
      <c r="F42" s="191"/>
      <c r="G42" s="16"/>
      <c r="H42" s="189" t="n">
        <v>1.05</v>
      </c>
      <c r="I42" s="190" t="n">
        <v>0.11</v>
      </c>
      <c r="J42" s="191" t="n">
        <f aca="false">H42*I42*1000</f>
        <v>115.5</v>
      </c>
      <c r="K42" s="16"/>
      <c r="L42" s="189" t="n">
        <v>0.45</v>
      </c>
      <c r="M42" s="190" t="n">
        <v>0.11</v>
      </c>
      <c r="N42" s="191" t="n">
        <f aca="false">+M42*L42*1000</f>
        <v>49.5</v>
      </c>
      <c r="O42" s="16"/>
      <c r="P42" s="189" t="n">
        <f aca="false">+H42+L42</f>
        <v>1.5</v>
      </c>
      <c r="Q42" s="190" t="n">
        <f aca="false">(R42/P42)/1000</f>
        <v>0.11</v>
      </c>
      <c r="R42" s="191" t="n">
        <f aca="false">+J42+N42</f>
        <v>165</v>
      </c>
    </row>
    <row r="43" customFormat="false" ht="12.75" hidden="false" customHeight="false" outlineLevel="0" collapsed="false">
      <c r="A43" s="187"/>
      <c r="B43" s="200" t="s">
        <v>300</v>
      </c>
      <c r="C43" s="149"/>
      <c r="D43" s="189"/>
      <c r="E43" s="190"/>
      <c r="F43" s="191"/>
      <c r="G43" s="16"/>
      <c r="H43" s="189" t="n">
        <v>0.175</v>
      </c>
      <c r="I43" s="190" t="n">
        <v>0.1</v>
      </c>
      <c r="J43" s="191" t="n">
        <f aca="false">H43*I43*1000</f>
        <v>17.5</v>
      </c>
      <c r="K43" s="16"/>
      <c r="L43" s="189" t="n">
        <v>0.075</v>
      </c>
      <c r="M43" s="190" t="n">
        <v>0.11</v>
      </c>
      <c r="N43" s="191" t="n">
        <f aca="false">+M43*L43*1000</f>
        <v>8.25</v>
      </c>
      <c r="O43" s="16"/>
      <c r="P43" s="189" t="n">
        <f aca="false">+H43+L43</f>
        <v>0.25</v>
      </c>
      <c r="Q43" s="190" t="n">
        <f aca="false">(R43/P43)/1000</f>
        <v>0.103</v>
      </c>
      <c r="R43" s="191" t="n">
        <f aca="false">+J43+N43</f>
        <v>25.75</v>
      </c>
    </row>
    <row r="44" customFormat="false" ht="12.75" hidden="false" customHeight="false" outlineLevel="0" collapsed="false">
      <c r="A44" s="187"/>
      <c r="B44" s="200" t="s">
        <v>301</v>
      </c>
      <c r="C44" s="149"/>
      <c r="D44" s="189"/>
      <c r="E44" s="190"/>
      <c r="F44" s="191"/>
      <c r="G44" s="16"/>
      <c r="H44" s="194" t="n">
        <v>0.77</v>
      </c>
      <c r="I44" s="195" t="n">
        <v>0.11</v>
      </c>
      <c r="J44" s="196" t="n">
        <f aca="false">H44*I44*1000</f>
        <v>84.7</v>
      </c>
      <c r="K44" s="16"/>
      <c r="L44" s="194" t="n">
        <v>0.33</v>
      </c>
      <c r="M44" s="195" t="n">
        <v>0.11</v>
      </c>
      <c r="N44" s="196" t="n">
        <f aca="false">+M44*L44*1000</f>
        <v>36.3</v>
      </c>
      <c r="O44" s="16"/>
      <c r="P44" s="194" t="n">
        <f aca="false">+H44+L44</f>
        <v>1.1</v>
      </c>
      <c r="Q44" s="195" t="n">
        <f aca="false">(R44/P44)/1000</f>
        <v>0.11</v>
      </c>
      <c r="R44" s="196" t="n">
        <f aca="false">+J44+N44</f>
        <v>121</v>
      </c>
    </row>
    <row r="45" customFormat="false" ht="12.75" hidden="false" customHeight="false" outlineLevel="0" collapsed="false">
      <c r="A45" s="187"/>
      <c r="B45" s="187" t="s">
        <v>302</v>
      </c>
      <c r="C45" s="149"/>
      <c r="D45" s="189"/>
      <c r="E45" s="190"/>
      <c r="F45" s="191"/>
      <c r="G45" s="16"/>
      <c r="H45" s="189" t="n">
        <f aca="false">SUM(H42:H44)</f>
        <v>1.995</v>
      </c>
      <c r="I45" s="190" t="n">
        <f aca="false">J45/H45/1000</f>
        <v>0.109122807017544</v>
      </c>
      <c r="J45" s="191" t="n">
        <f aca="false">SUM(J42:J44)</f>
        <v>217.7</v>
      </c>
      <c r="K45" s="16"/>
      <c r="L45" s="189" t="n">
        <f aca="false">SUM(L42:L44)</f>
        <v>0.855</v>
      </c>
      <c r="M45" s="190" t="n">
        <f aca="false">N45/L45/1000</f>
        <v>0.11</v>
      </c>
      <c r="N45" s="191" t="n">
        <f aca="false">SUM(N42:N44)</f>
        <v>94.05</v>
      </c>
      <c r="O45" s="16"/>
      <c r="P45" s="189" t="n">
        <f aca="false">SUM(P42:P44)</f>
        <v>2.85</v>
      </c>
      <c r="Q45" s="190" t="n">
        <f aca="false">(R45/P45)/1000</f>
        <v>0.109385964912281</v>
      </c>
      <c r="R45" s="191" t="n">
        <f aca="false">SUM(R42:R44)</f>
        <v>311.75</v>
      </c>
    </row>
    <row r="46" customFormat="false" ht="12.75" hidden="false" customHeight="false" outlineLevel="0" collapsed="false">
      <c r="A46" s="187"/>
      <c r="B46" s="187"/>
      <c r="C46" s="149"/>
      <c r="D46" s="189"/>
      <c r="E46" s="190"/>
      <c r="F46" s="191"/>
      <c r="G46" s="16"/>
      <c r="H46" s="189"/>
      <c r="I46" s="190"/>
      <c r="J46" s="191"/>
      <c r="K46" s="16"/>
      <c r="L46" s="189"/>
      <c r="M46" s="190"/>
      <c r="N46" s="191"/>
      <c r="O46" s="16"/>
      <c r="P46" s="189"/>
      <c r="Q46" s="190"/>
      <c r="R46" s="191"/>
    </row>
    <row r="47" customFormat="false" ht="12.75" hidden="false" customHeight="false" outlineLevel="0" collapsed="false">
      <c r="A47" s="187"/>
      <c r="B47" s="187" t="s">
        <v>303</v>
      </c>
      <c r="C47" s="149"/>
      <c r="D47" s="189"/>
      <c r="E47" s="190"/>
      <c r="F47" s="191"/>
      <c r="G47" s="16"/>
      <c r="H47" s="189" t="n">
        <f aca="false">+H45</f>
        <v>1.995</v>
      </c>
      <c r="I47" s="190" t="n">
        <f aca="false">J47/H47/1000</f>
        <v>0.109122807017544</v>
      </c>
      <c r="J47" s="191" t="n">
        <f aca="false">+J45</f>
        <v>217.7</v>
      </c>
      <c r="K47" s="16"/>
      <c r="L47" s="189" t="n">
        <f aca="false">+L45</f>
        <v>0.855</v>
      </c>
      <c r="M47" s="190" t="n">
        <f aca="false">N47/L47/1000</f>
        <v>0.11</v>
      </c>
      <c r="N47" s="191" t="n">
        <f aca="false">+N45</f>
        <v>94.05</v>
      </c>
      <c r="O47" s="16"/>
      <c r="P47" s="189" t="n">
        <f aca="false">+P45</f>
        <v>2.85</v>
      </c>
      <c r="Q47" s="190" t="n">
        <f aca="false">(R47/P47)/1000</f>
        <v>0.109385964912281</v>
      </c>
      <c r="R47" s="191" t="n">
        <f aca="false">+R45</f>
        <v>311.75</v>
      </c>
    </row>
    <row r="48" customFormat="false" ht="12.75" hidden="false" customHeight="false" outlineLevel="0" collapsed="false">
      <c r="A48" s="16"/>
      <c r="B48" s="16"/>
      <c r="C48" s="160"/>
      <c r="D48" s="24"/>
      <c r="E48" s="171"/>
      <c r="F48" s="84"/>
      <c r="G48" s="16"/>
      <c r="H48" s="24"/>
      <c r="I48" s="171"/>
      <c r="J48" s="84"/>
      <c r="K48" s="16"/>
      <c r="L48" s="24"/>
      <c r="M48" s="171"/>
      <c r="N48" s="84"/>
      <c r="O48" s="16"/>
      <c r="P48" s="24"/>
      <c r="Q48" s="171"/>
      <c r="R48" s="84"/>
    </row>
    <row r="49" customFormat="false" ht="12.75" hidden="false" customHeight="false" outlineLevel="0" collapsed="false">
      <c r="A49" s="187" t="s">
        <v>304</v>
      </c>
      <c r="B49" s="187"/>
      <c r="C49" s="149"/>
      <c r="D49" s="189"/>
      <c r="E49" s="187"/>
      <c r="F49" s="191"/>
      <c r="G49" s="16"/>
      <c r="H49" s="189"/>
      <c r="I49" s="187"/>
      <c r="J49" s="191" t="n">
        <v>1000</v>
      </c>
      <c r="K49" s="16"/>
      <c r="L49" s="189"/>
      <c r="M49" s="190"/>
      <c r="N49" s="191" t="n">
        <v>400</v>
      </c>
      <c r="O49" s="16"/>
      <c r="P49" s="189" t="s">
        <v>305</v>
      </c>
      <c r="Q49" s="187"/>
      <c r="R49" s="191" t="n">
        <f aca="false">+J49+N49</f>
        <v>1400</v>
      </c>
    </row>
    <row r="50" customFormat="false" ht="12.75" hidden="false" customHeight="false" outlineLevel="0" collapsed="false">
      <c r="A50" s="149"/>
      <c r="B50" s="149"/>
      <c r="C50" s="149"/>
      <c r="D50" s="24"/>
      <c r="E50" s="149"/>
      <c r="F50" s="84"/>
      <c r="G50" s="160"/>
      <c r="H50" s="24"/>
      <c r="I50" s="149"/>
      <c r="J50" s="84"/>
      <c r="K50" s="160"/>
      <c r="L50" s="24"/>
      <c r="M50" s="171"/>
      <c r="N50" s="84"/>
      <c r="O50" s="160"/>
      <c r="P50" s="24"/>
      <c r="Q50" s="149"/>
      <c r="R50" s="84"/>
    </row>
    <row r="51" customFormat="false" ht="12.75" hidden="false" customHeight="false" outlineLevel="0" collapsed="false">
      <c r="A51" s="187" t="s">
        <v>333</v>
      </c>
      <c r="B51" s="187"/>
      <c r="C51" s="149"/>
      <c r="D51" s="189"/>
      <c r="E51" s="187"/>
      <c r="F51" s="191" t="n">
        <v>0</v>
      </c>
      <c r="G51" s="16"/>
      <c r="H51" s="189"/>
      <c r="I51" s="187"/>
      <c r="J51" s="191" t="n">
        <v>0</v>
      </c>
      <c r="K51" s="16"/>
      <c r="L51" s="189"/>
      <c r="M51" s="190"/>
      <c r="N51" s="191" t="n">
        <v>2500</v>
      </c>
      <c r="O51" s="16"/>
      <c r="P51" s="189"/>
      <c r="Q51" s="187"/>
      <c r="R51" s="191" t="n">
        <f aca="false">+J51+N51</f>
        <v>2500</v>
      </c>
    </row>
    <row r="52" customFormat="false" ht="12.75" hidden="false" customHeight="false" outlineLevel="0" collapsed="false">
      <c r="A52" s="16"/>
      <c r="B52" s="16"/>
      <c r="C52" s="160"/>
      <c r="D52" s="24"/>
      <c r="E52" s="174"/>
      <c r="F52" s="84"/>
      <c r="G52" s="16"/>
      <c r="H52" s="24"/>
      <c r="I52" s="174"/>
      <c r="J52" s="84"/>
      <c r="K52" s="16"/>
      <c r="L52" s="24"/>
      <c r="M52" s="174"/>
      <c r="N52" s="84"/>
      <c r="O52" s="16"/>
      <c r="P52" s="24"/>
      <c r="Q52" s="174"/>
      <c r="R52" s="84"/>
    </row>
    <row r="53" customFormat="false" ht="12.75" hidden="false" customHeight="false" outlineLevel="0" collapsed="false">
      <c r="A53" s="16" t="s">
        <v>307</v>
      </c>
      <c r="B53" s="16"/>
      <c r="C53" s="160"/>
      <c r="D53" s="16"/>
      <c r="E53" s="174"/>
      <c r="F53" s="175" t="n">
        <f aca="false">F16+F31+F38+F47+F49+F51</f>
        <v>0</v>
      </c>
      <c r="G53" s="16"/>
      <c r="H53" s="16"/>
      <c r="I53" s="174"/>
      <c r="J53" s="175" t="n">
        <f aca="false">J16+J31+J38+J47+J49+J51</f>
        <v>12190.574</v>
      </c>
      <c r="K53" s="16"/>
      <c r="L53" s="16"/>
      <c r="M53" s="174"/>
      <c r="N53" s="175" t="n">
        <f aca="false">N16+N31+N38+N47+N49+N51</f>
        <v>5135.05</v>
      </c>
      <c r="O53" s="16"/>
      <c r="P53" s="16"/>
      <c r="Q53" s="174"/>
      <c r="R53" s="175" t="n">
        <f aca="false">R16+R31+R38+R47+R49+R51</f>
        <v>17325.624</v>
      </c>
    </row>
    <row r="54" customFormat="false" ht="12.75" hidden="false" customHeight="false" outlineLevel="0" collapsed="false">
      <c r="A54" s="16"/>
      <c r="B54" s="16"/>
      <c r="C54" s="160"/>
      <c r="D54" s="16"/>
      <c r="E54" s="174"/>
      <c r="F54" s="84"/>
      <c r="G54" s="16"/>
      <c r="H54" s="16"/>
      <c r="I54" s="174"/>
      <c r="J54" s="84"/>
      <c r="K54" s="16"/>
      <c r="L54" s="16"/>
      <c r="M54" s="174"/>
      <c r="N54" s="84"/>
      <c r="O54" s="16"/>
      <c r="P54" s="16"/>
      <c r="Q54" s="174"/>
      <c r="R54" s="84"/>
    </row>
    <row r="55" customFormat="false" ht="15" hidden="false" customHeight="false" outlineLevel="0" collapsed="false">
      <c r="A55" s="201"/>
      <c r="B55" s="135"/>
      <c r="D55" s="202"/>
      <c r="E55" s="174"/>
      <c r="F55" s="84"/>
      <c r="H55" s="176"/>
      <c r="L55" s="176"/>
      <c r="P55" s="176"/>
    </row>
    <row r="56" customFormat="false" ht="15" hidden="false" customHeight="false" outlineLevel="0" collapsed="false">
      <c r="A56" s="137" t="s">
        <v>261</v>
      </c>
      <c r="D56" s="138" t="n">
        <f aca="false">+D4</f>
        <v>37147</v>
      </c>
      <c r="H56" s="0"/>
      <c r="L56" s="0"/>
      <c r="P56" s="138"/>
    </row>
    <row r="57" customFormat="false" ht="15" hidden="false" customHeight="false" outlineLevel="0" collapsed="false">
      <c r="A57" s="137"/>
      <c r="D57" s="139" t="str">
        <f aca="false">+D5</f>
        <v>Contracted</v>
      </c>
      <c r="E57" s="139"/>
      <c r="F57" s="139"/>
      <c r="H57" s="139" t="str">
        <f aca="false">+H5</f>
        <v>Uncontracted</v>
      </c>
      <c r="I57" s="139"/>
      <c r="J57" s="139"/>
      <c r="L57" s="139" t="str">
        <f aca="false">+L5</f>
        <v>Stretch</v>
      </c>
      <c r="M57" s="139"/>
      <c r="N57" s="139"/>
      <c r="P57" s="139" t="s">
        <v>265</v>
      </c>
      <c r="Q57" s="139"/>
      <c r="R57" s="139"/>
    </row>
    <row r="59" customFormat="false" ht="25.5" hidden="false" customHeight="false" outlineLevel="0" collapsed="false">
      <c r="A59" s="140" t="s">
        <v>266</v>
      </c>
      <c r="B59" s="140" t="s">
        <v>50</v>
      </c>
      <c r="C59" s="141"/>
      <c r="D59" s="142" t="s">
        <v>267</v>
      </c>
      <c r="E59" s="143" t="s">
        <v>268</v>
      </c>
      <c r="F59" s="144" t="s">
        <v>269</v>
      </c>
      <c r="G59" s="140"/>
      <c r="H59" s="142" t="s">
        <v>267</v>
      </c>
      <c r="I59" s="143" t="s">
        <v>268</v>
      </c>
      <c r="J59" s="144" t="s">
        <v>269</v>
      </c>
      <c r="K59" s="140"/>
      <c r="L59" s="142" t="s">
        <v>267</v>
      </c>
      <c r="M59" s="143" t="s">
        <v>268</v>
      </c>
      <c r="N59" s="144" t="s">
        <v>269</v>
      </c>
      <c r="O59" s="140"/>
      <c r="P59" s="142" t="s">
        <v>267</v>
      </c>
      <c r="Q59" s="143" t="s">
        <v>268</v>
      </c>
      <c r="R59" s="144" t="s">
        <v>269</v>
      </c>
    </row>
    <row r="60" customFormat="false" ht="13.5" hidden="false" customHeight="false" outlineLevel="0" collapsed="false">
      <c r="A60" s="16"/>
      <c r="B60" s="16"/>
      <c r="C60" s="160"/>
      <c r="D60" s="24"/>
      <c r="E60" s="174"/>
      <c r="F60" s="84"/>
      <c r="G60" s="16"/>
      <c r="H60" s="24"/>
      <c r="I60" s="174"/>
      <c r="J60" s="84"/>
      <c r="K60" s="16"/>
      <c r="L60" s="24"/>
      <c r="M60" s="174"/>
      <c r="N60" s="84"/>
      <c r="O60" s="16"/>
      <c r="P60" s="24"/>
      <c r="Q60" s="174"/>
      <c r="R60" s="84"/>
    </row>
    <row r="61" customFormat="false" ht="13.5" hidden="false" customHeight="false" outlineLevel="0" collapsed="false">
      <c r="A61" s="177" t="s">
        <v>309</v>
      </c>
      <c r="B61" s="16"/>
      <c r="C61" s="160"/>
      <c r="D61" s="0"/>
      <c r="E61" s="174"/>
      <c r="F61" s="84"/>
      <c r="G61" s="16"/>
      <c r="H61" s="24"/>
      <c r="I61" s="174"/>
      <c r="J61" s="84"/>
      <c r="K61" s="16"/>
      <c r="L61" s="24"/>
      <c r="M61" s="174"/>
      <c r="N61" s="84"/>
      <c r="O61" s="16"/>
      <c r="P61" s="24"/>
      <c r="Q61" s="174"/>
      <c r="R61" s="84"/>
    </row>
    <row r="62" customFormat="false" ht="12.75" hidden="false" customHeight="false" outlineLevel="0" collapsed="false">
      <c r="A62" s="16"/>
      <c r="B62" s="16"/>
      <c r="C62" s="160"/>
      <c r="D62" s="24"/>
      <c r="E62" s="174"/>
      <c r="F62" s="84"/>
      <c r="G62" s="16"/>
      <c r="H62" s="24"/>
      <c r="I62" s="174"/>
      <c r="J62" s="84"/>
      <c r="K62" s="16"/>
      <c r="L62" s="24"/>
      <c r="M62" s="174"/>
      <c r="N62" s="84"/>
      <c r="O62" s="16"/>
      <c r="P62" s="24"/>
      <c r="Q62" s="174"/>
      <c r="R62" s="84"/>
    </row>
    <row r="63" customFormat="false" ht="12.75" hidden="false" customHeight="false" outlineLevel="0" collapsed="false">
      <c r="A63" s="187" t="s">
        <v>310</v>
      </c>
      <c r="B63" s="187"/>
      <c r="C63" s="149"/>
      <c r="D63" s="189" t="n">
        <v>7.52028701903467</v>
      </c>
      <c r="E63" s="203" t="n">
        <v>1.471</v>
      </c>
      <c r="F63" s="191" t="n">
        <v>11062.342205</v>
      </c>
      <c r="G63" s="16"/>
      <c r="H63" s="189" t="n">
        <v>1.90006798096533</v>
      </c>
      <c r="I63" s="203" t="n">
        <v>1.471</v>
      </c>
      <c r="J63" s="191" t="n">
        <v>2795</v>
      </c>
      <c r="K63" s="16"/>
      <c r="L63" s="189"/>
      <c r="M63" s="203"/>
      <c r="N63" s="191"/>
      <c r="O63" s="16"/>
      <c r="P63" s="189" t="n">
        <f aca="false">D63+H63</f>
        <v>9.420355</v>
      </c>
      <c r="Q63" s="203" t="n">
        <v>1.471</v>
      </c>
      <c r="R63" s="191" t="n">
        <f aca="false">F63+J63</f>
        <v>13857.342205</v>
      </c>
    </row>
    <row r="64" customFormat="false" ht="12.75" hidden="false" customHeight="false" outlineLevel="0" collapsed="false">
      <c r="A64" s="187"/>
      <c r="B64" s="187"/>
      <c r="C64" s="149"/>
      <c r="D64" s="189"/>
      <c r="E64" s="203"/>
      <c r="F64" s="191"/>
      <c r="G64" s="16"/>
      <c r="H64" s="189"/>
      <c r="I64" s="203"/>
      <c r="J64" s="191"/>
      <c r="K64" s="16"/>
      <c r="L64" s="189"/>
      <c r="M64" s="203"/>
      <c r="N64" s="191"/>
      <c r="O64" s="16"/>
      <c r="P64" s="189"/>
      <c r="Q64" s="203"/>
      <c r="R64" s="191"/>
    </row>
    <row r="65" customFormat="false" ht="12.75" hidden="false" customHeight="false" outlineLevel="0" collapsed="false">
      <c r="A65" s="187" t="s">
        <v>51</v>
      </c>
      <c r="B65" s="187"/>
      <c r="C65" s="149"/>
      <c r="D65" s="189" t="n">
        <v>35.9981970607446</v>
      </c>
      <c r="E65" s="203" t="n">
        <v>0.3062</v>
      </c>
      <c r="F65" s="191" t="n">
        <v>11022.64794</v>
      </c>
      <c r="G65" s="16"/>
      <c r="H65" s="189" t="n">
        <v>9.33050293925539</v>
      </c>
      <c r="I65" s="203" t="n">
        <v>0.3062</v>
      </c>
      <c r="J65" s="191" t="n">
        <v>2857</v>
      </c>
      <c r="K65" s="16"/>
      <c r="L65" s="189"/>
      <c r="M65" s="203"/>
      <c r="N65" s="191"/>
      <c r="O65" s="16"/>
      <c r="P65" s="189" t="n">
        <f aca="false">D65+H65</f>
        <v>45.3287</v>
      </c>
      <c r="Q65" s="203" t="n">
        <f aca="false">(R65/1000)/P65</f>
        <v>0.3062</v>
      </c>
      <c r="R65" s="191" t="n">
        <f aca="false">F65+J65</f>
        <v>13879.64794</v>
      </c>
    </row>
    <row r="66" customFormat="false" ht="12.75" hidden="false" customHeight="false" outlineLevel="0" collapsed="false">
      <c r="A66" s="187"/>
      <c r="B66" s="187"/>
      <c r="C66" s="149"/>
      <c r="D66" s="189"/>
      <c r="E66" s="203"/>
      <c r="F66" s="191"/>
      <c r="G66" s="16"/>
      <c r="H66" s="189"/>
      <c r="I66" s="203"/>
      <c r="J66" s="191"/>
      <c r="K66" s="16"/>
      <c r="L66" s="189"/>
      <c r="M66" s="203"/>
      <c r="N66" s="191"/>
      <c r="O66" s="16"/>
      <c r="P66" s="189"/>
      <c r="Q66" s="203"/>
      <c r="R66" s="191"/>
    </row>
    <row r="67" customFormat="false" ht="12.75" hidden="false" customHeight="false" outlineLevel="0" collapsed="false">
      <c r="A67" s="187" t="s">
        <v>311</v>
      </c>
      <c r="B67" s="187"/>
      <c r="C67" s="149"/>
      <c r="D67" s="189"/>
      <c r="E67" s="203"/>
      <c r="F67" s="191"/>
      <c r="G67" s="16"/>
      <c r="H67" s="189" t="n">
        <v>89.5</v>
      </c>
      <c r="I67" s="203" t="n">
        <v>0.0128</v>
      </c>
      <c r="J67" s="191" t="n">
        <f aca="false">H67*I67*1000</f>
        <v>1145.6</v>
      </c>
      <c r="K67" s="16"/>
      <c r="L67" s="189"/>
      <c r="M67" s="203"/>
      <c r="N67" s="191"/>
      <c r="O67" s="16"/>
      <c r="P67" s="189" t="n">
        <f aca="false">D67+H67</f>
        <v>89.5</v>
      </c>
      <c r="Q67" s="203" t="n">
        <f aca="false">(R67/1000)/P67</f>
        <v>0.0128</v>
      </c>
      <c r="R67" s="191" t="n">
        <f aca="false">F67+J67</f>
        <v>1145.6</v>
      </c>
    </row>
    <row r="68" customFormat="false" ht="12.75" hidden="false" customHeight="false" outlineLevel="0" collapsed="false">
      <c r="A68" s="187"/>
      <c r="B68" s="187"/>
      <c r="C68" s="149"/>
      <c r="D68" s="189"/>
      <c r="E68" s="203"/>
      <c r="F68" s="191"/>
      <c r="G68" s="16"/>
      <c r="H68" s="189"/>
      <c r="I68" s="203"/>
      <c r="J68" s="191"/>
      <c r="K68" s="16"/>
      <c r="L68" s="189"/>
      <c r="M68" s="203"/>
      <c r="N68" s="191"/>
      <c r="O68" s="16"/>
      <c r="P68" s="189"/>
      <c r="Q68" s="203"/>
      <c r="R68" s="191"/>
    </row>
    <row r="69" customFormat="false" ht="12.75" hidden="false" customHeight="false" outlineLevel="0" collapsed="false">
      <c r="A69" s="187" t="s">
        <v>312</v>
      </c>
      <c r="B69" s="187"/>
      <c r="C69" s="149"/>
      <c r="D69" s="189"/>
      <c r="E69" s="203"/>
      <c r="F69" s="191"/>
      <c r="G69" s="16"/>
      <c r="H69" s="189" t="n">
        <v>8.75</v>
      </c>
      <c r="I69" s="203" t="n">
        <v>0.04</v>
      </c>
      <c r="J69" s="191" t="n">
        <f aca="false">H69*I69*1000</f>
        <v>350</v>
      </c>
      <c r="K69" s="16"/>
      <c r="L69" s="189"/>
      <c r="M69" s="203"/>
      <c r="N69" s="191"/>
      <c r="O69" s="16"/>
      <c r="P69" s="189" t="n">
        <f aca="false">D69+H69</f>
        <v>8.75</v>
      </c>
      <c r="Q69" s="203" t="n">
        <f aca="false">(R69/1000)/P69</f>
        <v>0.04</v>
      </c>
      <c r="R69" s="191" t="n">
        <f aca="false">F69+J69</f>
        <v>350</v>
      </c>
    </row>
    <row r="70" customFormat="false" ht="12.75" hidden="false" customHeight="false" outlineLevel="0" collapsed="false">
      <c r="A70" s="187"/>
      <c r="B70" s="187"/>
      <c r="C70" s="149"/>
      <c r="D70" s="189"/>
      <c r="E70" s="203"/>
      <c r="F70" s="191"/>
      <c r="G70" s="16"/>
      <c r="H70" s="189"/>
      <c r="I70" s="203"/>
      <c r="J70" s="191"/>
      <c r="K70" s="16"/>
      <c r="L70" s="189"/>
      <c r="M70" s="203"/>
      <c r="N70" s="191"/>
      <c r="O70" s="16"/>
      <c r="P70" s="189"/>
      <c r="Q70" s="203"/>
      <c r="R70" s="191"/>
    </row>
    <row r="71" customFormat="false" ht="12.75" hidden="false" customHeight="false" outlineLevel="0" collapsed="false">
      <c r="A71" s="187" t="s">
        <v>313</v>
      </c>
      <c r="B71" s="187"/>
      <c r="C71" s="149"/>
      <c r="D71" s="189"/>
      <c r="E71" s="203"/>
      <c r="F71" s="191"/>
      <c r="G71" s="16"/>
      <c r="H71" s="204" t="n">
        <v>1.9</v>
      </c>
      <c r="I71" s="203" t="n">
        <v>0.0761</v>
      </c>
      <c r="J71" s="191" t="n">
        <f aca="false">H71*I71*1000</f>
        <v>144.59</v>
      </c>
      <c r="K71" s="16"/>
      <c r="L71" s="189"/>
      <c r="M71" s="203"/>
      <c r="N71" s="191"/>
      <c r="O71" s="16"/>
      <c r="P71" s="189" t="n">
        <f aca="false">D71+H71</f>
        <v>1.9</v>
      </c>
      <c r="Q71" s="203" t="n">
        <f aca="false">(R71/1000)/P71</f>
        <v>0.0761</v>
      </c>
      <c r="R71" s="191" t="n">
        <f aca="false">F71+J71</f>
        <v>144.59</v>
      </c>
    </row>
    <row r="72" customFormat="false" ht="12.75" hidden="false" customHeight="false" outlineLevel="0" collapsed="false">
      <c r="A72" s="187"/>
      <c r="B72" s="187"/>
      <c r="C72" s="149"/>
      <c r="D72" s="189"/>
      <c r="E72" s="203"/>
      <c r="F72" s="191"/>
      <c r="G72" s="16"/>
      <c r="H72" s="189"/>
      <c r="I72" s="203"/>
      <c r="J72" s="191"/>
      <c r="K72" s="16"/>
      <c r="L72" s="189"/>
      <c r="M72" s="203"/>
      <c r="N72" s="191"/>
      <c r="O72" s="16"/>
      <c r="P72" s="189"/>
      <c r="Q72" s="203"/>
      <c r="R72" s="191"/>
    </row>
    <row r="73" customFormat="false" ht="12.75" hidden="false" customHeight="false" outlineLevel="0" collapsed="false">
      <c r="A73" s="187"/>
      <c r="B73" s="187"/>
      <c r="C73" s="149"/>
      <c r="D73" s="189"/>
      <c r="E73" s="203"/>
      <c r="F73" s="191"/>
      <c r="G73" s="16"/>
      <c r="H73" s="189"/>
      <c r="I73" s="203"/>
      <c r="J73" s="191"/>
      <c r="K73" s="16"/>
      <c r="L73" s="189"/>
      <c r="M73" s="203"/>
      <c r="N73" s="191"/>
      <c r="O73" s="16"/>
      <c r="P73" s="189"/>
      <c r="Q73" s="203"/>
      <c r="R73" s="191"/>
    </row>
    <row r="74" customFormat="false" ht="12.75" hidden="false" customHeight="false" outlineLevel="0" collapsed="false">
      <c r="A74" s="16"/>
      <c r="B74" s="16"/>
      <c r="C74" s="160"/>
      <c r="D74" s="24"/>
      <c r="E74" s="174"/>
      <c r="F74" s="84"/>
      <c r="G74" s="16"/>
      <c r="H74" s="24"/>
      <c r="I74" s="174"/>
      <c r="J74" s="84"/>
      <c r="K74" s="16"/>
      <c r="L74" s="24"/>
      <c r="M74" s="174"/>
      <c r="N74" s="84"/>
      <c r="O74" s="16"/>
      <c r="P74" s="24"/>
      <c r="Q74" s="174"/>
      <c r="R74" s="84"/>
    </row>
    <row r="75" customFormat="false" ht="12.75" hidden="false" customHeight="false" outlineLevel="0" collapsed="false">
      <c r="A75" s="16" t="s">
        <v>314</v>
      </c>
      <c r="B75" s="16"/>
      <c r="C75" s="160"/>
      <c r="D75" s="16"/>
      <c r="E75" s="174"/>
      <c r="F75" s="175" t="n">
        <f aca="false">SUM(F63:F74)</f>
        <v>22084.990145</v>
      </c>
      <c r="G75" s="16"/>
      <c r="H75" s="16"/>
      <c r="I75" s="174"/>
      <c r="J75" s="175" t="n">
        <f aca="false">SUM(J63:J74)</f>
        <v>7292.19</v>
      </c>
      <c r="K75" s="16"/>
      <c r="L75" s="16"/>
      <c r="M75" s="174"/>
      <c r="N75" s="175" t="n">
        <f aca="false">SUM(N63:N74)</f>
        <v>0</v>
      </c>
      <c r="O75" s="16"/>
      <c r="P75" s="16"/>
      <c r="Q75" s="174"/>
      <c r="R75" s="175" t="n">
        <f aca="false">SUM(R63:R74)</f>
        <v>29377.180145</v>
      </c>
    </row>
    <row r="76" customFormat="false" ht="12.75" hidden="false" customHeight="false" outlineLevel="0" collapsed="false">
      <c r="A76" s="16"/>
      <c r="B76" s="16"/>
      <c r="C76" s="160"/>
      <c r="D76" s="16"/>
      <c r="E76" s="174"/>
      <c r="F76" s="84"/>
      <c r="G76" s="16"/>
      <c r="H76" s="16"/>
      <c r="I76" s="174"/>
      <c r="J76" s="84"/>
      <c r="K76" s="16"/>
      <c r="L76" s="16"/>
      <c r="M76" s="174"/>
      <c r="N76" s="84"/>
      <c r="O76" s="16"/>
      <c r="P76" s="16"/>
      <c r="Q76" s="174"/>
      <c r="R76" s="84"/>
    </row>
    <row r="77" customFormat="false" ht="12.75" hidden="false" customHeight="false" outlineLevel="0" collapsed="false">
      <c r="A77" s="16"/>
      <c r="B77" s="16"/>
      <c r="C77" s="160"/>
      <c r="D77" s="24"/>
      <c r="E77" s="174"/>
      <c r="F77" s="84"/>
      <c r="G77" s="16"/>
      <c r="H77" s="24"/>
      <c r="I77" s="174"/>
      <c r="J77" s="84"/>
      <c r="K77" s="16"/>
      <c r="L77" s="24"/>
      <c r="M77" s="174"/>
      <c r="N77" s="84"/>
      <c r="O77" s="16"/>
      <c r="P77" s="24"/>
      <c r="Q77" s="174"/>
      <c r="R77" s="84"/>
    </row>
    <row r="78" customFormat="false" ht="12.75" hidden="false" customHeight="false" outlineLevel="0" collapsed="false">
      <c r="A78" s="16" t="s">
        <v>315</v>
      </c>
      <c r="B78" s="16"/>
      <c r="C78" s="160"/>
      <c r="D78" s="24"/>
      <c r="E78" s="174"/>
      <c r="F78" s="179" t="n">
        <f aca="false">F53+F75</f>
        <v>22084.990145</v>
      </c>
      <c r="G78" s="16"/>
      <c r="H78" s="24"/>
      <c r="I78" s="174"/>
      <c r="J78" s="179" t="n">
        <f aca="false">J53+J75</f>
        <v>19482.764</v>
      </c>
      <c r="K78" s="16"/>
      <c r="L78" s="24"/>
      <c r="M78" s="174"/>
      <c r="N78" s="179" t="n">
        <f aca="false">N53+N75</f>
        <v>5135.05</v>
      </c>
      <c r="O78" s="16"/>
      <c r="P78" s="24"/>
      <c r="Q78" s="174"/>
      <c r="R78" s="179" t="n">
        <f aca="false">R53+R75</f>
        <v>46702.804145</v>
      </c>
    </row>
  </sheetData>
  <mergeCells count="10">
    <mergeCell ref="A1:R1"/>
    <mergeCell ref="A2:R2"/>
    <mergeCell ref="D5:F5"/>
    <mergeCell ref="H5:J5"/>
    <mergeCell ref="L5:N5"/>
    <mergeCell ref="P5:R5"/>
    <mergeCell ref="D57:F57"/>
    <mergeCell ref="H57:J57"/>
    <mergeCell ref="L57:N57"/>
    <mergeCell ref="P57:R57"/>
  </mergeCells>
  <printOptions headings="false" gridLines="false" gridLinesSet="true" horizontalCentered="true" verticalCentered="false"/>
  <pageMargins left="0.25" right="0.747916666666667" top="0" bottom="0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4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1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C17" activeCellId="0" sqref="C17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205" width="29.41"/>
    <col collapsed="false" customWidth="true" hidden="false" outlineLevel="0" max="2" min="2" style="205" width="1.13"/>
    <col collapsed="false" customWidth="true" hidden="false" outlineLevel="0" max="3" min="3" style="205" width="14.99"/>
    <col collapsed="false" customWidth="true" hidden="false" outlineLevel="0" max="4" min="4" style="205" width="4.7"/>
    <col collapsed="false" customWidth="true" hidden="false" outlineLevel="0" max="5" min="5" style="205" width="14.99"/>
    <col collapsed="false" customWidth="true" hidden="false" outlineLevel="0" max="6" min="6" style="205" width="11.56"/>
    <col collapsed="false" customWidth="true" hidden="false" outlineLevel="0" max="7" min="7" style="205" width="14.99"/>
    <col collapsed="false" customWidth="true" hidden="false" outlineLevel="0" max="8" min="8" style="205" width="4.7"/>
    <col collapsed="false" customWidth="true" hidden="false" outlineLevel="0" max="9" min="9" style="205" width="14.99"/>
    <col collapsed="false" customWidth="true" hidden="false" outlineLevel="0" max="10" min="10" style="205" width="4.7"/>
    <col collapsed="false" customWidth="true" hidden="false" outlineLevel="0" max="11" min="11" style="205" width="14.99"/>
    <col collapsed="false" customWidth="true" hidden="false" outlineLevel="0" max="12" min="12" style="205" width="11.56"/>
    <col collapsed="false" customWidth="true" hidden="false" outlineLevel="0" max="13" min="13" style="205" width="14.99"/>
    <col collapsed="false" customWidth="true" hidden="false" outlineLevel="0" max="14" min="14" style="205" width="4.99"/>
    <col collapsed="false" customWidth="true" hidden="false" outlineLevel="0" max="15" min="15" style="205" width="14.99"/>
    <col collapsed="false" customWidth="false" hidden="false" outlineLevel="0" max="257" min="16" style="205" width="8.85"/>
  </cols>
  <sheetData>
    <row r="1" customFormat="false" ht="12.75" hidden="false" customHeight="false" outlineLevel="0" collapsed="false">
      <c r="A1" s="0"/>
    </row>
    <row r="3" customFormat="false" ht="18.75" hidden="false" customHeight="false" outlineLevel="0" collapsed="false">
      <c r="A3" s="206"/>
    </row>
    <row r="4" customFormat="false" ht="18" hidden="false" customHeight="false" outlineLevel="0" collapsed="false">
      <c r="A4" s="207" t="s">
        <v>0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</row>
    <row r="5" customFormat="false" ht="18" hidden="false" customHeight="false" outlineLevel="0" collapsed="false">
      <c r="A5" s="207" t="s">
        <v>334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</row>
    <row r="6" customFormat="false" ht="18" hidden="false" customHeight="false" outlineLevel="0" collapsed="false">
      <c r="A6" s="207" t="s">
        <v>335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</row>
    <row r="7" customFormat="false" ht="12.75" hidden="false" customHeight="false" outlineLevel="0" collapsed="false">
      <c r="A7" s="208" t="s">
        <v>4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</row>
    <row r="10" customFormat="false" ht="15.75" hidden="false" customHeight="false" outlineLevel="0" collapsed="false">
      <c r="C10" s="209"/>
      <c r="D10" s="107"/>
      <c r="E10" s="36" t="s">
        <v>336</v>
      </c>
      <c r="F10" s="36"/>
      <c r="G10" s="36"/>
      <c r="H10" s="107"/>
      <c r="I10" s="209"/>
      <c r="J10" s="210"/>
      <c r="K10" s="36" t="s">
        <v>337</v>
      </c>
      <c r="L10" s="36"/>
      <c r="M10" s="36"/>
      <c r="N10" s="107"/>
      <c r="O10" s="209"/>
      <c r="P10" s="0"/>
      <c r="Q10" s="0"/>
      <c r="R10" s="0"/>
    </row>
    <row r="11" customFormat="false" ht="12.75" hidden="false" customHeight="false" outlineLevel="0" collapsed="false">
      <c r="D11" s="107"/>
      <c r="H11" s="107"/>
      <c r="N11" s="107"/>
      <c r="P11" s="0"/>
      <c r="Q11" s="0"/>
      <c r="R11" s="0"/>
    </row>
    <row r="12" customFormat="false" ht="12.75" hidden="false" customHeight="false" outlineLevel="0" collapsed="false">
      <c r="C12" s="211" t="s">
        <v>338</v>
      </c>
      <c r="E12" s="212"/>
      <c r="F12" s="213"/>
      <c r="G12" s="214"/>
      <c r="H12" s="205" t="s">
        <v>278</v>
      </c>
      <c r="I12" s="211" t="s">
        <v>338</v>
      </c>
      <c r="K12" s="212"/>
      <c r="L12" s="213" t="s">
        <v>278</v>
      </c>
      <c r="M12" s="214" t="s">
        <v>278</v>
      </c>
      <c r="O12" s="211" t="s">
        <v>338</v>
      </c>
      <c r="P12" s="0"/>
      <c r="Q12" s="0"/>
      <c r="R12" s="0"/>
    </row>
    <row r="13" customFormat="false" ht="12.75" hidden="false" customHeight="false" outlineLevel="0" collapsed="false">
      <c r="C13" s="215" t="s">
        <v>339</v>
      </c>
      <c r="D13" s="216" t="s">
        <v>278</v>
      </c>
      <c r="E13" s="217"/>
      <c r="F13" s="208" t="s">
        <v>340</v>
      </c>
      <c r="G13" s="218" t="s">
        <v>341</v>
      </c>
      <c r="H13" s="216"/>
      <c r="I13" s="215" t="n">
        <v>2001</v>
      </c>
      <c r="J13" s="208"/>
      <c r="K13" s="217"/>
      <c r="L13" s="208" t="s">
        <v>340</v>
      </c>
      <c r="M13" s="218" t="s">
        <v>341</v>
      </c>
      <c r="N13" s="216"/>
      <c r="O13" s="215" t="s">
        <v>342</v>
      </c>
      <c r="P13" s="0"/>
      <c r="Q13" s="0"/>
      <c r="R13" s="0"/>
    </row>
    <row r="14" customFormat="false" ht="12.75" hidden="false" customHeight="false" outlineLevel="0" collapsed="false">
      <c r="C14" s="219" t="s">
        <v>343</v>
      </c>
      <c r="D14" s="220" t="s">
        <v>278</v>
      </c>
      <c r="E14" s="221" t="s">
        <v>344</v>
      </c>
      <c r="F14" s="222" t="s">
        <v>345</v>
      </c>
      <c r="G14" s="223"/>
      <c r="H14" s="220"/>
      <c r="I14" s="219" t="s">
        <v>343</v>
      </c>
      <c r="J14" s="224"/>
      <c r="K14" s="221" t="s">
        <v>344</v>
      </c>
      <c r="L14" s="222" t="s">
        <v>345</v>
      </c>
      <c r="M14" s="223"/>
      <c r="N14" s="220"/>
      <c r="O14" s="219" t="s">
        <v>343</v>
      </c>
      <c r="P14" s="0"/>
      <c r="Q14" s="0"/>
      <c r="R14" s="0"/>
    </row>
    <row r="15" customFormat="false" ht="12.75" hidden="false" customHeight="false" outlineLevel="0" collapsed="false">
      <c r="C15" s="14"/>
      <c r="D15" s="208"/>
      <c r="E15" s="69"/>
      <c r="G15" s="225"/>
      <c r="H15" s="208"/>
      <c r="I15" s="14"/>
      <c r="K15" s="69"/>
      <c r="L15" s="14"/>
      <c r="M15" s="225"/>
      <c r="N15" s="208"/>
      <c r="O15" s="14"/>
      <c r="P15" s="0"/>
      <c r="Q15" s="0"/>
      <c r="R15" s="0"/>
    </row>
    <row r="16" customFormat="false" ht="12.75" hidden="false" customHeight="false" outlineLevel="0" collapsed="false">
      <c r="C16" s="14"/>
      <c r="D16" s="226"/>
      <c r="E16" s="69"/>
      <c r="F16" s="227"/>
      <c r="G16" s="225"/>
      <c r="H16" s="226"/>
      <c r="I16" s="14"/>
      <c r="J16" s="227"/>
      <c r="K16" s="69"/>
      <c r="L16" s="14"/>
      <c r="M16" s="225"/>
      <c r="N16" s="226"/>
      <c r="O16" s="14"/>
      <c r="P16" s="0"/>
      <c r="Q16" s="0"/>
      <c r="R16" s="0"/>
    </row>
    <row r="17" customFormat="false" ht="12.75" hidden="false" customHeight="false" outlineLevel="0" collapsed="false">
      <c r="A17" s="205" t="s">
        <v>346</v>
      </c>
      <c r="C17" s="228" t="n">
        <v>361.3</v>
      </c>
      <c r="D17" s="227"/>
      <c r="E17" s="229" t="n">
        <v>9.1</v>
      </c>
      <c r="F17" s="227"/>
      <c r="G17" s="230" t="n">
        <f aca="false">2.7+0.3</f>
        <v>3</v>
      </c>
      <c r="H17" s="227"/>
      <c r="I17" s="228" t="n">
        <f aca="false">SUM(C17:H17)</f>
        <v>373.4</v>
      </c>
      <c r="J17" s="227"/>
      <c r="K17" s="229" t="n">
        <f aca="false">6.4</f>
        <v>6.4</v>
      </c>
      <c r="L17" s="14"/>
      <c r="M17" s="230" t="n">
        <f aca="false">5.4+0.6</f>
        <v>6</v>
      </c>
      <c r="N17" s="227"/>
      <c r="O17" s="228" t="n">
        <f aca="false">SUM(I17:N17)</f>
        <v>385.8</v>
      </c>
      <c r="P17" s="0"/>
      <c r="Q17" s="0"/>
      <c r="R17" s="0"/>
    </row>
    <row r="18" customFormat="false" ht="12.75" hidden="false" customHeight="false" outlineLevel="0" collapsed="false">
      <c r="C18" s="14"/>
      <c r="D18" s="227"/>
      <c r="E18" s="229"/>
      <c r="F18" s="227"/>
      <c r="G18" s="230"/>
      <c r="H18" s="227"/>
      <c r="I18" s="228"/>
      <c r="J18" s="227"/>
      <c r="K18" s="229"/>
      <c r="L18" s="14"/>
      <c r="M18" s="225"/>
      <c r="N18" s="227"/>
      <c r="O18" s="228"/>
      <c r="P18" s="0"/>
      <c r="Q18" s="0"/>
      <c r="R18" s="0"/>
    </row>
    <row r="19" customFormat="false" ht="12.75" hidden="false" customHeight="false" outlineLevel="0" collapsed="false">
      <c r="A19" s="205" t="s">
        <v>347</v>
      </c>
      <c r="C19" s="228" t="n">
        <v>19.3</v>
      </c>
      <c r="D19" s="227"/>
      <c r="E19" s="229" t="n">
        <v>0</v>
      </c>
      <c r="F19" s="227"/>
      <c r="G19" s="230"/>
      <c r="H19" s="227"/>
      <c r="I19" s="228" t="n">
        <f aca="false">SUM(C19:H19)</f>
        <v>19.3</v>
      </c>
      <c r="J19" s="227"/>
      <c r="K19" s="229" t="n">
        <v>0</v>
      </c>
      <c r="L19" s="14"/>
      <c r="M19" s="231"/>
      <c r="N19" s="227"/>
      <c r="O19" s="228" t="n">
        <f aca="false">SUM(I19:N19)</f>
        <v>19.3</v>
      </c>
      <c r="P19" s="0"/>
      <c r="Q19" s="0"/>
      <c r="R19" s="0"/>
    </row>
    <row r="20" customFormat="false" ht="12.75" hidden="false" customHeight="false" outlineLevel="0" collapsed="false">
      <c r="C20" s="14"/>
      <c r="D20" s="227"/>
      <c r="E20" s="229"/>
      <c r="F20" s="227"/>
      <c r="G20" s="230"/>
      <c r="H20" s="227"/>
      <c r="I20" s="228"/>
      <c r="J20" s="227"/>
      <c r="K20" s="229"/>
      <c r="L20" s="14"/>
      <c r="M20" s="225"/>
      <c r="N20" s="227"/>
      <c r="O20" s="228"/>
      <c r="P20" s="0"/>
      <c r="Q20" s="0"/>
      <c r="R20" s="0"/>
    </row>
    <row r="21" customFormat="false" ht="12.75" hidden="false" customHeight="false" outlineLevel="0" collapsed="false">
      <c r="A21" s="205" t="s">
        <v>348</v>
      </c>
      <c r="C21" s="228" t="n">
        <v>7.2</v>
      </c>
      <c r="D21" s="227"/>
      <c r="E21" s="229" t="n">
        <v>0</v>
      </c>
      <c r="F21" s="227" t="n">
        <v>-5.4</v>
      </c>
      <c r="G21" s="230"/>
      <c r="H21" s="227"/>
      <c r="I21" s="228" t="n">
        <f aca="false">SUM(C21:H21)</f>
        <v>1.8</v>
      </c>
      <c r="J21" s="227"/>
      <c r="K21" s="229" t="n">
        <v>0</v>
      </c>
      <c r="L21" s="229" t="n">
        <v>-1.8</v>
      </c>
      <c r="M21" s="231"/>
      <c r="N21" s="227"/>
      <c r="O21" s="228" t="n">
        <f aca="false">SUM(I21:N21)</f>
        <v>0</v>
      </c>
      <c r="P21" s="0"/>
      <c r="Q21" s="0"/>
      <c r="R21" s="0"/>
    </row>
    <row r="22" customFormat="false" ht="12.75" hidden="false" customHeight="false" outlineLevel="0" collapsed="false">
      <c r="C22" s="14"/>
      <c r="D22" s="227"/>
      <c r="E22" s="69"/>
      <c r="F22" s="227"/>
      <c r="G22" s="230"/>
      <c r="H22" s="227"/>
      <c r="I22" s="14"/>
      <c r="J22" s="227"/>
      <c r="K22" s="69"/>
      <c r="L22" s="14"/>
      <c r="M22" s="225"/>
      <c r="N22" s="227"/>
      <c r="O22" s="14"/>
      <c r="P22" s="0"/>
      <c r="Q22" s="0"/>
      <c r="R22" s="0"/>
    </row>
    <row r="23" customFormat="false" ht="12.75" hidden="false" customHeight="false" outlineLevel="0" collapsed="false">
      <c r="A23" s="232" t="s">
        <v>349</v>
      </c>
      <c r="B23" s="233"/>
      <c r="C23" s="234" t="n">
        <f aca="false">SUM(C17:C22)</f>
        <v>387.8</v>
      </c>
      <c r="D23" s="234"/>
      <c r="E23" s="235" t="n">
        <f aca="false">SUM(E17:E22)</f>
        <v>9.1</v>
      </c>
      <c r="F23" s="234"/>
      <c r="G23" s="236" t="n">
        <f aca="false">SUM(G17:G22)</f>
        <v>3</v>
      </c>
      <c r="H23" s="234"/>
      <c r="I23" s="234" t="n">
        <f aca="false">SUM(I17:I22)</f>
        <v>394.5</v>
      </c>
      <c r="J23" s="234"/>
      <c r="K23" s="235" t="n">
        <f aca="false">SUM(K17:K22)</f>
        <v>6.4</v>
      </c>
      <c r="L23" s="235" t="n">
        <f aca="false">SUM(L17:L22)</f>
        <v>-1.8</v>
      </c>
      <c r="M23" s="236" t="n">
        <f aca="false">SUM(M17:M22)</f>
        <v>6</v>
      </c>
      <c r="N23" s="234"/>
      <c r="O23" s="234" t="n">
        <f aca="false">SUM(I23:N23)</f>
        <v>405.1</v>
      </c>
      <c r="P23" s="0"/>
      <c r="Q23" s="0"/>
      <c r="R23" s="0"/>
    </row>
    <row r="24" customFormat="false" ht="12.75" hidden="false" customHeight="false" outlineLevel="0" collapsed="false">
      <c r="C24" s="14"/>
      <c r="D24" s="227"/>
      <c r="E24" s="69"/>
      <c r="F24" s="227"/>
      <c r="G24" s="230"/>
      <c r="H24" s="227"/>
      <c r="I24" s="14"/>
      <c r="J24" s="227"/>
      <c r="K24" s="69"/>
      <c r="L24" s="14"/>
      <c r="M24" s="225"/>
      <c r="N24" s="227"/>
      <c r="O24" s="14"/>
      <c r="P24" s="0"/>
      <c r="Q24" s="0"/>
      <c r="R24" s="0"/>
    </row>
    <row r="25" customFormat="false" ht="12.75" hidden="false" customHeight="false" outlineLevel="0" collapsed="false">
      <c r="A25" s="205" t="s">
        <v>350</v>
      </c>
      <c r="C25" s="228" t="n">
        <v>35</v>
      </c>
      <c r="D25" s="227"/>
      <c r="E25" s="229" t="n">
        <v>0</v>
      </c>
      <c r="F25" s="227"/>
      <c r="G25" s="230"/>
      <c r="H25" s="227"/>
      <c r="I25" s="228" t="n">
        <f aca="false">SUM(C25:H25)</f>
        <v>35</v>
      </c>
      <c r="J25" s="227"/>
      <c r="K25" s="229" t="n">
        <v>0</v>
      </c>
      <c r="L25" s="14"/>
      <c r="M25" s="231"/>
      <c r="N25" s="227"/>
      <c r="O25" s="228" t="n">
        <f aca="false">SUM(I25:N25)</f>
        <v>35</v>
      </c>
      <c r="P25" s="0"/>
      <c r="Q25" s="0"/>
      <c r="R25" s="0"/>
    </row>
    <row r="26" customFormat="false" ht="12.75" hidden="false" customHeight="false" outlineLevel="0" collapsed="false">
      <c r="C26" s="228"/>
      <c r="D26" s="227"/>
      <c r="E26" s="229"/>
      <c r="F26" s="227"/>
      <c r="G26" s="230"/>
      <c r="H26" s="227"/>
      <c r="I26" s="228"/>
      <c r="J26" s="227"/>
      <c r="K26" s="69"/>
      <c r="L26" s="14"/>
      <c r="M26" s="225"/>
      <c r="N26" s="227"/>
      <c r="O26" s="228"/>
      <c r="P26" s="0"/>
      <c r="Q26" s="0"/>
      <c r="R26" s="0"/>
    </row>
    <row r="27" customFormat="false" ht="12.75" hidden="false" customHeight="false" outlineLevel="0" collapsed="false">
      <c r="A27" s="205" t="s">
        <v>351</v>
      </c>
      <c r="C27" s="228"/>
      <c r="D27" s="227"/>
      <c r="E27" s="229"/>
      <c r="F27" s="227"/>
      <c r="G27" s="230"/>
      <c r="H27" s="227"/>
      <c r="I27" s="228"/>
      <c r="J27" s="227"/>
      <c r="K27" s="69"/>
      <c r="L27" s="14"/>
      <c r="M27" s="225"/>
      <c r="N27" s="227"/>
      <c r="O27" s="228"/>
      <c r="P27" s="0"/>
      <c r="Q27" s="0"/>
      <c r="R27" s="0"/>
    </row>
    <row r="28" customFormat="false" ht="12.75" hidden="false" customHeight="false" outlineLevel="0" collapsed="false">
      <c r="A28" s="205" t="s">
        <v>352</v>
      </c>
      <c r="C28" s="228" t="n">
        <v>1</v>
      </c>
      <c r="D28" s="227"/>
      <c r="E28" s="229"/>
      <c r="F28" s="227"/>
      <c r="G28" s="230"/>
      <c r="H28" s="227"/>
      <c r="I28" s="228" t="n">
        <f aca="false">SUM(C28:H28)</f>
        <v>1</v>
      </c>
      <c r="J28" s="227"/>
      <c r="K28" s="69"/>
      <c r="L28" s="14"/>
      <c r="M28" s="225"/>
      <c r="N28" s="227"/>
      <c r="O28" s="228" t="n">
        <f aca="false">SUM(I28:N28)</f>
        <v>1</v>
      </c>
      <c r="P28" s="0"/>
      <c r="Q28" s="0"/>
      <c r="R28" s="0"/>
    </row>
    <row r="29" customFormat="false" ht="12.75" hidden="false" customHeight="false" outlineLevel="0" collapsed="false">
      <c r="C29" s="228"/>
      <c r="D29" s="227"/>
      <c r="E29" s="229"/>
      <c r="F29" s="227"/>
      <c r="G29" s="230"/>
      <c r="H29" s="227"/>
      <c r="I29" s="228"/>
      <c r="J29" s="227"/>
      <c r="K29" s="69"/>
      <c r="L29" s="14"/>
      <c r="M29" s="225"/>
      <c r="N29" s="227"/>
      <c r="O29" s="237"/>
      <c r="P29" s="0"/>
      <c r="Q29" s="0"/>
      <c r="R29" s="0"/>
    </row>
    <row r="30" customFormat="false" ht="12.75" hidden="false" customHeight="false" outlineLevel="0" collapsed="false">
      <c r="A30" s="232" t="s">
        <v>353</v>
      </c>
      <c r="B30" s="233"/>
      <c r="C30" s="234" t="n">
        <f aca="false">SUM(C23:C29)</f>
        <v>423.8</v>
      </c>
      <c r="D30" s="234"/>
      <c r="E30" s="235" t="n">
        <f aca="false">SUM(E23:E29)</f>
        <v>9.1</v>
      </c>
      <c r="F30" s="234"/>
      <c r="G30" s="236" t="n">
        <f aca="false">SUM(G23:G29)</f>
        <v>3</v>
      </c>
      <c r="H30" s="234"/>
      <c r="I30" s="234" t="n">
        <f aca="false">SUM(I23:I29)</f>
        <v>430.5</v>
      </c>
      <c r="J30" s="234"/>
      <c r="K30" s="235" t="n">
        <f aca="false">SUM(K23:K29)</f>
        <v>6.4</v>
      </c>
      <c r="L30" s="235" t="n">
        <f aca="false">SUM(L23:L29)</f>
        <v>-1.8</v>
      </c>
      <c r="M30" s="236" t="n">
        <f aca="false">SUM(M24:M29)</f>
        <v>0</v>
      </c>
      <c r="N30" s="234"/>
      <c r="O30" s="234" t="n">
        <f aca="false">SUM(I30:N30)</f>
        <v>435.1</v>
      </c>
      <c r="P30" s="0"/>
      <c r="Q30" s="0"/>
      <c r="R30" s="0"/>
    </row>
    <row r="31" customFormat="false" ht="12.75" hidden="false" customHeight="false" outlineLevel="0" collapsed="false">
      <c r="C31" s="228"/>
      <c r="D31" s="227"/>
      <c r="E31" s="229"/>
      <c r="F31" s="227"/>
      <c r="G31" s="230"/>
      <c r="H31" s="227"/>
      <c r="I31" s="228"/>
      <c r="J31" s="227"/>
      <c r="K31" s="69"/>
      <c r="L31" s="14"/>
      <c r="M31" s="225"/>
      <c r="N31" s="227"/>
      <c r="O31" s="237"/>
      <c r="P31" s="0"/>
      <c r="Q31" s="0"/>
      <c r="R31" s="0"/>
    </row>
    <row r="32" customFormat="false" ht="12.75" hidden="false" customHeight="false" outlineLevel="0" collapsed="false">
      <c r="A32" s="205" t="s">
        <v>354</v>
      </c>
      <c r="C32" s="228" t="n">
        <v>0.6</v>
      </c>
      <c r="D32" s="227"/>
      <c r="E32" s="229"/>
      <c r="F32" s="227"/>
      <c r="G32" s="230" t="n">
        <v>0.1</v>
      </c>
      <c r="H32" s="227"/>
      <c r="I32" s="228" t="n">
        <f aca="false">SUM(C32:H32)</f>
        <v>0.7</v>
      </c>
      <c r="J32" s="227"/>
      <c r="K32" s="69"/>
      <c r="L32" s="14"/>
      <c r="M32" s="228" t="n">
        <v>0.2</v>
      </c>
      <c r="N32" s="238"/>
      <c r="O32" s="228" t="n">
        <f aca="false">SUM(I32:N32)</f>
        <v>0.9</v>
      </c>
      <c r="P32" s="0"/>
      <c r="Q32" s="0"/>
      <c r="R32" s="0"/>
    </row>
    <row r="33" customFormat="false" ht="12.75" hidden="false" customHeight="false" outlineLevel="0" collapsed="false">
      <c r="A33" s="205" t="s">
        <v>355</v>
      </c>
      <c r="C33" s="228" t="n">
        <v>0.6</v>
      </c>
      <c r="D33" s="227"/>
      <c r="E33" s="229"/>
      <c r="F33" s="227"/>
      <c r="G33" s="230"/>
      <c r="H33" s="227"/>
      <c r="I33" s="228" t="n">
        <f aca="false">SUM(C33:H33)</f>
        <v>0.6</v>
      </c>
      <c r="J33" s="227"/>
      <c r="K33" s="69"/>
      <c r="L33" s="14"/>
      <c r="M33" s="228"/>
      <c r="N33" s="238"/>
      <c r="O33" s="228" t="n">
        <f aca="false">SUM(I33:N33)</f>
        <v>0.6</v>
      </c>
      <c r="P33" s="0"/>
      <c r="Q33" s="0"/>
      <c r="R33" s="0"/>
    </row>
    <row r="34" customFormat="false" ht="12.75" hidden="false" customHeight="false" outlineLevel="0" collapsed="false">
      <c r="A34" s="205" t="s">
        <v>356</v>
      </c>
      <c r="C34" s="228" t="n">
        <v>5</v>
      </c>
      <c r="D34" s="227"/>
      <c r="E34" s="229"/>
      <c r="F34" s="227"/>
      <c r="G34" s="230"/>
      <c r="H34" s="227"/>
      <c r="I34" s="228" t="n">
        <f aca="false">SUM(C34:H34)</f>
        <v>5</v>
      </c>
      <c r="J34" s="227"/>
      <c r="K34" s="69"/>
      <c r="L34" s="14"/>
      <c r="M34" s="228"/>
      <c r="N34" s="238"/>
      <c r="O34" s="228" t="n">
        <f aca="false">SUM(I34:N34)</f>
        <v>5</v>
      </c>
      <c r="P34" s="0"/>
      <c r="Q34" s="0"/>
      <c r="R34" s="0"/>
    </row>
    <row r="35" customFormat="false" ht="12.75" hidden="false" customHeight="false" outlineLevel="0" collapsed="false">
      <c r="A35" s="205" t="s">
        <v>357</v>
      </c>
      <c r="C35" s="228" t="n">
        <v>5</v>
      </c>
      <c r="D35" s="227"/>
      <c r="E35" s="229" t="n">
        <v>1.8</v>
      </c>
      <c r="F35" s="227"/>
      <c r="G35" s="230" t="n">
        <v>0.7</v>
      </c>
      <c r="H35" s="227"/>
      <c r="I35" s="228" t="n">
        <f aca="false">SUM(C35:H35)</f>
        <v>7.5</v>
      </c>
      <c r="J35" s="227"/>
      <c r="K35" s="69"/>
      <c r="L35" s="14"/>
      <c r="M35" s="230"/>
      <c r="N35" s="227"/>
      <c r="O35" s="228" t="n">
        <f aca="false">SUM(I35:N35)</f>
        <v>7.5</v>
      </c>
      <c r="P35" s="0"/>
      <c r="Q35" s="0"/>
      <c r="R35" s="0"/>
    </row>
    <row r="36" customFormat="false" ht="12.75" hidden="false" customHeight="false" outlineLevel="0" collapsed="false">
      <c r="A36" s="205" t="s">
        <v>358</v>
      </c>
      <c r="C36" s="228" t="n">
        <v>0.3</v>
      </c>
      <c r="D36" s="227"/>
      <c r="E36" s="229"/>
      <c r="F36" s="227"/>
      <c r="G36" s="230" t="n">
        <v>0.3</v>
      </c>
      <c r="H36" s="227"/>
      <c r="I36" s="228" t="n">
        <f aca="false">SUM(C36:H36)</f>
        <v>0.6</v>
      </c>
      <c r="J36" s="227"/>
      <c r="K36" s="69"/>
      <c r="L36" s="14"/>
      <c r="M36" s="230"/>
      <c r="N36" s="227"/>
      <c r="O36" s="228" t="n">
        <f aca="false">SUM(I36:N36)</f>
        <v>0.6</v>
      </c>
      <c r="P36" s="0"/>
      <c r="Q36" s="0"/>
      <c r="R36" s="0"/>
    </row>
    <row r="37" customFormat="false" ht="12.75" hidden="false" customHeight="false" outlineLevel="0" collapsed="false">
      <c r="C37" s="98"/>
      <c r="D37" s="227"/>
      <c r="E37" s="73"/>
      <c r="F37" s="227"/>
      <c r="G37" s="239"/>
      <c r="H37" s="227"/>
      <c r="I37" s="98"/>
      <c r="J37" s="227"/>
      <c r="K37" s="73"/>
      <c r="L37" s="98"/>
      <c r="M37" s="239"/>
      <c r="N37" s="227"/>
      <c r="O37" s="98"/>
      <c r="P37" s="0"/>
      <c r="Q37" s="0"/>
      <c r="R37" s="0"/>
    </row>
    <row r="38" customFormat="false" ht="12.75" hidden="false" customHeight="false" outlineLevel="0" collapsed="false">
      <c r="A38" s="205" t="s">
        <v>359</v>
      </c>
      <c r="C38" s="240" t="n">
        <f aca="false">SUM(C30:C37)</f>
        <v>435.3</v>
      </c>
      <c r="D38" s="241"/>
      <c r="E38" s="240" t="n">
        <f aca="false">SUM(E30:E37)</f>
        <v>10.9</v>
      </c>
      <c r="F38" s="240"/>
      <c r="G38" s="240" t="n">
        <f aca="false">SUM(G30:G37)</f>
        <v>4.1</v>
      </c>
      <c r="H38" s="242"/>
      <c r="I38" s="240" t="n">
        <f aca="false">SUM(I30:I37)</f>
        <v>444.9</v>
      </c>
      <c r="J38" s="240"/>
      <c r="K38" s="242" t="n">
        <f aca="false">SUM(K30:K37)</f>
        <v>6.4</v>
      </c>
      <c r="L38" s="242" t="n">
        <f aca="false">SUM(L30:L37)</f>
        <v>-1.8</v>
      </c>
      <c r="M38" s="241" t="n">
        <f aca="false">SUM(M23:M37)</f>
        <v>6.2</v>
      </c>
      <c r="N38" s="240"/>
      <c r="O38" s="240" t="n">
        <f aca="false">SUM(I38:N38)</f>
        <v>455.7</v>
      </c>
      <c r="P38" s="0"/>
      <c r="Q38" s="0"/>
      <c r="R38" s="0"/>
    </row>
    <row r="39" customFormat="false" ht="12.75" hidden="false" customHeight="false" outlineLevel="0" collapsed="false">
      <c r="C39" s="98"/>
      <c r="D39" s="227"/>
      <c r="E39" s="73"/>
      <c r="F39" s="243"/>
      <c r="G39" s="239"/>
      <c r="H39" s="227"/>
      <c r="I39" s="98"/>
      <c r="J39" s="227"/>
      <c r="K39" s="73"/>
      <c r="L39" s="98"/>
      <c r="M39" s="239"/>
      <c r="N39" s="227"/>
      <c r="O39" s="98"/>
      <c r="P39" s="0"/>
      <c r="Q39" s="0"/>
      <c r="R39" s="0"/>
    </row>
    <row r="40" customFormat="false" ht="12.75" hidden="false" customHeight="false" outlineLevel="0" collapsed="false">
      <c r="C40" s="14"/>
      <c r="D40" s="227"/>
      <c r="E40" s="0"/>
      <c r="F40" s="227"/>
      <c r="G40" s="0"/>
      <c r="H40" s="227"/>
      <c r="I40" s="0"/>
      <c r="J40" s="0"/>
      <c r="K40" s="0"/>
      <c r="L40" s="0"/>
      <c r="M40" s="0"/>
      <c r="N40" s="227"/>
      <c r="O40" s="0"/>
      <c r="P40" s="0"/>
      <c r="Q40" s="0"/>
      <c r="R40" s="0"/>
    </row>
    <row r="41" customFormat="false" ht="12.75" hidden="false" customHeight="false" outlineLevel="0" collapsed="false">
      <c r="A41" s="205" t="s">
        <v>360</v>
      </c>
      <c r="C41" s="228" t="n">
        <v>-1.5</v>
      </c>
      <c r="E41" s="0"/>
      <c r="G41" s="228"/>
      <c r="I41" s="228" t="n">
        <v>-1.5</v>
      </c>
      <c r="J41" s="0"/>
      <c r="K41" s="0"/>
      <c r="L41" s="0"/>
      <c r="M41" s="0"/>
      <c r="O41" s="228" t="n">
        <v>-1.5</v>
      </c>
      <c r="P41" s="0"/>
      <c r="Q41" s="0"/>
      <c r="R41" s="0"/>
    </row>
    <row r="42" customFormat="false" ht="12.75" hidden="false" customHeight="false" outlineLevel="0" collapsed="false">
      <c r="C42" s="228"/>
      <c r="E42" s="0"/>
      <c r="G42" s="14"/>
      <c r="I42" s="0"/>
      <c r="J42" s="0"/>
      <c r="K42" s="0"/>
      <c r="L42" s="0"/>
      <c r="M42" s="0"/>
      <c r="O42" s="0"/>
      <c r="P42" s="0"/>
      <c r="Q42" s="0"/>
      <c r="R42" s="0"/>
    </row>
    <row r="43" customFormat="false" ht="13.5" hidden="false" customHeight="false" outlineLevel="0" collapsed="false">
      <c r="A43" s="205" t="s">
        <v>361</v>
      </c>
      <c r="C43" s="244" t="n">
        <f aca="false">+C38+C41</f>
        <v>433.8</v>
      </c>
      <c r="E43" s="0"/>
      <c r="G43" s="240"/>
      <c r="I43" s="244" t="n">
        <f aca="false">+I38+I41</f>
        <v>443.4</v>
      </c>
      <c r="J43" s="0"/>
      <c r="K43" s="0"/>
      <c r="L43" s="0"/>
      <c r="M43" s="0"/>
      <c r="O43" s="244" t="n">
        <f aca="false">+O38+O41</f>
        <v>454.2</v>
      </c>
      <c r="P43" s="0"/>
      <c r="Q43" s="0"/>
      <c r="R43" s="0"/>
    </row>
    <row r="44" customFormat="false" ht="13.5" hidden="false" customHeight="false" outlineLevel="0" collapsed="false">
      <c r="C44" s="0"/>
      <c r="E44" s="0"/>
      <c r="G44" s="14"/>
      <c r="I44" s="0"/>
      <c r="J44" s="0"/>
      <c r="K44" s="0"/>
      <c r="L44" s="0"/>
      <c r="M44" s="0"/>
      <c r="O44" s="0"/>
      <c r="P44" s="0"/>
      <c r="Q44" s="0"/>
      <c r="R44" s="0"/>
    </row>
    <row r="45" customFormat="false" ht="12.75" hidden="false" customHeight="false" outlineLevel="0" collapsed="false">
      <c r="C45" s="0"/>
      <c r="E45" s="212" t="s">
        <v>362</v>
      </c>
      <c r="F45" s="213"/>
      <c r="G45" s="245" t="n">
        <v>1.4</v>
      </c>
      <c r="I45" s="0"/>
      <c r="J45" s="0"/>
      <c r="K45" s="212" t="s">
        <v>362</v>
      </c>
      <c r="L45" s="213"/>
      <c r="M45" s="245" t="n">
        <v>0.8</v>
      </c>
      <c r="O45" s="0"/>
      <c r="P45" s="0"/>
      <c r="Q45" s="0"/>
      <c r="R45" s="0"/>
    </row>
    <row r="46" customFormat="false" ht="12.75" hidden="false" customHeight="false" outlineLevel="0" collapsed="false">
      <c r="C46" s="0"/>
      <c r="E46" s="246" t="s">
        <v>363</v>
      </c>
      <c r="G46" s="230" t="n">
        <v>1.4</v>
      </c>
      <c r="I46" s="0"/>
      <c r="J46" s="0"/>
      <c r="K46" s="246" t="s">
        <v>364</v>
      </c>
      <c r="M46" s="230" t="n">
        <v>1.5</v>
      </c>
      <c r="O46" s="0"/>
      <c r="P46" s="0"/>
      <c r="Q46" s="0"/>
      <c r="R46" s="0"/>
    </row>
    <row r="47" customFormat="false" ht="12.75" hidden="false" customHeight="false" outlineLevel="0" collapsed="false">
      <c r="C47" s="0"/>
      <c r="E47" s="246" t="s">
        <v>365</v>
      </c>
      <c r="G47" s="230" t="n">
        <v>0.6</v>
      </c>
      <c r="I47" s="0"/>
      <c r="J47" s="0"/>
      <c r="K47" s="246" t="s">
        <v>365</v>
      </c>
      <c r="M47" s="230" t="n">
        <v>0.2</v>
      </c>
      <c r="O47" s="0"/>
      <c r="P47" s="0"/>
      <c r="Q47" s="0"/>
      <c r="R47" s="0"/>
    </row>
    <row r="48" customFormat="false" ht="12.75" hidden="false" customHeight="false" outlineLevel="0" collapsed="false">
      <c r="C48" s="0"/>
      <c r="E48" s="246" t="s">
        <v>14</v>
      </c>
      <c r="G48" s="230" t="n">
        <v>0.3</v>
      </c>
      <c r="I48" s="0"/>
      <c r="J48" s="0"/>
      <c r="K48" s="246" t="s">
        <v>14</v>
      </c>
      <c r="M48" s="230" t="n">
        <v>0.3</v>
      </c>
      <c r="O48" s="0"/>
      <c r="P48" s="0"/>
      <c r="Q48" s="0"/>
      <c r="R48" s="0"/>
    </row>
    <row r="49" customFormat="false" ht="12.75" hidden="false" customHeight="false" outlineLevel="0" collapsed="false">
      <c r="C49" s="0"/>
      <c r="E49" s="246" t="s">
        <v>366</v>
      </c>
      <c r="G49" s="247" t="n">
        <v>7.2</v>
      </c>
      <c r="I49" s="0"/>
      <c r="J49" s="0"/>
      <c r="K49" s="246" t="s">
        <v>366</v>
      </c>
      <c r="M49" s="247" t="n">
        <v>3.6</v>
      </c>
      <c r="O49" s="0"/>
      <c r="P49" s="0"/>
      <c r="Q49" s="0"/>
      <c r="R49" s="0"/>
    </row>
    <row r="50" customFormat="false" ht="12.75" hidden="false" customHeight="false" outlineLevel="0" collapsed="false">
      <c r="C50" s="0"/>
      <c r="E50" s="248"/>
      <c r="F50" s="249"/>
      <c r="G50" s="247" t="n">
        <f aca="false">SUM(G45:G49)</f>
        <v>10.9</v>
      </c>
      <c r="I50" s="0"/>
      <c r="J50" s="0"/>
      <c r="K50" s="248"/>
      <c r="L50" s="249"/>
      <c r="M50" s="247" t="n">
        <f aca="false">SUM(M45:M49)</f>
        <v>6.4</v>
      </c>
      <c r="O50" s="0"/>
      <c r="P50" s="0"/>
      <c r="Q50" s="0"/>
      <c r="R50" s="0"/>
    </row>
    <row r="51" customFormat="false" ht="12.75" hidden="false" customHeight="false" outlineLevel="0" collapsed="false">
      <c r="C51" s="0"/>
      <c r="E51" s="0"/>
      <c r="G51" s="228"/>
      <c r="I51" s="0"/>
      <c r="J51" s="0"/>
      <c r="K51" s="0"/>
      <c r="L51" s="0"/>
      <c r="M51" s="0"/>
      <c r="O51" s="0"/>
      <c r="P51" s="0"/>
      <c r="Q51" s="0"/>
      <c r="R51" s="0"/>
    </row>
    <row r="52" customFormat="false" ht="12.75" hidden="false" customHeight="false" outlineLevel="0" collapsed="false">
      <c r="C52" s="0"/>
      <c r="E52" s="0"/>
      <c r="G52" s="14"/>
      <c r="I52" s="0"/>
      <c r="J52" s="0"/>
      <c r="K52" s="0"/>
      <c r="L52" s="0"/>
      <c r="M52" s="0"/>
      <c r="O52" s="0"/>
      <c r="P52" s="0"/>
      <c r="Q52" s="0"/>
      <c r="R52" s="0"/>
    </row>
    <row r="53" customFormat="false" ht="12.75" hidden="false" customHeight="false" outlineLevel="0" collapsed="false">
      <c r="C53" s="0"/>
      <c r="E53" s="0"/>
      <c r="G53" s="0"/>
      <c r="I53" s="0"/>
      <c r="J53" s="0"/>
      <c r="K53" s="0"/>
      <c r="L53" s="0"/>
      <c r="M53" s="0"/>
      <c r="O53" s="0"/>
      <c r="P53" s="0"/>
      <c r="Q53" s="0"/>
      <c r="R53" s="0"/>
    </row>
    <row r="54" customFormat="false" ht="12.75" hidden="false" customHeight="false" outlineLevel="0" collapsed="false">
      <c r="C54" s="0"/>
      <c r="E54" s="0"/>
      <c r="G54" s="0"/>
      <c r="I54" s="0"/>
      <c r="J54" s="0"/>
      <c r="K54" s="0"/>
      <c r="L54" s="0"/>
      <c r="M54" s="0"/>
      <c r="O54" s="0"/>
      <c r="P54" s="0"/>
      <c r="Q54" s="0"/>
      <c r="R54" s="0"/>
    </row>
    <row r="55" customFormat="false" ht="12.75" hidden="false" customHeight="false" outlineLevel="0" collapsed="false">
      <c r="C55" s="0"/>
      <c r="E55" s="0"/>
      <c r="G55" s="0"/>
      <c r="I55" s="0"/>
      <c r="J55" s="0"/>
      <c r="K55" s="0"/>
      <c r="L55" s="0"/>
      <c r="M55" s="0"/>
      <c r="O55" s="0"/>
      <c r="P55" s="0"/>
      <c r="Q55" s="0"/>
      <c r="R55" s="0"/>
    </row>
    <row r="56" customFormat="false" ht="12.75" hidden="false" customHeight="false" outlineLevel="0" collapsed="false">
      <c r="C56" s="0"/>
      <c r="E56" s="0"/>
      <c r="G56" s="0"/>
      <c r="I56" s="0"/>
      <c r="J56" s="0"/>
      <c r="K56" s="0"/>
      <c r="L56" s="0"/>
      <c r="M56" s="0"/>
      <c r="O56" s="0"/>
      <c r="P56" s="0"/>
      <c r="Q56" s="0"/>
      <c r="R56" s="0"/>
    </row>
    <row r="57" customFormat="false" ht="12.75" hidden="false" customHeight="false" outlineLevel="0" collapsed="false">
      <c r="C57" s="0"/>
      <c r="E57" s="0"/>
      <c r="G57" s="0"/>
      <c r="I57" s="0"/>
      <c r="J57" s="0"/>
      <c r="K57" s="0"/>
      <c r="L57" s="0"/>
      <c r="M57" s="0"/>
      <c r="O57" s="0"/>
      <c r="P57" s="0"/>
      <c r="Q57" s="0"/>
      <c r="R57" s="0"/>
    </row>
    <row r="58" customFormat="false" ht="12.75" hidden="false" customHeight="false" outlineLevel="0" collapsed="false">
      <c r="C58" s="0"/>
      <c r="E58" s="0"/>
      <c r="G58" s="0"/>
      <c r="I58" s="0"/>
      <c r="J58" s="0"/>
      <c r="K58" s="0"/>
      <c r="L58" s="0"/>
      <c r="M58" s="0"/>
      <c r="O58" s="0"/>
      <c r="P58" s="0"/>
      <c r="Q58" s="0"/>
      <c r="R58" s="0"/>
    </row>
    <row r="59" customFormat="false" ht="12.75" hidden="false" customHeight="false" outlineLevel="0" collapsed="false">
      <c r="C59" s="0"/>
      <c r="E59" s="0"/>
      <c r="G59" s="0"/>
      <c r="I59" s="0"/>
      <c r="J59" s="0"/>
      <c r="K59" s="0"/>
      <c r="L59" s="0"/>
      <c r="M59" s="0"/>
      <c r="O59" s="0"/>
      <c r="P59" s="0"/>
      <c r="Q59" s="0"/>
      <c r="R59" s="0"/>
    </row>
    <row r="60" customFormat="false" ht="12.75" hidden="false" customHeight="false" outlineLevel="0" collapsed="false">
      <c r="C60" s="0"/>
      <c r="E60" s="0"/>
      <c r="G60" s="0"/>
      <c r="I60" s="0"/>
      <c r="J60" s="0"/>
      <c r="K60" s="0"/>
      <c r="L60" s="0"/>
      <c r="M60" s="0"/>
      <c r="O60" s="0"/>
      <c r="P60" s="0"/>
      <c r="Q60" s="0"/>
      <c r="R60" s="0"/>
    </row>
    <row r="61" customFormat="false" ht="12.75" hidden="false" customHeight="false" outlineLevel="0" collapsed="false">
      <c r="C61" s="0"/>
      <c r="E61" s="0"/>
      <c r="G61" s="0"/>
      <c r="I61" s="0"/>
      <c r="J61" s="0"/>
      <c r="K61" s="0"/>
      <c r="L61" s="0"/>
      <c r="M61" s="0"/>
      <c r="O61" s="0"/>
      <c r="P61" s="0"/>
      <c r="Q61" s="0"/>
      <c r="R61" s="0"/>
    </row>
    <row r="62" customFormat="false" ht="12.75" hidden="false" customHeight="false" outlineLevel="0" collapsed="false">
      <c r="C62" s="0"/>
      <c r="E62" s="0"/>
      <c r="G62" s="0"/>
      <c r="I62" s="0"/>
      <c r="J62" s="0"/>
      <c r="K62" s="0"/>
      <c r="L62" s="0"/>
      <c r="M62" s="0"/>
      <c r="O62" s="0"/>
      <c r="P62" s="0"/>
      <c r="Q62" s="0"/>
      <c r="R62" s="0"/>
    </row>
    <row r="63" customFormat="false" ht="12.75" hidden="false" customHeight="false" outlineLevel="0" collapsed="false">
      <c r="C63" s="0"/>
      <c r="E63" s="0"/>
      <c r="G63" s="0"/>
      <c r="I63" s="0"/>
      <c r="J63" s="0"/>
      <c r="K63" s="0"/>
      <c r="L63" s="0"/>
      <c r="M63" s="0"/>
      <c r="O63" s="0"/>
      <c r="P63" s="0"/>
      <c r="Q63" s="0"/>
      <c r="R63" s="0"/>
    </row>
    <row r="64" customFormat="false" ht="12.75" hidden="false" customHeight="false" outlineLevel="0" collapsed="false">
      <c r="C64" s="0"/>
      <c r="E64" s="0"/>
      <c r="G64" s="0"/>
      <c r="I64" s="0"/>
      <c r="J64" s="0"/>
      <c r="K64" s="0"/>
      <c r="L64" s="0"/>
      <c r="M64" s="0"/>
      <c r="O64" s="0"/>
      <c r="P64" s="0"/>
      <c r="Q64" s="0"/>
      <c r="R64" s="0"/>
    </row>
    <row r="65" customFormat="false" ht="12.75" hidden="false" customHeight="false" outlineLevel="0" collapsed="false">
      <c r="C65" s="0"/>
      <c r="E65" s="0"/>
      <c r="G65" s="0"/>
      <c r="I65" s="0"/>
      <c r="J65" s="0"/>
      <c r="K65" s="0"/>
      <c r="L65" s="0"/>
      <c r="M65" s="0"/>
      <c r="O65" s="0"/>
      <c r="P65" s="0"/>
      <c r="Q65" s="0"/>
      <c r="R65" s="0"/>
    </row>
    <row r="66" customFormat="false" ht="12.75" hidden="false" customHeight="false" outlineLevel="0" collapsed="false">
      <c r="C66" s="0"/>
      <c r="E66" s="0"/>
      <c r="G66" s="0"/>
      <c r="I66" s="0"/>
      <c r="J66" s="0"/>
      <c r="K66" s="0"/>
      <c r="L66" s="0"/>
      <c r="M66" s="0"/>
      <c r="O66" s="0"/>
      <c r="P66" s="0"/>
      <c r="Q66" s="0"/>
      <c r="R66" s="0"/>
    </row>
    <row r="67" customFormat="false" ht="12.75" hidden="false" customHeight="false" outlineLevel="0" collapsed="false">
      <c r="C67" s="0"/>
      <c r="E67" s="0"/>
      <c r="G67" s="0"/>
      <c r="I67" s="0"/>
      <c r="J67" s="0"/>
      <c r="K67" s="0"/>
      <c r="L67" s="0"/>
      <c r="M67" s="0"/>
      <c r="O67" s="0"/>
      <c r="P67" s="0"/>
      <c r="Q67" s="0"/>
      <c r="R67" s="0"/>
    </row>
    <row r="68" customFormat="false" ht="12.75" hidden="false" customHeight="false" outlineLevel="0" collapsed="false">
      <c r="C68" s="0"/>
      <c r="E68" s="0"/>
      <c r="G68" s="0"/>
      <c r="I68" s="0"/>
      <c r="J68" s="0"/>
      <c r="K68" s="0"/>
      <c r="L68" s="0"/>
      <c r="M68" s="0"/>
      <c r="O68" s="0"/>
      <c r="P68" s="0"/>
      <c r="Q68" s="0"/>
      <c r="R68" s="0"/>
    </row>
    <row r="69" customFormat="false" ht="12.75" hidden="false" customHeight="false" outlineLevel="0" collapsed="false">
      <c r="C69" s="0"/>
      <c r="E69" s="0"/>
      <c r="G69" s="0"/>
      <c r="I69" s="0"/>
      <c r="J69" s="0"/>
      <c r="K69" s="0"/>
      <c r="L69" s="0"/>
      <c r="M69" s="0"/>
      <c r="O69" s="0"/>
      <c r="P69" s="0"/>
      <c r="Q69" s="0"/>
      <c r="R69" s="0"/>
    </row>
    <row r="70" customFormat="false" ht="12.75" hidden="false" customHeight="false" outlineLevel="0" collapsed="false">
      <c r="C70" s="0"/>
      <c r="E70" s="0"/>
      <c r="G70" s="0"/>
      <c r="I70" s="0"/>
      <c r="J70" s="0"/>
      <c r="K70" s="0"/>
      <c r="L70" s="0"/>
      <c r="M70" s="0"/>
      <c r="O70" s="0"/>
      <c r="P70" s="0"/>
      <c r="Q70" s="0"/>
      <c r="R70" s="0"/>
    </row>
    <row r="71" customFormat="false" ht="12.75" hidden="false" customHeight="false" outlineLevel="0" collapsed="false">
      <c r="C71" s="0"/>
      <c r="E71" s="0"/>
      <c r="G71" s="0"/>
      <c r="I71" s="0"/>
      <c r="J71" s="0"/>
      <c r="K71" s="0"/>
      <c r="L71" s="0"/>
      <c r="M71" s="0"/>
      <c r="O71" s="0"/>
      <c r="P71" s="0"/>
      <c r="Q71" s="0"/>
      <c r="R71" s="0"/>
    </row>
    <row r="72" customFormat="false" ht="12.75" hidden="false" customHeight="false" outlineLevel="0" collapsed="false">
      <c r="C72" s="0"/>
      <c r="E72" s="0"/>
      <c r="G72" s="0"/>
      <c r="I72" s="0"/>
      <c r="J72" s="0"/>
      <c r="K72" s="0"/>
      <c r="L72" s="0"/>
      <c r="M72" s="0"/>
      <c r="O72" s="0"/>
      <c r="P72" s="0"/>
      <c r="Q72" s="0"/>
      <c r="R72" s="0"/>
    </row>
    <row r="73" customFormat="false" ht="12.75" hidden="false" customHeight="false" outlineLevel="0" collapsed="false">
      <c r="C73" s="0"/>
      <c r="E73" s="0"/>
      <c r="G73" s="0"/>
      <c r="I73" s="0"/>
      <c r="J73" s="0"/>
      <c r="K73" s="0"/>
      <c r="L73" s="0"/>
      <c r="M73" s="0"/>
      <c r="O73" s="0"/>
      <c r="P73" s="0"/>
      <c r="Q73" s="0"/>
      <c r="R73" s="0"/>
    </row>
    <row r="74" customFormat="false" ht="12.75" hidden="false" customHeight="false" outlineLevel="0" collapsed="false">
      <c r="C74" s="0"/>
      <c r="E74" s="0"/>
      <c r="G74" s="0"/>
      <c r="I74" s="0"/>
      <c r="J74" s="0"/>
      <c r="K74" s="0"/>
      <c r="L74" s="0"/>
      <c r="M74" s="0"/>
      <c r="O74" s="0"/>
      <c r="P74" s="0"/>
      <c r="Q74" s="0"/>
      <c r="R74" s="0"/>
    </row>
    <row r="75" customFormat="false" ht="12.75" hidden="false" customHeight="false" outlineLevel="0" collapsed="false">
      <c r="C75" s="0"/>
      <c r="E75" s="0"/>
      <c r="G75" s="0"/>
      <c r="I75" s="0"/>
      <c r="J75" s="0"/>
      <c r="K75" s="0"/>
      <c r="L75" s="0"/>
      <c r="M75" s="0"/>
      <c r="O75" s="0"/>
      <c r="P75" s="0"/>
      <c r="Q75" s="0"/>
      <c r="R75" s="0"/>
    </row>
    <row r="76" customFormat="false" ht="12.75" hidden="false" customHeight="false" outlineLevel="0" collapsed="false">
      <c r="C76" s="0"/>
      <c r="E76" s="0"/>
      <c r="G76" s="0"/>
      <c r="I76" s="0"/>
      <c r="J76" s="0"/>
      <c r="K76" s="0"/>
      <c r="L76" s="0"/>
      <c r="M76" s="0"/>
      <c r="O76" s="0"/>
      <c r="P76" s="0"/>
      <c r="Q76" s="0"/>
      <c r="R76" s="0"/>
    </row>
    <row r="77" customFormat="false" ht="12.75" hidden="false" customHeight="false" outlineLevel="0" collapsed="false">
      <c r="C77" s="0"/>
      <c r="E77" s="0"/>
      <c r="G77" s="0"/>
      <c r="I77" s="0"/>
      <c r="J77" s="0"/>
      <c r="K77" s="0"/>
      <c r="L77" s="0"/>
      <c r="M77" s="0"/>
      <c r="O77" s="0"/>
      <c r="P77" s="0"/>
      <c r="Q77" s="0"/>
      <c r="R77" s="0"/>
    </row>
    <row r="78" customFormat="false" ht="12.75" hidden="false" customHeight="false" outlineLevel="0" collapsed="false">
      <c r="C78" s="0"/>
      <c r="E78" s="0"/>
      <c r="G78" s="0"/>
      <c r="I78" s="0"/>
      <c r="J78" s="0"/>
      <c r="K78" s="0"/>
      <c r="L78" s="0"/>
      <c r="M78" s="0"/>
      <c r="O78" s="0"/>
      <c r="P78" s="0"/>
      <c r="Q78" s="0"/>
      <c r="R78" s="0"/>
    </row>
    <row r="79" customFormat="false" ht="12.75" hidden="false" customHeight="false" outlineLevel="0" collapsed="false">
      <c r="C79" s="0"/>
      <c r="E79" s="0"/>
      <c r="G79" s="0"/>
      <c r="I79" s="0"/>
      <c r="J79" s="0"/>
      <c r="K79" s="0"/>
      <c r="L79" s="0"/>
      <c r="M79" s="0"/>
      <c r="O79" s="0"/>
      <c r="P79" s="0"/>
      <c r="Q79" s="0"/>
      <c r="R79" s="0"/>
    </row>
    <row r="80" customFormat="false" ht="12.75" hidden="false" customHeight="false" outlineLevel="0" collapsed="false">
      <c r="C80" s="0"/>
      <c r="E80" s="0"/>
      <c r="G80" s="0"/>
      <c r="I80" s="0"/>
      <c r="J80" s="0"/>
      <c r="K80" s="0"/>
      <c r="L80" s="0"/>
      <c r="M80" s="0"/>
      <c r="O80" s="0"/>
      <c r="P80" s="0"/>
      <c r="Q80" s="0"/>
      <c r="R80" s="0"/>
    </row>
    <row r="81" customFormat="false" ht="12.75" hidden="false" customHeight="false" outlineLevel="0" collapsed="false">
      <c r="C81" s="0"/>
      <c r="E81" s="0"/>
      <c r="G81" s="0"/>
      <c r="I81" s="0"/>
      <c r="J81" s="0"/>
      <c r="K81" s="0"/>
      <c r="L81" s="0"/>
      <c r="M81" s="0"/>
      <c r="O81" s="0"/>
      <c r="P81" s="0"/>
      <c r="Q81" s="0"/>
      <c r="R81" s="0"/>
    </row>
    <row r="82" customFormat="false" ht="12.75" hidden="false" customHeight="false" outlineLevel="0" collapsed="false">
      <c r="C82" s="0"/>
      <c r="E82" s="0"/>
      <c r="G82" s="0"/>
      <c r="I82" s="0"/>
      <c r="J82" s="0"/>
      <c r="K82" s="0"/>
      <c r="L82" s="0"/>
      <c r="M82" s="0"/>
      <c r="O82" s="0"/>
      <c r="P82" s="0"/>
      <c r="Q82" s="0"/>
      <c r="R82" s="0"/>
    </row>
    <row r="83" customFormat="false" ht="12.75" hidden="false" customHeight="false" outlineLevel="0" collapsed="false">
      <c r="C83" s="0"/>
      <c r="E83" s="0"/>
      <c r="G83" s="0"/>
      <c r="I83" s="0"/>
      <c r="J83" s="0"/>
      <c r="K83" s="0"/>
      <c r="L83" s="0"/>
      <c r="M83" s="0"/>
      <c r="O83" s="0"/>
      <c r="P83" s="0"/>
      <c r="Q83" s="0"/>
      <c r="R83" s="0"/>
    </row>
    <row r="84" customFormat="false" ht="12.75" hidden="false" customHeight="false" outlineLevel="0" collapsed="false">
      <c r="C84" s="0"/>
      <c r="E84" s="0"/>
      <c r="G84" s="0"/>
      <c r="I84" s="0"/>
      <c r="J84" s="0"/>
      <c r="K84" s="0"/>
      <c r="L84" s="0"/>
      <c r="M84" s="0"/>
      <c r="O84" s="0"/>
      <c r="P84" s="0"/>
      <c r="Q84" s="0"/>
      <c r="R84" s="0"/>
    </row>
    <row r="85" customFormat="false" ht="12.75" hidden="false" customHeight="false" outlineLevel="0" collapsed="false">
      <c r="C85" s="0"/>
      <c r="E85" s="0"/>
      <c r="G85" s="0"/>
      <c r="I85" s="0"/>
      <c r="J85" s="0"/>
      <c r="K85" s="0"/>
      <c r="L85" s="0"/>
      <c r="M85" s="0"/>
      <c r="O85" s="0"/>
      <c r="P85" s="0"/>
      <c r="Q85" s="0"/>
      <c r="R85" s="0"/>
    </row>
    <row r="86" customFormat="false" ht="12.75" hidden="false" customHeight="false" outlineLevel="0" collapsed="false">
      <c r="C86" s="0"/>
      <c r="E86" s="0"/>
      <c r="G86" s="0"/>
      <c r="I86" s="0"/>
      <c r="J86" s="0"/>
      <c r="K86" s="0"/>
      <c r="L86" s="0"/>
      <c r="M86" s="0"/>
      <c r="O86" s="0"/>
      <c r="P86" s="0"/>
      <c r="Q86" s="0"/>
      <c r="R86" s="0"/>
    </row>
    <row r="87" customFormat="false" ht="12.75" hidden="false" customHeight="false" outlineLevel="0" collapsed="false">
      <c r="C87" s="0"/>
      <c r="E87" s="0"/>
      <c r="G87" s="0"/>
      <c r="I87" s="0"/>
      <c r="J87" s="0"/>
      <c r="K87" s="0"/>
      <c r="L87" s="0"/>
      <c r="M87" s="0"/>
      <c r="O87" s="0"/>
      <c r="P87" s="0"/>
      <c r="Q87" s="0"/>
      <c r="R87" s="0"/>
    </row>
    <row r="88" customFormat="false" ht="12.75" hidden="false" customHeight="false" outlineLevel="0" collapsed="false">
      <c r="C88" s="0"/>
      <c r="E88" s="0"/>
      <c r="G88" s="0"/>
      <c r="I88" s="0"/>
      <c r="J88" s="0"/>
      <c r="K88" s="0"/>
      <c r="L88" s="0"/>
      <c r="M88" s="0"/>
      <c r="O88" s="0"/>
      <c r="P88" s="0"/>
      <c r="Q88" s="0"/>
      <c r="R88" s="0"/>
    </row>
    <row r="89" customFormat="false" ht="12.75" hidden="false" customHeight="false" outlineLevel="0" collapsed="false">
      <c r="C89" s="0"/>
      <c r="E89" s="0"/>
      <c r="G89" s="0"/>
      <c r="I89" s="0"/>
      <c r="J89" s="0"/>
      <c r="K89" s="0"/>
      <c r="L89" s="0"/>
      <c r="M89" s="0"/>
      <c r="O89" s="0"/>
      <c r="P89" s="0"/>
      <c r="Q89" s="0"/>
      <c r="R89" s="0"/>
    </row>
    <row r="90" customFormat="false" ht="12.75" hidden="false" customHeight="false" outlineLevel="0" collapsed="false">
      <c r="C90" s="0"/>
      <c r="E90" s="0"/>
      <c r="G90" s="0"/>
      <c r="I90" s="0"/>
      <c r="J90" s="0"/>
      <c r="K90" s="0"/>
      <c r="L90" s="0"/>
      <c r="M90" s="0"/>
      <c r="O90" s="0"/>
      <c r="P90" s="0"/>
      <c r="Q90" s="0"/>
      <c r="R90" s="0"/>
    </row>
    <row r="91" customFormat="false" ht="12.75" hidden="false" customHeight="false" outlineLevel="0" collapsed="false">
      <c r="C91" s="0"/>
      <c r="E91" s="0"/>
      <c r="G91" s="0"/>
      <c r="I91" s="0"/>
      <c r="J91" s="0"/>
      <c r="K91" s="0"/>
      <c r="L91" s="0"/>
      <c r="M91" s="0"/>
      <c r="O91" s="0"/>
      <c r="P91" s="0"/>
      <c r="Q91" s="0"/>
      <c r="R91" s="0"/>
    </row>
    <row r="92" customFormat="false" ht="12.75" hidden="false" customHeight="false" outlineLevel="0" collapsed="false">
      <c r="C92" s="0"/>
      <c r="E92" s="0"/>
      <c r="G92" s="0"/>
      <c r="I92" s="0"/>
      <c r="J92" s="0"/>
      <c r="K92" s="0"/>
      <c r="L92" s="0"/>
      <c r="M92" s="0"/>
      <c r="O92" s="0"/>
      <c r="P92" s="0"/>
      <c r="Q92" s="0"/>
      <c r="R92" s="0"/>
    </row>
    <row r="93" customFormat="false" ht="12.75" hidden="false" customHeight="false" outlineLevel="0" collapsed="false">
      <c r="C93" s="0"/>
      <c r="E93" s="0"/>
      <c r="G93" s="0"/>
      <c r="I93" s="0"/>
      <c r="J93" s="0"/>
      <c r="K93" s="0"/>
      <c r="L93" s="0"/>
      <c r="M93" s="0"/>
      <c r="O93" s="0"/>
      <c r="P93" s="0"/>
      <c r="Q93" s="0"/>
      <c r="R93" s="0"/>
    </row>
    <row r="94" customFormat="false" ht="12.75" hidden="false" customHeight="false" outlineLevel="0" collapsed="false">
      <c r="C94" s="0"/>
      <c r="E94" s="0"/>
      <c r="G94" s="0"/>
      <c r="I94" s="0"/>
      <c r="J94" s="0"/>
      <c r="K94" s="0"/>
      <c r="L94" s="0"/>
      <c r="M94" s="0"/>
      <c r="O94" s="0"/>
      <c r="P94" s="0"/>
      <c r="Q94" s="0"/>
      <c r="R94" s="0"/>
    </row>
    <row r="95" customFormat="false" ht="12.75" hidden="false" customHeight="false" outlineLevel="0" collapsed="false">
      <c r="C95" s="0"/>
      <c r="E95" s="0"/>
      <c r="G95" s="0"/>
      <c r="I95" s="0"/>
      <c r="J95" s="0"/>
      <c r="K95" s="0"/>
      <c r="L95" s="0"/>
      <c r="M95" s="0"/>
      <c r="O95" s="0"/>
      <c r="P95" s="0"/>
      <c r="Q95" s="0"/>
      <c r="R95" s="0"/>
    </row>
    <row r="96" customFormat="false" ht="12.75" hidden="false" customHeight="false" outlineLevel="0" collapsed="false">
      <c r="C96" s="0"/>
      <c r="E96" s="0"/>
      <c r="G96" s="0"/>
      <c r="I96" s="0"/>
      <c r="J96" s="0"/>
      <c r="K96" s="0"/>
      <c r="L96" s="0"/>
      <c r="M96" s="0"/>
      <c r="O96" s="0"/>
      <c r="P96" s="0"/>
      <c r="Q96" s="0"/>
      <c r="R96" s="0"/>
    </row>
    <row r="97" customFormat="false" ht="12.75" hidden="false" customHeight="false" outlineLevel="0" collapsed="false">
      <c r="C97" s="0"/>
      <c r="E97" s="0"/>
      <c r="G97" s="0"/>
      <c r="I97" s="0"/>
      <c r="J97" s="0"/>
      <c r="K97" s="0"/>
      <c r="L97" s="0"/>
      <c r="M97" s="0"/>
      <c r="O97" s="0"/>
      <c r="P97" s="0"/>
      <c r="Q97" s="0"/>
      <c r="R97" s="0"/>
    </row>
    <row r="98" customFormat="false" ht="12.75" hidden="false" customHeight="false" outlineLevel="0" collapsed="false">
      <c r="C98" s="0"/>
      <c r="E98" s="0"/>
      <c r="G98" s="0"/>
      <c r="I98" s="0"/>
      <c r="J98" s="0"/>
      <c r="K98" s="0"/>
      <c r="L98" s="0"/>
      <c r="M98" s="0"/>
      <c r="O98" s="0"/>
      <c r="P98" s="0"/>
      <c r="Q98" s="0"/>
      <c r="R98" s="0"/>
    </row>
    <row r="99" customFormat="false" ht="12.75" hidden="false" customHeight="false" outlineLevel="0" collapsed="false">
      <c r="C99" s="0"/>
      <c r="E99" s="0"/>
      <c r="G99" s="0"/>
      <c r="I99" s="0"/>
      <c r="J99" s="0"/>
      <c r="K99" s="0"/>
      <c r="L99" s="0"/>
      <c r="M99" s="0"/>
      <c r="O99" s="0"/>
      <c r="P99" s="0"/>
      <c r="Q99" s="0"/>
      <c r="R99" s="0"/>
    </row>
    <row r="100" customFormat="false" ht="12.75" hidden="false" customHeight="false" outlineLevel="0" collapsed="false">
      <c r="C100" s="0"/>
      <c r="E100" s="0"/>
      <c r="G100" s="0"/>
      <c r="I100" s="0"/>
      <c r="J100" s="0"/>
      <c r="K100" s="0"/>
      <c r="L100" s="0"/>
      <c r="M100" s="0"/>
      <c r="O100" s="0"/>
      <c r="P100" s="0"/>
      <c r="Q100" s="0"/>
      <c r="R100" s="0"/>
    </row>
    <row r="101" customFormat="false" ht="12.75" hidden="false" customHeight="false" outlineLevel="0" collapsed="false">
      <c r="C101" s="0"/>
      <c r="E101" s="0"/>
      <c r="G101" s="0"/>
      <c r="I101" s="0"/>
      <c r="J101" s="0"/>
      <c r="K101" s="0"/>
      <c r="L101" s="0"/>
      <c r="M101" s="0"/>
      <c r="O101" s="0"/>
      <c r="P101" s="0"/>
      <c r="Q101" s="0"/>
      <c r="R101" s="0"/>
    </row>
    <row r="102" customFormat="false" ht="12.75" hidden="false" customHeight="false" outlineLevel="0" collapsed="false">
      <c r="C102" s="0"/>
      <c r="E102" s="0"/>
      <c r="G102" s="0"/>
      <c r="I102" s="0"/>
      <c r="J102" s="0"/>
      <c r="K102" s="0"/>
      <c r="L102" s="0"/>
      <c r="M102" s="0"/>
      <c r="O102" s="0"/>
      <c r="P102" s="0"/>
      <c r="Q102" s="0"/>
      <c r="R102" s="0"/>
    </row>
    <row r="103" customFormat="false" ht="12.75" hidden="false" customHeight="false" outlineLevel="0" collapsed="false">
      <c r="C103" s="0"/>
      <c r="E103" s="0"/>
      <c r="G103" s="0"/>
      <c r="I103" s="0"/>
      <c r="J103" s="0"/>
      <c r="K103" s="0"/>
      <c r="L103" s="0"/>
      <c r="M103" s="0"/>
      <c r="O103" s="0"/>
      <c r="P103" s="0"/>
      <c r="Q103" s="0"/>
      <c r="R103" s="0"/>
    </row>
    <row r="104" customFormat="false" ht="12.75" hidden="false" customHeight="false" outlineLevel="0" collapsed="false">
      <c r="C104" s="0"/>
      <c r="E104" s="0"/>
      <c r="G104" s="0"/>
      <c r="I104" s="0"/>
      <c r="J104" s="0"/>
      <c r="K104" s="0"/>
      <c r="L104" s="0"/>
      <c r="M104" s="0"/>
      <c r="O104" s="0"/>
      <c r="P104" s="0"/>
      <c r="Q104" s="0"/>
      <c r="R104" s="0"/>
    </row>
    <row r="105" customFormat="false" ht="12.75" hidden="false" customHeight="false" outlineLevel="0" collapsed="false">
      <c r="C105" s="0"/>
      <c r="E105" s="0"/>
      <c r="G105" s="0"/>
      <c r="I105" s="0"/>
      <c r="J105" s="0"/>
      <c r="K105" s="0"/>
      <c r="L105" s="0"/>
      <c r="M105" s="0"/>
      <c r="O105" s="0"/>
      <c r="P105" s="0"/>
      <c r="Q105" s="0"/>
      <c r="R105" s="0"/>
    </row>
    <row r="106" customFormat="false" ht="12.75" hidden="false" customHeight="false" outlineLevel="0" collapsed="false">
      <c r="C106" s="0"/>
      <c r="E106" s="0"/>
      <c r="G106" s="0"/>
      <c r="I106" s="0"/>
      <c r="J106" s="0"/>
      <c r="K106" s="0"/>
      <c r="L106" s="0"/>
      <c r="M106" s="0"/>
      <c r="O106" s="0"/>
      <c r="P106" s="0"/>
      <c r="Q106" s="0"/>
      <c r="R106" s="0"/>
    </row>
    <row r="107" customFormat="false" ht="12.75" hidden="false" customHeight="false" outlineLevel="0" collapsed="false">
      <c r="C107" s="0"/>
      <c r="E107" s="0"/>
      <c r="G107" s="0"/>
      <c r="I107" s="0"/>
      <c r="J107" s="0"/>
      <c r="K107" s="0"/>
      <c r="L107" s="0"/>
      <c r="M107" s="0"/>
      <c r="O107" s="0"/>
      <c r="P107" s="0"/>
      <c r="Q107" s="0"/>
      <c r="R107" s="0"/>
    </row>
    <row r="108" customFormat="false" ht="12.75" hidden="false" customHeight="false" outlineLevel="0" collapsed="false">
      <c r="C108" s="0"/>
      <c r="E108" s="0"/>
      <c r="G108" s="0"/>
      <c r="I108" s="0"/>
      <c r="J108" s="0"/>
      <c r="K108" s="0"/>
      <c r="L108" s="0"/>
      <c r="M108" s="0"/>
      <c r="O108" s="0"/>
      <c r="P108" s="0"/>
      <c r="Q108" s="0"/>
      <c r="R108" s="0"/>
    </row>
    <row r="109" customFormat="false" ht="12.75" hidden="false" customHeight="false" outlineLevel="0" collapsed="false">
      <c r="C109" s="0"/>
      <c r="E109" s="0"/>
      <c r="G109" s="0"/>
      <c r="I109" s="0"/>
      <c r="J109" s="0"/>
      <c r="K109" s="0"/>
      <c r="L109" s="0"/>
      <c r="M109" s="0"/>
      <c r="O109" s="0"/>
      <c r="P109" s="0"/>
      <c r="Q109" s="0"/>
      <c r="R109" s="0"/>
    </row>
    <row r="110" customFormat="false" ht="12.75" hidden="false" customHeight="false" outlineLevel="0" collapsed="false">
      <c r="C110" s="0"/>
      <c r="E110" s="0"/>
      <c r="G110" s="0"/>
      <c r="I110" s="0"/>
      <c r="J110" s="0"/>
      <c r="K110" s="0"/>
      <c r="L110" s="0"/>
      <c r="M110" s="0"/>
      <c r="O110" s="0"/>
      <c r="P110" s="0"/>
      <c r="Q110" s="0"/>
      <c r="R110" s="0"/>
    </row>
    <row r="111" customFormat="false" ht="12.75" hidden="false" customHeight="false" outlineLevel="0" collapsed="false">
      <c r="C111" s="0"/>
      <c r="E111" s="0"/>
      <c r="G111" s="0"/>
      <c r="I111" s="0"/>
      <c r="J111" s="0"/>
      <c r="K111" s="0"/>
      <c r="L111" s="0"/>
      <c r="M111" s="0"/>
      <c r="O111" s="0"/>
      <c r="P111" s="0"/>
      <c r="Q111" s="0"/>
      <c r="R111" s="0"/>
    </row>
  </sheetData>
  <mergeCells count="6">
    <mergeCell ref="A4:O4"/>
    <mergeCell ref="A5:O5"/>
    <mergeCell ref="A6:O6"/>
    <mergeCell ref="A7:O7"/>
    <mergeCell ref="E10:G10"/>
    <mergeCell ref="K10:M10"/>
  </mergeCells>
  <printOptions headings="false" gridLines="false" gridLinesSet="true" horizontalCentered="false" verticalCentered="false"/>
  <pageMargins left="0.5" right="0.5" top="0.420138888888889" bottom="0.619444444444445" header="0.270138888888889" footer="0.20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&amp;L&amp;D
&amp;T&amp;CPage &amp;P of &amp;N&amp;R&amp;F
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2000-08-10T11:02:15Z</dcterms:created>
  <dc:creator>Enron</dc:creator>
  <dc:description/>
  <dc:language>en-US</dc:language>
  <cp:lastModifiedBy>sgilbe2</cp:lastModifiedBy>
  <cp:lastPrinted>2001-09-21T18:07:54Z</cp:lastPrinted>
  <dcterms:modified xsi:type="dcterms:W3CDTF">2001-09-21T18:10:49Z</dcterms:modified>
  <cp:revision>0</cp:revision>
  <dc:subject/>
  <dc:title/>
</cp:coreProperties>
</file>