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l Out to ENA Commercial Team" sheetId="1" state="visible" r:id="rId3"/>
    <sheet name="Legal" sheetId="2" state="visible" r:id="rId4"/>
    <sheet name="LegalAlloc" sheetId="3" state="visible" r:id="rId5"/>
    <sheet name="2002 Plan interna legal" sheetId="4" state="visible" r:id="rId6"/>
    <sheet name="2002 Plan-external legal" sheetId="5" state="visible" r:id="rId7"/>
  </sheets>
  <externalReferences>
    <externalReference r:id="rId8"/>
    <externalReference r:id="rId9"/>
  </externalReferences>
  <definedNames>
    <definedName function="false" hidden="false" localSheetId="3" name="_xlnm.Print_Area" vbProcedure="false">'2002 Plan interna legal'!$A$1:$L$60</definedName>
    <definedName function="false" hidden="false" localSheetId="4" name="_xlnm.Print_Area" vbProcedure="false">'2002 Plan-external legal'!$A$1:$Q$83</definedName>
    <definedName function="false" hidden="false" localSheetId="0" name="_xlnm.Print_Area" vbProcedure="false">'Bill Out to ENA Commercial Team'!$A$1:$H$59</definedName>
    <definedName function="false" hidden="false" localSheetId="1" name="_xlnm.Print_Area" vbProcedure="false">Legal!$B$1:$O$59</definedName>
    <definedName function="false" hidden="false" localSheetId="2" name="_xlnm.Print_Area" vbProcedure="false">LegalAlloc!$A$1:$K$33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Hide columns D through G for presentation purposes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</xdr:col>
                <xdr:colOff>16</xdr:colOff>
                <xdr:row>5</xdr:row>
                <xdr:rowOff>7</xdr:rowOff>
              </xdr:from>
              <xdr:to>
                <xdr:col>14</xdr:col>
                <xdr:colOff>12</xdr:colOff>
                <xdr:row>9</xdr:row>
                <xdr:rowOff>1</xdr:rowOff>
              </xdr:to>
            </anchor>
          </commentPr>
        </mc:Choice>
        <mc:Fallback/>
      </mc:AlternateContent>
    </comment>
    <comment ref="I11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9"/>
            <color rgb="FF000000"/>
            <rFont val="Tahoma"/>
            <family val="2"/>
          </rPr>
          <t xml:space="preserve">plug here 1.2M per Faith, (219,970) to back out EBS bonuses; 22k forced to get back to 52113 total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</xdr:col>
                <xdr:colOff>16</xdr:colOff>
                <xdr:row>9</xdr:row>
                <xdr:rowOff>7</xdr:rowOff>
              </xdr:from>
              <xdr:to>
                <xdr:col>14</xdr:col>
                <xdr:colOff>12</xdr:colOff>
                <xdr:row>28</xdr:row>
                <xdr:rowOff>4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estimated ee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10</xdr:row>
                <xdr:rowOff>9</xdr:rowOff>
              </xdr:from>
              <xdr:to>
                <xdr:col>15</xdr:col>
                <xdr:colOff>14</xdr:colOff>
                <xdr:row>31</xdr:row>
                <xdr:rowOff>20</xdr:rowOff>
              </xdr:to>
            </anchor>
          </commentPr>
        </mc:Choice>
        <mc:Fallback/>
      </mc:AlternateContent>
    </comment>
    <comment ref="K2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estimated travel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11</xdr:row>
                <xdr:rowOff>9</xdr:rowOff>
              </xdr:from>
              <xdr:to>
                <xdr:col>15</xdr:col>
                <xdr:colOff>14</xdr:colOff>
                <xdr:row>38</xdr:row>
                <xdr:rowOff>5</xdr:rowOff>
              </xdr:to>
            </anchor>
          </commentPr>
        </mc:Choice>
        <mc:Fallback/>
      </mc:AlternateContent>
    </comment>
    <comment ref="U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Hide column N for presentation purposes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16</xdr:colOff>
                <xdr:row>5</xdr:row>
                <xdr:rowOff>7</xdr:rowOff>
              </xdr:from>
              <xdr:to>
                <xdr:col>26</xdr:col>
                <xdr:colOff>20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now is EPI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4</xdr:colOff>
                <xdr:row>12</xdr:row>
                <xdr:rowOff>7</xdr:rowOff>
              </xdr:from>
              <xdr:to>
                <xdr:col>4</xdr:col>
                <xdr:colOff>35</xdr:colOff>
                <xdr:row>17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add 1.2M per Faith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5</xdr:row>
                <xdr:rowOff>7</xdr:rowOff>
              </xdr:from>
              <xdr:to>
                <xdr:col>8</xdr:col>
                <xdr:colOff>5</xdr:colOff>
                <xdr:row>9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120484
121125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7</xdr:row>
                <xdr:rowOff>7</xdr:rowOff>
              </xdr:from>
              <xdr:to>
                <xdr:col>5</xdr:col>
                <xdr:colOff>-11</xdr:colOff>
                <xdr:row>10</xdr:row>
                <xdr:rowOff>1</xdr:rowOff>
              </xdr:to>
            </anchor>
          </commentPr>
        </mc:Choice>
        <mc:Fallback/>
      </mc:AlternateContent>
    </commen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100055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8</xdr:row>
                <xdr:rowOff>7</xdr:rowOff>
              </xdr:from>
              <xdr:to>
                <xdr:col>5</xdr:col>
                <xdr:colOff>-1</xdr:colOff>
                <xdr:row>10</xdr:row>
                <xdr:rowOff>4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150249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9</xdr:row>
                <xdr:rowOff>7</xdr:rowOff>
              </xdr:from>
              <xdr:to>
                <xdr:col>5</xdr:col>
                <xdr:colOff>-13</xdr:colOff>
                <xdr:row>11</xdr:row>
                <xdr:rowOff>5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140052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10</xdr:row>
                <xdr:rowOff>7</xdr:rowOff>
              </xdr:from>
              <xdr:to>
                <xdr:col>6</xdr:col>
                <xdr:colOff>24</xdr:colOff>
                <xdr:row>12</xdr:row>
                <xdr:rowOff>16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140167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11</xdr:row>
                <xdr:rowOff>7</xdr:rowOff>
              </xdr:from>
              <xdr:to>
                <xdr:col>5</xdr:col>
                <xdr:colOff>-12</xdr:colOff>
                <xdr:row>14</xdr:row>
                <xdr:rowOff>4</xdr:rowOff>
              </xdr:to>
            </anchor>
          </commentPr>
        </mc:Choice>
        <mc:Fallback/>
      </mc:AlternateContent>
    </comment>
    <comment ref="C14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106042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4</xdr:colOff>
                <xdr:row>12</xdr:row>
                <xdr:rowOff>7</xdr:rowOff>
              </xdr:from>
              <xdr:to>
                <xdr:col>5</xdr:col>
                <xdr:colOff>-16</xdr:colOff>
                <xdr:row>15</xdr:row>
                <xdr:rowOff>3</xdr:rowOff>
              </xdr:to>
            </anchor>
          </commentPr>
        </mc:Choice>
        <mc:Fallback/>
      </mc:AlternateContent>
    </commen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106196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12</xdr:row>
                <xdr:rowOff>7</xdr:rowOff>
              </xdr:from>
              <xdr:to>
                <xdr:col>5</xdr:col>
                <xdr:colOff>-9</xdr:colOff>
                <xdr:row>15</xdr:row>
                <xdr:rowOff>12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100663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14</xdr:row>
                <xdr:rowOff>7</xdr:rowOff>
              </xdr:from>
              <xdr:to>
                <xdr:col>5</xdr:col>
                <xdr:colOff>-12</xdr:colOff>
                <xdr:row>16</xdr:row>
                <xdr:rowOff>5</xdr:rowOff>
              </xdr:to>
            </anchor>
          </commentPr>
        </mc:Choice>
        <mc:Fallback/>
      </mc:AlternateContent>
    </commen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102564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15</xdr:row>
                <xdr:rowOff>7</xdr:rowOff>
              </xdr:from>
              <xdr:to>
                <xdr:col>5</xdr:col>
                <xdr:colOff>-5</xdr:colOff>
                <xdr:row>17</xdr:row>
                <xdr:rowOff>3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103478 (Murray = 1,193,172)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16</xdr:row>
                <xdr:rowOff>7</xdr:rowOff>
              </xdr:from>
              <xdr:to>
                <xdr:col>6</xdr:col>
                <xdr:colOff>36</xdr:colOff>
                <xdr:row>19</xdr:row>
                <xdr:rowOff>6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104151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17</xdr:row>
                <xdr:rowOff>7</xdr:rowOff>
              </xdr:from>
              <xdr:to>
                <xdr:col>5</xdr:col>
                <xdr:colOff>-13</xdr:colOff>
                <xdr:row>19</xdr:row>
                <xdr:rowOff>7</xdr:rowOff>
              </xdr:to>
            </anchor>
          </commentPr>
        </mc:Choice>
        <mc:Fallback/>
      </mc:AlternateContent>
    </commen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105168;  not split between wholesale and retail in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18</xdr:row>
                <xdr:rowOff>7</xdr:rowOff>
              </xdr:from>
              <xdr:to>
                <xdr:col>6</xdr:col>
                <xdr:colOff>40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140399
140402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20</xdr:row>
                <xdr:rowOff>7</xdr:rowOff>
              </xdr:from>
              <xdr:to>
                <xdr:col>5</xdr:col>
                <xdr:colOff>-12</xdr:colOff>
                <xdr:row>23</xdr:row>
                <xdr:rowOff>9</xdr:rowOff>
              </xdr:to>
            </anchor>
          </commentPr>
        </mc:Choice>
        <mc:Fallback/>
      </mc:AlternateContent>
    </comment>
    <comment ref="I1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 APACHI for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</xdr:colOff>
                <xdr:row>10</xdr:row>
                <xdr:rowOff>7</xdr:rowOff>
              </xdr:from>
              <xdr:to>
                <xdr:col>12</xdr:col>
                <xdr:colOff>41</xdr:colOff>
                <xdr:row>12</xdr:row>
                <xdr:rowOff>3</xdr:rowOff>
              </xdr:to>
            </anchor>
          </commentPr>
        </mc:Choice>
        <mc:Fallback/>
      </mc:AlternateContent>
    </comment>
    <comment ref="I18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Murray in Plan and Forecast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</xdr:colOff>
                <xdr:row>16</xdr:row>
                <xdr:rowOff>7</xdr:rowOff>
              </xdr:from>
              <xdr:to>
                <xdr:col>12</xdr:col>
                <xdr:colOff>38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<sst xmlns="http://schemas.openxmlformats.org/spreadsheetml/2006/main" count="359" uniqueCount="246">
  <si>
    <t xml:space="preserve">Outside Legal Costs </t>
  </si>
  <si>
    <t xml:space="preserve">Bill Out to ENA Commercial Teams</t>
  </si>
  <si>
    <t xml:space="preserve">2002 Plan</t>
  </si>
  <si>
    <t xml:space="preserve">Cost Center</t>
  </si>
  <si>
    <t xml:space="preserve">Commercial Teams</t>
  </si>
  <si>
    <t xml:space="preserve">2001 Forecast</t>
  </si>
  <si>
    <t xml:space="preserve">I/C - EES - IT - Executive</t>
  </si>
  <si>
    <t xml:space="preserve">NA-Company 413 Group Non Controllable</t>
  </si>
  <si>
    <t xml:space="preserve">NA-Treasury</t>
  </si>
  <si>
    <t xml:space="preserve">Bridgeline</t>
  </si>
  <si>
    <t xml:space="preserve">NA-Upstream Originations Compression</t>
  </si>
  <si>
    <t xml:space="preserve">NA-Generation Investments</t>
  </si>
  <si>
    <t xml:space="preserve">NA-Office of the Chair G&amp;A</t>
  </si>
  <si>
    <t xml:space="preserve">NA-Natural Gas Derivatives</t>
  </si>
  <si>
    <t xml:space="preserve">NA-HPL</t>
  </si>
  <si>
    <t xml:space="preserve">NA-East Originations G&amp;A</t>
  </si>
  <si>
    <t xml:space="preserve">NA-Industrial Downstream G&amp;A</t>
  </si>
  <si>
    <t xml:space="preserve">NA-Gas Network Services G&amp;A</t>
  </si>
  <si>
    <t xml:space="preserve">NA-Upstream Originations Storage</t>
  </si>
  <si>
    <t xml:space="preserve">NA-Enron Power Transmission G&amp;A</t>
  </si>
  <si>
    <t xml:space="preserve">NA-Gas Network Development G&amp;A</t>
  </si>
  <si>
    <t xml:space="preserve">NA-Transportation &amp; Storage G&amp;A</t>
  </si>
  <si>
    <t xml:space="preserve">NA-Gas Network Engineering G&amp;A</t>
  </si>
  <si>
    <t xml:space="preserve">NA-Gas Network Opererations</t>
  </si>
  <si>
    <t xml:space="preserve">NA-Rocky Mountain G&amp;A</t>
  </si>
  <si>
    <t xml:space="preserve">NA-Debt Trading Trading G&amp;A</t>
  </si>
  <si>
    <t xml:space="preserve">NA-Genco G&amp;A</t>
  </si>
  <si>
    <t xml:space="preserve">NA-Asset Trading G&amp;A</t>
  </si>
  <si>
    <t xml:space="preserve">NA-Financial Gas G&amp;A</t>
  </si>
  <si>
    <t xml:space="preserve">NA-Central Gas G&amp;A</t>
  </si>
  <si>
    <t xml:space="preserve">NA-East Gas G&amp;A</t>
  </si>
  <si>
    <t xml:space="preserve">NA-West Gas G&amp;A</t>
  </si>
  <si>
    <t xml:space="preserve">NA-CTG G&amp;A</t>
  </si>
  <si>
    <t xml:space="preserve">NA-Risk Management Houston G&amp;A</t>
  </si>
  <si>
    <t xml:space="preserve">NA-Risk Management New York G&amp;A</t>
  </si>
  <si>
    <t xml:space="preserve">NA-Energy Capital Resources</t>
  </si>
  <si>
    <t xml:space="preserve">NA-Upstream Originations Executive</t>
  </si>
  <si>
    <t xml:space="preserve">NA-Upstream Originations Prod E-Commerce</t>
  </si>
  <si>
    <t xml:space="preserve">NA-TAC</t>
  </si>
  <si>
    <t xml:space="preserve">NA-Assets Transportation G&amp;A</t>
  </si>
  <si>
    <t xml:space="preserve">NA-Offshore Services G&amp;A</t>
  </si>
  <si>
    <t xml:space="preserve">NA-Canada Finance G&amp;A</t>
  </si>
  <si>
    <t xml:space="preserve">NA-Canada Trading G&amp;A</t>
  </si>
  <si>
    <t xml:space="preserve">NA-Mexico G&amp;A</t>
  </si>
  <si>
    <t xml:space="preserve">NA-West Power Originations </t>
  </si>
  <si>
    <t xml:space="preserve">NA-West Origination Development</t>
  </si>
  <si>
    <t xml:space="preserve">NA-West Power Trading G&amp;A</t>
  </si>
  <si>
    <t xml:space="preserve">NA-East Power Northeast Trading</t>
  </si>
  <si>
    <t xml:space="preserve">NA-Natural Gas Midwest Originations</t>
  </si>
  <si>
    <t xml:space="preserve">NA-East Power Generation Development</t>
  </si>
  <si>
    <t xml:space="preserve">NA-West Gas Denver</t>
  </si>
  <si>
    <t xml:space="preserve">NA-East Power Peakers</t>
  </si>
  <si>
    <t xml:space="preserve">NA-East Power Mgmt Book Trading</t>
  </si>
  <si>
    <t xml:space="preserve">NA-East Power Northeast Origination</t>
  </si>
  <si>
    <t xml:space="preserve">NA-East Power Southeast Origination</t>
  </si>
  <si>
    <t xml:space="preserve">NA-East Power Southeast Trading</t>
  </si>
  <si>
    <t xml:space="preserve">NA-East Power ERCOT Trading</t>
  </si>
  <si>
    <t xml:space="preserve">NA-Natural Gas East Region Originations</t>
  </si>
  <si>
    <t xml:space="preserve">NA-North Carolina Coal Plants (Alamac)</t>
  </si>
  <si>
    <t xml:space="preserve">TOTAL</t>
  </si>
  <si>
    <t xml:space="preserve">excludes 105659-HPL that will not be here in 2002, includes Murray</t>
  </si>
  <si>
    <t xml:space="preserve">External BUs =</t>
  </si>
  <si>
    <t xml:space="preserve">External CTs = </t>
  </si>
  <si>
    <t xml:space="preserve">2002 Plan Summary - Legal</t>
  </si>
  <si>
    <t xml:space="preserve">Original 2001</t>
  </si>
  <si>
    <t xml:space="preserve">'01 Fcst vs '02 Plan</t>
  </si>
  <si>
    <t xml:space="preserve">Jan-July</t>
  </si>
  <si>
    <t xml:space="preserve">Aug-Dec</t>
  </si>
  <si>
    <t xml:space="preserve">Adjustments</t>
  </si>
  <si>
    <t xml:space="preserve">Plan</t>
  </si>
  <si>
    <t xml:space="preserve">Forecast</t>
  </si>
  <si>
    <t xml:space="preserve">Fav/(Unfav)</t>
  </si>
  <si>
    <t xml:space="preserve">Actuals</t>
  </si>
  <si>
    <t xml:space="preserve">EPI</t>
  </si>
  <si>
    <t xml:space="preserve">  Direct Expenses </t>
  </si>
  <si>
    <t xml:space="preserve">Original Plan</t>
  </si>
  <si>
    <t xml:space="preserve">EBS</t>
  </si>
  <si>
    <t xml:space="preserve">Compensation/Taxes and Benefits</t>
  </si>
  <si>
    <t xml:space="preserve">Merits/Promotions increase</t>
  </si>
  <si>
    <t xml:space="preserve">Employee Expenses</t>
  </si>
  <si>
    <t xml:space="preserve">     Recruiting and Relocations</t>
  </si>
  <si>
    <t xml:space="preserve">     Communications (Cell Phones, Pagers, etc.)</t>
  </si>
  <si>
    <t xml:space="preserve">     Conferences and Training</t>
  </si>
  <si>
    <t xml:space="preserve">     Club Dues</t>
  </si>
  <si>
    <t xml:space="preserve">     Employee Memberships &amp; Dues</t>
  </si>
  <si>
    <t xml:space="preserve">     Tuition Reimbursement</t>
  </si>
  <si>
    <t xml:space="preserve">     Employee Entertainment</t>
  </si>
  <si>
    <t xml:space="preserve">     Overtime/Working Meals</t>
  </si>
  <si>
    <t xml:space="preserve">     Other Employee Expenses</t>
  </si>
  <si>
    <t xml:space="preserve">Travel/Entertainment</t>
  </si>
  <si>
    <t xml:space="preserve">     Travel - Air</t>
  </si>
  <si>
    <t xml:space="preserve">     Travel - Lodging</t>
  </si>
  <si>
    <t xml:space="preserve">     Travel - Meals</t>
  </si>
  <si>
    <t xml:space="preserve">     Travel - Other</t>
  </si>
  <si>
    <t xml:space="preserve">     Client Entertainment</t>
  </si>
  <si>
    <t xml:space="preserve">     Customer Meetings</t>
  </si>
  <si>
    <t xml:space="preserve">Consulting</t>
  </si>
  <si>
    <t xml:space="preserve">All O/S planned in O/S legal</t>
  </si>
  <si>
    <t xml:space="preserve">     Advertising &amp; Promotions</t>
  </si>
  <si>
    <t xml:space="preserve">     Outside Services Excluding Legal and Tax</t>
  </si>
  <si>
    <t xml:space="preserve">Office</t>
  </si>
  <si>
    <t xml:space="preserve">     3rd Party Rent</t>
  </si>
  <si>
    <t xml:space="preserve">     Supplies</t>
  </si>
  <si>
    <t xml:space="preserve">     Subscriptions and Periodicals</t>
  </si>
  <si>
    <t xml:space="preserve">     Postage and Freight</t>
  </si>
  <si>
    <t xml:space="preserve">     Corporate Rent</t>
  </si>
  <si>
    <t xml:space="preserve">     Technology</t>
  </si>
  <si>
    <t xml:space="preserve">Controllable Infrastructure</t>
  </si>
  <si>
    <t xml:space="preserve">System Development</t>
  </si>
  <si>
    <t xml:space="preserve">Insurance</t>
  </si>
  <si>
    <r>
      <rPr>
        <b val="true"/>
        <sz val="11"/>
        <rFont val="Arial"/>
        <family val="2"/>
      </rPr>
      <t xml:space="preserve">Analyst Associates </t>
    </r>
    <r>
      <rPr>
        <sz val="9"/>
        <rFont val="Arial"/>
        <family val="2"/>
      </rPr>
      <t xml:space="preserve">(Includes Comp, Taxes and Benefits and allocation)</t>
    </r>
  </si>
  <si>
    <t xml:space="preserve">Other Expense</t>
  </si>
  <si>
    <t xml:space="preserve">     Taxes Other than Income</t>
  </si>
  <si>
    <t xml:space="preserve">     Charitable Contributions</t>
  </si>
  <si>
    <t xml:space="preserve">     Company Membership &amp; Dues</t>
  </si>
  <si>
    <t xml:space="preserve">     Other Expenses (Transportation, Fees &amp; Permits, etc.)</t>
  </si>
  <si>
    <t xml:space="preserve">Outside Legal</t>
  </si>
  <si>
    <t xml:space="preserve">Per M. Haedicke, flat yr on yr</t>
  </si>
  <si>
    <t xml:space="preserve">Outside Tax</t>
  </si>
  <si>
    <t xml:space="preserve">Depreciation and Amortization</t>
  </si>
  <si>
    <t xml:space="preserve">Total Direct Expenses</t>
  </si>
  <si>
    <t xml:space="preserve">Bonus Accrual</t>
  </si>
  <si>
    <t xml:space="preserve">Total Expenses Including Bonus Accrual</t>
  </si>
  <si>
    <t xml:space="preserve">Amounts Billed to Other Business Units</t>
  </si>
  <si>
    <t xml:space="preserve">Amounts Directed to ENA Commercial Teams</t>
  </si>
  <si>
    <t xml:space="preserve">Expenses Net of Intercompany Billings</t>
  </si>
  <si>
    <t xml:space="preserve">  Headcount</t>
  </si>
  <si>
    <t xml:space="preserve">Legal</t>
  </si>
  <si>
    <t xml:space="preserve">Analysis of I/C Billings</t>
  </si>
  <si>
    <t xml:space="preserve">$</t>
  </si>
  <si>
    <t xml:space="preserve">%</t>
  </si>
  <si>
    <t xml:space="preserve">HC</t>
  </si>
  <si>
    <t xml:space="preserve">  Allocation to business units</t>
  </si>
  <si>
    <t xml:space="preserve">     EGM</t>
  </si>
  <si>
    <t xml:space="preserve">     RAC - Investment Underwriting</t>
  </si>
  <si>
    <t xml:space="preserve">     Corp</t>
  </si>
  <si>
    <t xml:space="preserve">     APACHI</t>
  </si>
  <si>
    <t xml:space="preserve">     ENW</t>
  </si>
  <si>
    <t xml:space="preserve">     EEDC</t>
  </si>
  <si>
    <t xml:space="preserve">     EGF/ECM</t>
  </si>
  <si>
    <t xml:space="preserve">     EEL</t>
  </si>
  <si>
    <t xml:space="preserve">     EI - S.A.</t>
  </si>
  <si>
    <t xml:space="preserve">     EIM</t>
  </si>
  <si>
    <t xml:space="preserve">     EBS</t>
  </si>
  <si>
    <t xml:space="preserve">     EES Wholesale</t>
  </si>
  <si>
    <t xml:space="preserve">     Xcelerator</t>
  </si>
  <si>
    <t xml:space="preserve">     EPI</t>
  </si>
  <si>
    <t xml:space="preserve">     ENA</t>
  </si>
  <si>
    <t xml:space="preserve">Total</t>
  </si>
  <si>
    <t xml:space="preserve">ENA Commercial Teams</t>
  </si>
  <si>
    <t xml:space="preserve">ENA Net to Group</t>
  </si>
  <si>
    <t xml:space="preserve">Total ENA</t>
  </si>
  <si>
    <t xml:space="preserve">Note</t>
  </si>
  <si>
    <t xml:space="preserve">2002 Plan Direct Expense and allocations to business units include Bonus Accrual.</t>
  </si>
  <si>
    <t xml:space="preserve">2002 Internal legal billout to other business units (nonENA)</t>
  </si>
  <si>
    <t xml:space="preserve">L. Schuler - 105653</t>
  </si>
  <si>
    <t xml:space="preserve">L. Schuler (EBS) - 140567</t>
  </si>
  <si>
    <t xml:space="preserve">M. Haedicke - 105655</t>
  </si>
  <si>
    <t xml:space="preserve">M. Taylor - 105657</t>
  </si>
  <si>
    <t xml:space="preserve">J. Murray - 107062</t>
  </si>
  <si>
    <t xml:space="preserve">A. Aronowitz - 105658</t>
  </si>
  <si>
    <t xml:space="preserve">Total/month</t>
  </si>
  <si>
    <t xml:space="preserve">Total/year</t>
  </si>
  <si>
    <t xml:space="preserve">Enron Capital Management - CC 106196</t>
  </si>
  <si>
    <t xml:space="preserve">Enron Global Markets - CC 120484</t>
  </si>
  <si>
    <t xml:space="preserve">Enron Industrial Markets - CC 103478</t>
  </si>
  <si>
    <t xml:space="preserve">Enron South America - CC 102564</t>
  </si>
  <si>
    <t xml:space="preserve">Enron Networks - CC 140167</t>
  </si>
  <si>
    <t xml:space="preserve">EEL - CC 100663</t>
  </si>
  <si>
    <t xml:space="preserve">Enron Principal Investments - CC 140399</t>
  </si>
  <si>
    <t xml:space="preserve">c)</t>
  </si>
  <si>
    <t xml:space="preserve">Enron Broadband Services</t>
  </si>
  <si>
    <t xml:space="preserve">a)</t>
  </si>
  <si>
    <t xml:space="preserve">Xcelerator</t>
  </si>
  <si>
    <t xml:space="preserve">Total Monthly Internal Expenses for 2002 Plan</t>
  </si>
  <si>
    <t xml:space="preserve">Flat amount of 250k/yr</t>
  </si>
  <si>
    <t xml:space="preserve">Flat amount of $8M/yr</t>
  </si>
  <si>
    <t xml:space="preserve">b)</t>
  </si>
  <si>
    <t xml:space="preserve">Note:  These amounts are being billed to the above business units monthly.</t>
  </si>
  <si>
    <t xml:space="preserve">a) EBS internal is 3,000,000 for the year, and 5,000,000 for external for the year for a total of 8,000,000 flat rate billed.</t>
  </si>
  <si>
    <t xml:space="preserve">b) Murray internal is 1,525,540 for the year and 5M for external for the year = 6,525,540 2002 Plan.</t>
  </si>
  <si>
    <t xml:space="preserve">c) EPI interanl is 250k for the year and 650k for external for the year; 900k total.</t>
  </si>
  <si>
    <t xml:space="preserve">YTD Summary of external legal billout to other BUs and commercial teams</t>
  </si>
  <si>
    <t xml:space="preserve">As of 07-31-01</t>
  </si>
  <si>
    <t xml:space="preserve">BUs and Commercial Teams</t>
  </si>
  <si>
    <t xml:space="preserve">Old Name</t>
  </si>
  <si>
    <t xml:space="preserve">Total Jan- July Actuals</t>
  </si>
  <si>
    <t xml:space="preserve">Energy Capital - 105653</t>
  </si>
  <si>
    <t xml:space="preserve">West Orig - 105654</t>
  </si>
  <si>
    <t xml:space="preserve">Litigation - 105656</t>
  </si>
  <si>
    <t xml:space="preserve">Fin'l Trdg - 105657</t>
  </si>
  <si>
    <t xml:space="preserve">EGM - 105658</t>
  </si>
  <si>
    <t xml:space="preserve">Labor &amp; Emp Law - 105660</t>
  </si>
  <si>
    <t xml:space="preserve">Power Trdg - 107061</t>
  </si>
  <si>
    <t xml:space="preserve">EIM - 107062</t>
  </si>
  <si>
    <t xml:space="preserve">Total Aug-Dec Based on %</t>
  </si>
  <si>
    <t xml:space="preserve">RAC - Investment Underwriting</t>
  </si>
  <si>
    <t xml:space="preserve">I/C - CORP-Other G&amp;A Costs</t>
  </si>
  <si>
    <t xml:space="preserve">I/C</t>
  </si>
  <si>
    <t xml:space="preserve">I/C - EEL-ECT NA G&amp;A ALLOCATIONS</t>
  </si>
  <si>
    <t xml:space="preserve">I/C - ES-HOU - Corp. Allocations (EI - So. Am)</t>
  </si>
  <si>
    <t xml:space="preserve">I/C - EIM</t>
  </si>
  <si>
    <t xml:space="preserve">I/C - EES - Commodity Risk Management</t>
  </si>
  <si>
    <t xml:space="preserve">Group</t>
  </si>
  <si>
    <t xml:space="preserve">I/C - EEDC (now EPI)</t>
  </si>
  <si>
    <t xml:space="preserve">I/C - ECM(EGF)</t>
  </si>
  <si>
    <t xml:space="preserve">NBD</t>
  </si>
  <si>
    <t xml:space="preserve">Office of the Chairman</t>
  </si>
  <si>
    <t xml:space="preserve">East Orig</t>
  </si>
  <si>
    <t xml:space="preserve">Downstream Industrial</t>
  </si>
  <si>
    <t xml:space="preserve">Assets</t>
  </si>
  <si>
    <t xml:space="preserve">Credit Spread</t>
  </si>
  <si>
    <t xml:space="preserve">Genco</t>
  </si>
  <si>
    <t xml:space="preserve">LT Gas Trading</t>
  </si>
  <si>
    <t xml:space="preserve">Short-term Gas Trading - Central</t>
  </si>
  <si>
    <t xml:space="preserve">Short-term Gas Trading - East </t>
  </si>
  <si>
    <t xml:space="preserve">Short-term Gas Trading - West</t>
  </si>
  <si>
    <t xml:space="preserve">CTG</t>
  </si>
  <si>
    <t xml:space="preserve">Risk Management - Houston</t>
  </si>
  <si>
    <t xml:space="preserve">Risk Management - New York</t>
  </si>
  <si>
    <t xml:space="preserve">Financial Origination</t>
  </si>
  <si>
    <t xml:space="preserve">SA: perf &amp; nonperf</t>
  </si>
  <si>
    <t xml:space="preserve">Upstream Origination</t>
  </si>
  <si>
    <t xml:space="preserve">Executive Assets</t>
  </si>
  <si>
    <t xml:space="preserve">Canada</t>
  </si>
  <si>
    <t xml:space="preserve">Mexico</t>
  </si>
  <si>
    <t xml:space="preserve">West Originations</t>
  </si>
  <si>
    <t xml:space="preserve">West Power Trading</t>
  </si>
  <si>
    <t xml:space="preserve">Northeast Origination</t>
  </si>
  <si>
    <t xml:space="preserve">I/C - Enron Global Markets</t>
  </si>
  <si>
    <t xml:space="preserve">ENRON FREIGHT MARKETS</t>
  </si>
  <si>
    <t xml:space="preserve">I/C - ENW</t>
  </si>
  <si>
    <t xml:space="preserve">NA-Principal Investing G&amp;A</t>
  </si>
  <si>
    <t xml:space="preserve">NA-Restructuring</t>
  </si>
  <si>
    <t xml:space="preserve">I/C,Coal,Weather, SO2,Currency, Insurance and Equity Trdg</t>
  </si>
  <si>
    <t xml:space="preserve">Corp Development</t>
  </si>
  <si>
    <t xml:space="preserve">I/C - EIM (J. Murray cost center)</t>
  </si>
  <si>
    <t xml:space="preserve">(estimated)</t>
  </si>
  <si>
    <t xml:space="preserve">I/C - EBS</t>
  </si>
  <si>
    <t xml:space="preserve">Pulp &amp; Paper</t>
  </si>
  <si>
    <t xml:space="preserve">140399/140402</t>
  </si>
  <si>
    <t xml:space="preserve">IC - EPI/Restructuring</t>
  </si>
  <si>
    <t xml:space="preserve">Notes:</t>
  </si>
  <si>
    <t xml:space="preserve">a)  EIM allocation from Murray is for 6,525,540:  5M for external and remainder for internal.</t>
  </si>
  <si>
    <t xml:space="preserve">b)  EBS allocation is for 8M.  5M for external and 3M for internal.</t>
  </si>
  <si>
    <t xml:space="preserve">c)  EPI allocations is 900k.  650k for external and 250 for internal.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</si>
</sst>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#,##0_);\(#,##0\)"/>
    <numFmt numFmtId="166" formatCode="0.00_)"/>
    <numFmt numFmtId="167" formatCode="0.00%"/>
    <numFmt numFmtId="168" formatCode="_(* #,##0.00_);_(* \(#,##0.00\);_(* \-??_);_(@_)"/>
    <numFmt numFmtId="169" formatCode="_(* #,##0_);_(* \(#,##0\);_(* \-_);_(@_)"/>
    <numFmt numFmtId="170" formatCode="0%"/>
    <numFmt numFmtId="171" formatCode="_(* #,##0.0000000_);_(* \(#,##0.0000000\);_(* \-??_);_(@_)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"/>
    <numFmt numFmtId="176" formatCode="_(* #,##0_);_(* \(#,##0\);_(* \-??_);_(@_)"/>
    <numFmt numFmtId="177" formatCode="0.0%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7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0"/>
    </font>
    <font>
      <sz val="9"/>
      <name val="Arial"/>
      <family val="0"/>
    </font>
    <font>
      <b val="true"/>
      <sz val="9"/>
      <name val="Arial"/>
      <family val="0"/>
    </font>
    <font>
      <b val="true"/>
      <sz val="9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1"/>
      <color rgb="FF0000FF"/>
      <name val="Arial"/>
      <family val="2"/>
    </font>
    <font>
      <sz val="9"/>
      <color rgb="FF0000FF"/>
      <name val="Arial"/>
      <family val="2"/>
    </font>
    <font>
      <b val="true"/>
      <sz val="11"/>
      <color rgb="FFC0C0C0"/>
      <name val="Arial"/>
      <family val="2"/>
    </font>
    <font>
      <b val="true"/>
      <sz val="11"/>
      <color rgb="FF000000"/>
      <name val="Arial"/>
      <family val="2"/>
    </font>
    <font>
      <b val="true"/>
      <sz val="8"/>
      <color rgb="FF000000"/>
      <name val="Tahoma"/>
      <family val="0"/>
    </font>
    <font>
      <sz val="9"/>
      <color rgb="FF000000"/>
      <name val="Tahoma"/>
      <family val="2"/>
    </font>
    <font>
      <sz val="8"/>
      <color rgb="FF000000"/>
      <name val="Tahoma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4" fillId="0" borderId="0" applyFont="true" applyBorder="false" applyAlignment="false" applyProtection="true">
      <protection locked="true" hidden="false"/>
    </xf>
    <xf numFmtId="164" fontId="5" fillId="2" borderId="0" applyFont="true" applyBorder="false" applyAlignment="false" applyProtection="false"/>
    <xf numFmtId="164" fontId="6" fillId="0" borderId="1" applyFont="true" applyBorder="true" applyAlignment="false" applyProtection="false"/>
    <xf numFmtId="164" fontId="6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2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6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6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6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6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6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0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3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IELD" xfId="20"/>
    <cellStyle name="Grey" xfId="21"/>
    <cellStyle name="Header1" xfId="22"/>
    <cellStyle name="Header2" xfId="23"/>
    <cellStyle name="Input [yellow]" xfId="24"/>
    <cellStyle name="Normal - Style1" xfId="25"/>
    <cellStyle name="Percent [2]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2/2002%20Plan/Group/SupportDetail-Presentation-Group-Rev-9.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%20legal%20billout-rev-9.1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nada"/>
      <sheetName val="CABC"/>
      <sheetName val="CABC Explanations"/>
      <sheetName val="CABCAlloc"/>
      <sheetName val="eSource"/>
      <sheetName val="eSourceAlloc"/>
      <sheetName val="Fin Ops"/>
      <sheetName val="Fin Ops excl Wes"/>
      <sheetName val="Fin Ops Alloc yr on yr"/>
      <sheetName val="Fin_Ops Allocations"/>
      <sheetName val="Fin_Ops 2002 Plan Detail"/>
      <sheetName val="Fin_Ops 2001 Forecast Detail"/>
      <sheetName val="Fin-Ops Variance Analysis"/>
      <sheetName val="Elaine Allocations"/>
      <sheetName val="Empee Exp reduction"/>
      <sheetName val="HR"/>
      <sheetName val="HRAlloc"/>
      <sheetName val="Legal Revised "/>
      <sheetName val="LegalAlloc-old"/>
      <sheetName val="Legal - old"/>
      <sheetName val="LegalAlloc revised"/>
      <sheetName val="PR"/>
      <sheetName val="PRAlloc"/>
      <sheetName val="Research"/>
      <sheetName val="ResearchAlloc"/>
      <sheetName val="Tax"/>
      <sheetName val="TaxAlloc"/>
      <sheetName val="TechSvcs-Cons"/>
      <sheetName val="TranSup"/>
      <sheetName val="TranSup Orig 2001 Plan"/>
      <sheetName val="TranSuppAlloc"/>
      <sheetName val="Treasury"/>
      <sheetName val="TreasAlloc"/>
      <sheetName val="EnOps"/>
      <sheetName val="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6">
          <cell r="P56">
            <v>53359418.4285714</v>
          </cell>
        </row>
        <row r="56">
          <cell r="R56">
            <v>57269780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Summary ($)"/>
      <sheetName val="Allocations"/>
      <sheetName val="2002 Ext billout"/>
      <sheetName val="YTD Summary (%) - 105659"/>
      <sheetName val="Teams"/>
      <sheetName val="Teams (2)"/>
      <sheetName val="teams (plan $)"/>
      <sheetName val="teams (plan $-2)"/>
      <sheetName val="2001 Forecast-external legal"/>
      <sheetName val="2002 Plan-external legal"/>
      <sheetName val="2001 Plan-external legal"/>
      <sheetName val="2001 Forecast-ext legal-revised"/>
      <sheetName val="2002 Plan-extl legal revised"/>
      <sheetName val="Ext to ENA Comm Team"/>
      <sheetName val="YTD Summary ($) - 105659"/>
      <sheetName val="2001 Int Legal billout"/>
      <sheetName val="2002 Plan int legal billout"/>
      <sheetName val="YTD billout"/>
      <sheetName val="Jan ext legal"/>
      <sheetName val="Feb ext legal"/>
      <sheetName val="Mar ext legal"/>
      <sheetName val="Apr ext legal"/>
      <sheetName val="Jun ext legal"/>
      <sheetName val="May ext legal"/>
      <sheetName val="Jul ext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>
            <v>0.0138079223989612</v>
          </cell>
        </row>
        <row r="7">
          <cell r="E7">
            <v>0.0118350666225192</v>
          </cell>
        </row>
        <row r="9">
          <cell r="D9">
            <v>0.0034129589554713</v>
          </cell>
          <cell r="E9">
            <v>0.0236701332450384</v>
          </cell>
        </row>
        <row r="9">
          <cell r="G9">
            <v>0.0943240118909663</v>
          </cell>
        </row>
        <row r="11">
          <cell r="D11">
            <v>0.00170647344975376</v>
          </cell>
          <cell r="E11">
            <v>0.00473402832125967</v>
          </cell>
        </row>
        <row r="11">
          <cell r="G11">
            <v>0.0223819656689007</v>
          </cell>
        </row>
        <row r="13">
          <cell r="E13">
            <v>0.00355052124094476</v>
          </cell>
        </row>
        <row r="15">
          <cell r="D15">
            <v>0.0034129589554713</v>
          </cell>
          <cell r="E15">
            <v>0.015385587863464</v>
          </cell>
        </row>
        <row r="15">
          <cell r="G15">
            <v>0.00159871264025083</v>
          </cell>
        </row>
        <row r="17">
          <cell r="D17">
            <v>0.00170647344975376</v>
          </cell>
          <cell r="E17">
            <v>0.00118350708031492</v>
          </cell>
        </row>
        <row r="17">
          <cell r="G17">
            <v>0.00879291669772685</v>
          </cell>
        </row>
      </sheetData>
      <sheetData sheetId="16"/>
      <sheetData sheetId="17"/>
      <sheetData sheetId="18">
        <row r="9">
          <cell r="M9">
            <v>3654.11</v>
          </cell>
        </row>
        <row r="17">
          <cell r="E17">
            <v>10051.88</v>
          </cell>
        </row>
        <row r="19">
          <cell r="E19">
            <v>6382.12</v>
          </cell>
        </row>
        <row r="20">
          <cell r="G20">
            <v>20093.13</v>
          </cell>
        </row>
        <row r="20">
          <cell r="K20">
            <v>12087.09</v>
          </cell>
        </row>
        <row r="43">
          <cell r="E43">
            <v>-2050.8</v>
          </cell>
        </row>
        <row r="43">
          <cell r="G43">
            <v>120</v>
          </cell>
        </row>
        <row r="44">
          <cell r="G44">
            <v>95476.21</v>
          </cell>
        </row>
        <row r="51">
          <cell r="F51">
            <v>4407.26</v>
          </cell>
        </row>
        <row r="52">
          <cell r="F52">
            <v>-91481.03</v>
          </cell>
        </row>
        <row r="54">
          <cell r="G54">
            <v>40550.04</v>
          </cell>
        </row>
        <row r="54">
          <cell r="L54">
            <v>4248.44</v>
          </cell>
        </row>
        <row r="66">
          <cell r="E66">
            <v>17123.79</v>
          </cell>
        </row>
        <row r="66">
          <cell r="G66">
            <v>3317.09</v>
          </cell>
        </row>
        <row r="66">
          <cell r="I66">
            <v>-2142.66</v>
          </cell>
        </row>
        <row r="69">
          <cell r="E69">
            <v>5895.16</v>
          </cell>
        </row>
        <row r="70">
          <cell r="E70">
            <v>831.92</v>
          </cell>
        </row>
        <row r="71">
          <cell r="E71">
            <v>2993</v>
          </cell>
        </row>
        <row r="71">
          <cell r="G71">
            <v>169972.5</v>
          </cell>
        </row>
      </sheetData>
      <sheetData sheetId="19">
        <row r="7">
          <cell r="G7">
            <v>96652.66</v>
          </cell>
        </row>
        <row r="7">
          <cell r="I7">
            <v>64130.38</v>
          </cell>
        </row>
        <row r="9">
          <cell r="F9">
            <v>17528.4</v>
          </cell>
        </row>
        <row r="9">
          <cell r="M9">
            <v>4138.71</v>
          </cell>
        </row>
        <row r="13">
          <cell r="K13">
            <v>11214.54</v>
          </cell>
        </row>
        <row r="14">
          <cell r="E14">
            <v>53730.06</v>
          </cell>
        </row>
        <row r="14">
          <cell r="H14">
            <v>5009.38</v>
          </cell>
        </row>
        <row r="17">
          <cell r="E17">
            <v>11088.58</v>
          </cell>
        </row>
        <row r="17">
          <cell r="K17">
            <v>967.5</v>
          </cell>
        </row>
        <row r="18">
          <cell r="E18">
            <v>4326.12</v>
          </cell>
        </row>
        <row r="19">
          <cell r="E19">
            <v>211359.68</v>
          </cell>
        </row>
        <row r="20">
          <cell r="G20">
            <v>1199.61</v>
          </cell>
        </row>
        <row r="20">
          <cell r="K20">
            <v>149.98</v>
          </cell>
        </row>
        <row r="21">
          <cell r="G21">
            <v>3361.48</v>
          </cell>
        </row>
        <row r="22">
          <cell r="G22">
            <v>10353.23</v>
          </cell>
        </row>
        <row r="43">
          <cell r="E43">
            <v>90314.57</v>
          </cell>
        </row>
        <row r="44">
          <cell r="G44">
            <v>52756.92</v>
          </cell>
          <cell r="H44">
            <v>873.08</v>
          </cell>
        </row>
        <row r="51">
          <cell r="F51">
            <v>10097.17</v>
          </cell>
          <cell r="G51">
            <v>671</v>
          </cell>
        </row>
        <row r="52">
          <cell r="F52">
            <v>26342.15</v>
          </cell>
        </row>
        <row r="54">
          <cell r="G54">
            <v>218680.75</v>
          </cell>
          <cell r="H54">
            <v>42686.85</v>
          </cell>
        </row>
        <row r="55">
          <cell r="G55">
            <v>2325</v>
          </cell>
          <cell r="H55">
            <v>1991.64</v>
          </cell>
        </row>
        <row r="60">
          <cell r="G60">
            <v>13150.35</v>
          </cell>
        </row>
        <row r="61">
          <cell r="E61">
            <v>1948.94</v>
          </cell>
          <cell r="F61">
            <v>149618.09</v>
          </cell>
          <cell r="G61">
            <v>4508.84</v>
          </cell>
        </row>
        <row r="61">
          <cell r="I61">
            <v>1699.52</v>
          </cell>
        </row>
        <row r="64">
          <cell r="H64">
            <v>846.19</v>
          </cell>
        </row>
        <row r="66">
          <cell r="E66">
            <v>23857.77</v>
          </cell>
        </row>
        <row r="66">
          <cell r="G66">
            <v>150</v>
          </cell>
          <cell r="H66">
            <v>19336.4</v>
          </cell>
        </row>
        <row r="69">
          <cell r="E69">
            <v>13543.75</v>
          </cell>
        </row>
        <row r="69">
          <cell r="H69">
            <v>10556.15</v>
          </cell>
        </row>
        <row r="70">
          <cell r="E70">
            <v>1408.38</v>
          </cell>
        </row>
        <row r="71">
          <cell r="E71">
            <v>6465.35</v>
          </cell>
        </row>
        <row r="71">
          <cell r="G71">
            <v>28612.79</v>
          </cell>
        </row>
      </sheetData>
      <sheetData sheetId="20">
        <row r="7">
          <cell r="I7">
            <v>32500.53</v>
          </cell>
        </row>
        <row r="11">
          <cell r="L11">
            <v>16627.85</v>
          </cell>
        </row>
        <row r="14">
          <cell r="E14">
            <v>21155.8</v>
          </cell>
        </row>
        <row r="17">
          <cell r="E17">
            <v>46042.62</v>
          </cell>
        </row>
        <row r="17">
          <cell r="K17">
            <v>12013.1</v>
          </cell>
        </row>
        <row r="19">
          <cell r="E19">
            <v>61996.29</v>
          </cell>
        </row>
        <row r="20">
          <cell r="G20">
            <v>85146.36</v>
          </cell>
        </row>
        <row r="21">
          <cell r="G21">
            <v>10965.59</v>
          </cell>
          <cell r="H21">
            <v>6303.86</v>
          </cell>
        </row>
        <row r="22">
          <cell r="G22">
            <v>298587.59</v>
          </cell>
          <cell r="H22">
            <v>873.08</v>
          </cell>
        </row>
        <row r="43">
          <cell r="E43">
            <v>172641.53</v>
          </cell>
        </row>
        <row r="44">
          <cell r="G44">
            <v>-148233.13</v>
          </cell>
          <cell r="H44">
            <v>-873.08</v>
          </cell>
        </row>
        <row r="51">
          <cell r="F51">
            <v>17071.85</v>
          </cell>
          <cell r="G51">
            <v>1589.2</v>
          </cell>
        </row>
        <row r="52">
          <cell r="F52">
            <v>27288.26</v>
          </cell>
        </row>
        <row r="53">
          <cell r="G53">
            <v>10671.37</v>
          </cell>
        </row>
        <row r="54">
          <cell r="G54">
            <v>482430.7</v>
          </cell>
          <cell r="H54">
            <v>5968.86</v>
          </cell>
        </row>
        <row r="54">
          <cell r="L54">
            <v>249645.29</v>
          </cell>
        </row>
        <row r="55">
          <cell r="H55">
            <v>3969.18</v>
          </cell>
        </row>
        <row r="55">
          <cell r="L55">
            <v>41307.05</v>
          </cell>
        </row>
        <row r="56">
          <cell r="E56">
            <v>2079.1</v>
          </cell>
        </row>
        <row r="57">
          <cell r="E57">
            <v>-130.16</v>
          </cell>
          <cell r="F57">
            <v>52137.87</v>
          </cell>
        </row>
        <row r="60">
          <cell r="G60">
            <v>34103.28</v>
          </cell>
        </row>
        <row r="61">
          <cell r="E61">
            <v>-1948.94</v>
          </cell>
          <cell r="F61">
            <v>-149618.09</v>
          </cell>
          <cell r="G61">
            <v>-4508.84</v>
          </cell>
        </row>
        <row r="64">
          <cell r="H64">
            <v>954.21</v>
          </cell>
        </row>
        <row r="66">
          <cell r="E66">
            <v>12033.81</v>
          </cell>
        </row>
        <row r="66">
          <cell r="G66">
            <v>44351.99</v>
          </cell>
          <cell r="H66">
            <v>46506.12</v>
          </cell>
          <cell r="I66">
            <v>239865.85</v>
          </cell>
        </row>
        <row r="69">
          <cell r="E69">
            <v>1156.06</v>
          </cell>
        </row>
        <row r="69">
          <cell r="H69">
            <v>6937.77</v>
          </cell>
        </row>
        <row r="70">
          <cell r="E70">
            <v>183982.21</v>
          </cell>
          <cell r="F70">
            <v>17697.36</v>
          </cell>
        </row>
        <row r="71">
          <cell r="E71">
            <v>49833.85</v>
          </cell>
        </row>
        <row r="71">
          <cell r="G71">
            <v>33293.82</v>
          </cell>
        </row>
        <row r="73">
          <cell r="E73">
            <v>2990.73</v>
          </cell>
        </row>
      </sheetData>
      <sheetData sheetId="21">
        <row r="7">
          <cell r="G7">
            <v>40011.79</v>
          </cell>
        </row>
        <row r="7">
          <cell r="I7">
            <v>48035.21</v>
          </cell>
        </row>
        <row r="8">
          <cell r="I8">
            <v>3413.77</v>
          </cell>
        </row>
        <row r="11">
          <cell r="L11">
            <v>4522.17</v>
          </cell>
        </row>
        <row r="14">
          <cell r="E14">
            <v>1140</v>
          </cell>
        </row>
        <row r="17">
          <cell r="E17">
            <v>16787.4</v>
          </cell>
        </row>
        <row r="19">
          <cell r="E19">
            <v>27809.62</v>
          </cell>
        </row>
        <row r="20">
          <cell r="I20">
            <v>34787.31</v>
          </cell>
        </row>
        <row r="21">
          <cell r="G21">
            <v>7160.43</v>
          </cell>
          <cell r="H21">
            <v>646.71</v>
          </cell>
        </row>
        <row r="22">
          <cell r="G22">
            <v>20934.95</v>
          </cell>
        </row>
        <row r="43">
          <cell r="E43">
            <v>35259.09</v>
          </cell>
        </row>
        <row r="51">
          <cell r="F51">
            <v>37428.65</v>
          </cell>
          <cell r="G51">
            <v>10146.04</v>
          </cell>
        </row>
        <row r="52">
          <cell r="F52">
            <v>281806.47</v>
          </cell>
        </row>
        <row r="53">
          <cell r="G53">
            <v>1450.83</v>
          </cell>
        </row>
        <row r="54">
          <cell r="G54">
            <v>616960.9</v>
          </cell>
          <cell r="H54">
            <v>1648</v>
          </cell>
        </row>
        <row r="54">
          <cell r="L54">
            <v>542062.91</v>
          </cell>
        </row>
        <row r="55">
          <cell r="H55">
            <v>648</v>
          </cell>
        </row>
        <row r="55">
          <cell r="L55">
            <v>-4758.79</v>
          </cell>
        </row>
        <row r="57">
          <cell r="F57">
            <v>21182.83</v>
          </cell>
        </row>
        <row r="61">
          <cell r="E61">
            <v>55217.6</v>
          </cell>
        </row>
        <row r="62">
          <cell r="F62">
            <v>213451.93</v>
          </cell>
        </row>
        <row r="63">
          <cell r="L63">
            <v>31742.32</v>
          </cell>
        </row>
        <row r="66">
          <cell r="E66">
            <v>659.61</v>
          </cell>
        </row>
        <row r="66">
          <cell r="G66">
            <v>266021.62</v>
          </cell>
          <cell r="H66">
            <v>4975</v>
          </cell>
          <cell r="I66">
            <v>14733.59</v>
          </cell>
        </row>
        <row r="67">
          <cell r="E67">
            <v>108674.32</v>
          </cell>
        </row>
        <row r="69">
          <cell r="E69">
            <v>88.73</v>
          </cell>
        </row>
        <row r="69">
          <cell r="H69">
            <v>777.51</v>
          </cell>
        </row>
        <row r="70">
          <cell r="E70">
            <v>33917.99</v>
          </cell>
          <cell r="F70">
            <v>4062.6</v>
          </cell>
        </row>
        <row r="71">
          <cell r="E71">
            <v>25442.29</v>
          </cell>
        </row>
        <row r="71">
          <cell r="G71">
            <v>225155.75</v>
          </cell>
        </row>
        <row r="72">
          <cell r="E72">
            <v>335.25</v>
          </cell>
        </row>
      </sheetData>
      <sheetData sheetId="22">
        <row r="5">
          <cell r="E5">
            <v>7972.89</v>
          </cell>
        </row>
        <row r="7">
          <cell r="G7">
            <v>7079.27</v>
          </cell>
        </row>
        <row r="7">
          <cell r="I7">
            <v>3323.18</v>
          </cell>
        </row>
        <row r="11">
          <cell r="L11">
            <v>2708.28</v>
          </cell>
        </row>
        <row r="14">
          <cell r="E14">
            <v>2238.3</v>
          </cell>
        </row>
        <row r="14">
          <cell r="H14">
            <v>2034.18</v>
          </cell>
        </row>
        <row r="17">
          <cell r="E17">
            <v>3618.93</v>
          </cell>
        </row>
        <row r="19">
          <cell r="E19">
            <v>21739.34</v>
          </cell>
        </row>
        <row r="20">
          <cell r="G20">
            <v>215.5</v>
          </cell>
        </row>
        <row r="20">
          <cell r="K20">
            <v>817.42</v>
          </cell>
        </row>
        <row r="21">
          <cell r="H21">
            <v>7214.68</v>
          </cell>
        </row>
        <row r="22">
          <cell r="G22">
            <v>52143.53</v>
          </cell>
        </row>
        <row r="43">
          <cell r="E43">
            <v>9930.57</v>
          </cell>
        </row>
        <row r="46">
          <cell r="I46">
            <v>3015</v>
          </cell>
        </row>
        <row r="51">
          <cell r="F51">
            <v>31027.24</v>
          </cell>
        </row>
        <row r="51">
          <cell r="H51">
            <v>2034.18</v>
          </cell>
        </row>
        <row r="52">
          <cell r="F52">
            <v>611624.81</v>
          </cell>
        </row>
        <row r="54">
          <cell r="G54">
            <v>330798.14</v>
          </cell>
          <cell r="H54">
            <v>2034.18</v>
          </cell>
        </row>
        <row r="54">
          <cell r="L54">
            <v>143236.31</v>
          </cell>
        </row>
        <row r="55">
          <cell r="H55">
            <v>2034.18</v>
          </cell>
        </row>
        <row r="55">
          <cell r="L55">
            <v>49891.57</v>
          </cell>
        </row>
        <row r="57">
          <cell r="F57">
            <v>16894.28</v>
          </cell>
        </row>
        <row r="61">
          <cell r="E61">
            <v>1909.03</v>
          </cell>
        </row>
        <row r="62">
          <cell r="F62">
            <v>182653.29</v>
          </cell>
        </row>
        <row r="64">
          <cell r="H64">
            <v>2034.18</v>
          </cell>
        </row>
        <row r="66">
          <cell r="E66">
            <v>11817.53</v>
          </cell>
        </row>
        <row r="66">
          <cell r="G66">
            <v>197874.22</v>
          </cell>
          <cell r="H66">
            <v>10170.9</v>
          </cell>
          <cell r="I66">
            <v>342446.85</v>
          </cell>
        </row>
        <row r="69">
          <cell r="H69">
            <v>40108</v>
          </cell>
        </row>
        <row r="70">
          <cell r="E70">
            <v>3056.65</v>
          </cell>
        </row>
        <row r="71">
          <cell r="E71">
            <v>27142.15</v>
          </cell>
        </row>
        <row r="71">
          <cell r="G71">
            <v>1014534.78</v>
          </cell>
        </row>
        <row r="73">
          <cell r="F73">
            <v>11929.71</v>
          </cell>
        </row>
      </sheetData>
      <sheetData sheetId="23">
        <row r="7">
          <cell r="I7">
            <v>-515.91</v>
          </cell>
        </row>
        <row r="8">
          <cell r="I8">
            <v>428.04</v>
          </cell>
        </row>
        <row r="11">
          <cell r="L11">
            <v>650</v>
          </cell>
        </row>
        <row r="14">
          <cell r="E14">
            <v>16880.35</v>
          </cell>
        </row>
        <row r="17">
          <cell r="E17">
            <v>11653.84</v>
          </cell>
        </row>
        <row r="19">
          <cell r="E19">
            <v>3447.15</v>
          </cell>
        </row>
        <row r="20">
          <cell r="E20">
            <v>148.63</v>
          </cell>
        </row>
        <row r="20">
          <cell r="I20">
            <v>-34787.31</v>
          </cell>
        </row>
        <row r="22">
          <cell r="G22">
            <v>55564.48</v>
          </cell>
        </row>
        <row r="43">
          <cell r="E43">
            <v>22627.7</v>
          </cell>
        </row>
        <row r="45">
          <cell r="E45">
            <v>1029.82</v>
          </cell>
        </row>
        <row r="46">
          <cell r="I46">
            <v>37399.62</v>
          </cell>
        </row>
        <row r="51">
          <cell r="F51">
            <v>13438.34</v>
          </cell>
        </row>
        <row r="52">
          <cell r="F52">
            <v>537903.03</v>
          </cell>
        </row>
        <row r="53">
          <cell r="G53">
            <v>7579.77</v>
          </cell>
        </row>
        <row r="54">
          <cell r="G54">
            <v>263053.42</v>
          </cell>
        </row>
        <row r="57">
          <cell r="E57">
            <v>460.1</v>
          </cell>
          <cell r="F57">
            <v>-12246.53</v>
          </cell>
        </row>
        <row r="60">
          <cell r="G60">
            <v>5871.73</v>
          </cell>
        </row>
        <row r="61">
          <cell r="E61">
            <v>1211.51</v>
          </cell>
        </row>
        <row r="62">
          <cell r="F62">
            <v>126170.36</v>
          </cell>
        </row>
        <row r="66">
          <cell r="E66">
            <v>9963.84</v>
          </cell>
        </row>
        <row r="66">
          <cell r="G66">
            <v>3315.37</v>
          </cell>
          <cell r="H66">
            <v>34253.11</v>
          </cell>
          <cell r="I66">
            <v>46452.82</v>
          </cell>
        </row>
        <row r="66">
          <cell r="K66">
            <v>462.9</v>
          </cell>
        </row>
        <row r="69">
          <cell r="E69">
            <v>33228.26</v>
          </cell>
        </row>
        <row r="70">
          <cell r="E70">
            <v>596.97</v>
          </cell>
        </row>
        <row r="71">
          <cell r="E71">
            <v>14777.71</v>
          </cell>
        </row>
        <row r="71">
          <cell r="G71">
            <v>198060.57</v>
          </cell>
        </row>
        <row r="73">
          <cell r="F73">
            <v>117895.92</v>
          </cell>
        </row>
      </sheetData>
      <sheetData sheetId="24">
        <row r="5">
          <cell r="E5">
            <v>599540.4</v>
          </cell>
        </row>
        <row r="7">
          <cell r="G7">
            <v>97224.13</v>
          </cell>
          <cell r="H7">
            <v>10621.78</v>
          </cell>
          <cell r="I7">
            <v>30200.69</v>
          </cell>
        </row>
        <row r="7">
          <cell r="K7">
            <v>7660.52</v>
          </cell>
        </row>
        <row r="11">
          <cell r="L11">
            <v>4354.47</v>
          </cell>
        </row>
        <row r="14">
          <cell r="E14">
            <v>154.6</v>
          </cell>
        </row>
        <row r="17">
          <cell r="E17">
            <v>3303.25</v>
          </cell>
        </row>
        <row r="18">
          <cell r="E18">
            <v>16475.82</v>
          </cell>
        </row>
        <row r="19">
          <cell r="E19">
            <v>730663.66</v>
          </cell>
        </row>
        <row r="20">
          <cell r="G20">
            <v>1772.13</v>
          </cell>
        </row>
        <row r="20">
          <cell r="K20">
            <v>2685.6</v>
          </cell>
        </row>
        <row r="21">
          <cell r="G21">
            <v>14981.01</v>
          </cell>
          <cell r="H21">
            <v>718.4</v>
          </cell>
        </row>
        <row r="22">
          <cell r="G22">
            <v>56259.95</v>
          </cell>
        </row>
        <row r="43">
          <cell r="E43">
            <v>51307.49</v>
          </cell>
        </row>
        <row r="46">
          <cell r="I46">
            <v>6708.58</v>
          </cell>
        </row>
        <row r="51">
          <cell r="F51">
            <v>24936.76</v>
          </cell>
        </row>
        <row r="52">
          <cell r="F52">
            <v>136846.82</v>
          </cell>
        </row>
        <row r="53">
          <cell r="G53">
            <v>135982.74</v>
          </cell>
        </row>
        <row r="54">
          <cell r="G54">
            <v>559901.56</v>
          </cell>
          <cell r="H54">
            <v>359.2</v>
          </cell>
        </row>
        <row r="54">
          <cell r="L54">
            <v>33373.76</v>
          </cell>
        </row>
        <row r="55">
          <cell r="H55">
            <v>1109.2</v>
          </cell>
        </row>
        <row r="55">
          <cell r="L55">
            <v>9221.34</v>
          </cell>
        </row>
        <row r="56">
          <cell r="E56">
            <v>5873.51</v>
          </cell>
        </row>
        <row r="57">
          <cell r="F57">
            <v>-29889.61</v>
          </cell>
        </row>
        <row r="61">
          <cell r="E61">
            <v>5036.25</v>
          </cell>
        </row>
        <row r="62">
          <cell r="F62">
            <v>232454.22</v>
          </cell>
        </row>
        <row r="66">
          <cell r="E66">
            <v>15747.06</v>
          </cell>
        </row>
        <row r="66">
          <cell r="G66">
            <v>19874.25</v>
          </cell>
          <cell r="H66">
            <v>2155.2</v>
          </cell>
          <cell r="I66">
            <v>72585.05</v>
          </cell>
        </row>
        <row r="69">
          <cell r="E69">
            <v>85142.65</v>
          </cell>
        </row>
        <row r="69">
          <cell r="H69">
            <v>4774.27</v>
          </cell>
        </row>
        <row r="70">
          <cell r="E70">
            <v>-88265.66</v>
          </cell>
        </row>
        <row r="71">
          <cell r="E71">
            <v>57041.22</v>
          </cell>
        </row>
        <row r="71">
          <cell r="G71">
            <v>329379.89</v>
          </cell>
        </row>
        <row r="73">
          <cell r="F73">
            <v>9687.44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39.85"/>
    <col collapsed="false" customWidth="true" hidden="false" outlineLevel="0" max="3" min="3" style="0" width="2.13"/>
    <col collapsed="false" customWidth="true" hidden="false" outlineLevel="0" max="4" min="4" style="0" width="13.41"/>
    <col collapsed="false" customWidth="true" hidden="false" outlineLevel="0" max="5" min="5" style="1" width="7.99"/>
    <col collapsed="false" customWidth="true" hidden="false" outlineLevel="0" max="6" min="6" style="1" width="2.56"/>
    <col collapsed="false" customWidth="true" hidden="false" outlineLevel="0" max="7" min="7" style="0" width="13.99"/>
    <col collapsed="false" customWidth="true" hidden="false" outlineLevel="0" max="8" min="8" style="0" width="8.28"/>
    <col collapsed="false" customWidth="true" hidden="false" outlineLevel="0" max="9" min="9" style="0" width="9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26.25" hidden="false" customHeight="true" outlineLevel="0" collapsed="false">
      <c r="A4" s="3"/>
      <c r="E4" s="4"/>
      <c r="F4" s="4"/>
    </row>
    <row r="5" customFormat="false" ht="13.5" hidden="false" customHeight="false" outlineLevel="0" collapsed="false">
      <c r="A5" s="5" t="s">
        <v>3</v>
      </c>
      <c r="B5" s="6" t="s">
        <v>4</v>
      </c>
      <c r="C5" s="7"/>
      <c r="D5" s="8" t="s">
        <v>5</v>
      </c>
      <c r="E5" s="8"/>
      <c r="F5" s="9"/>
      <c r="G5" s="8" t="s">
        <v>2</v>
      </c>
      <c r="H5" s="8"/>
    </row>
    <row r="6" customFormat="false" ht="11.25" hidden="true" customHeight="false" outlineLevel="0" collapsed="false">
      <c r="A6" s="10" t="n">
        <v>105249</v>
      </c>
      <c r="B6" s="11" t="s">
        <v>6</v>
      </c>
      <c r="C6" s="12"/>
      <c r="D6" s="13" t="n">
        <v>0</v>
      </c>
      <c r="E6" s="14"/>
      <c r="F6" s="15"/>
      <c r="G6" s="13" t="n">
        <v>0</v>
      </c>
      <c r="H6" s="11"/>
      <c r="I6" s="16"/>
    </row>
    <row r="7" customFormat="false" ht="11.25" hidden="false" customHeight="false" outlineLevel="0" collapsed="false">
      <c r="A7" s="10" t="n">
        <v>105713</v>
      </c>
      <c r="B7" s="11" t="s">
        <v>7</v>
      </c>
      <c r="C7" s="12"/>
      <c r="D7" s="17" t="n">
        <v>22556.39</v>
      </c>
      <c r="E7" s="18" t="n">
        <f aca="false">+D7/D$59</f>
        <v>0.00128532167326266</v>
      </c>
      <c r="F7" s="15"/>
      <c r="G7" s="17" t="n">
        <v>20584.6740119413</v>
      </c>
      <c r="H7" s="18" t="n">
        <f aca="false">+G7/G$59</f>
        <v>0.00128532144897426</v>
      </c>
      <c r="I7" s="19"/>
    </row>
    <row r="8" customFormat="false" ht="11.25" hidden="false" customHeight="false" outlineLevel="0" collapsed="false">
      <c r="A8" s="10" t="n">
        <v>105751</v>
      </c>
      <c r="B8" s="11" t="s">
        <v>8</v>
      </c>
      <c r="C8" s="12"/>
      <c r="D8" s="17" t="n">
        <v>205847.12</v>
      </c>
      <c r="E8" s="18" t="n">
        <f aca="false">+D8/D$59</f>
        <v>0.0117297034106388</v>
      </c>
      <c r="F8" s="15"/>
      <c r="G8" s="17" t="n">
        <v>187853.491936512</v>
      </c>
      <c r="H8" s="18" t="n">
        <f aca="false">+G8/G$59</f>
        <v>0.0117297034828262</v>
      </c>
      <c r="I8" s="19"/>
    </row>
    <row r="9" customFormat="false" ht="11.25" hidden="true" customHeight="false" outlineLevel="0" collapsed="false">
      <c r="A9" s="10" t="n">
        <v>105999</v>
      </c>
      <c r="B9" s="11" t="s">
        <v>9</v>
      </c>
      <c r="C9" s="12"/>
      <c r="D9" s="17"/>
      <c r="E9" s="18" t="n">
        <f aca="false">+D9/D$59</f>
        <v>0</v>
      </c>
      <c r="F9" s="15"/>
      <c r="G9" s="17" t="n">
        <v>0</v>
      </c>
      <c r="H9" s="18" t="n">
        <f aca="false">+G9/G$59</f>
        <v>0</v>
      </c>
      <c r="I9" s="19"/>
    </row>
    <row r="10" customFormat="false" ht="11.25" hidden="true" customHeight="false" outlineLevel="0" collapsed="false">
      <c r="A10" s="10" t="n">
        <v>106005</v>
      </c>
      <c r="B10" s="11" t="s">
        <v>10</v>
      </c>
      <c r="C10" s="12"/>
      <c r="D10" s="17"/>
      <c r="E10" s="18" t="n">
        <f aca="false">+D10/D$59</f>
        <v>0</v>
      </c>
      <c r="F10" s="15"/>
      <c r="G10" s="17" t="n">
        <v>0</v>
      </c>
      <c r="H10" s="18" t="n">
        <f aca="false">+G10/G$59</f>
        <v>0</v>
      </c>
      <c r="I10" s="19"/>
    </row>
    <row r="11" customFormat="false" ht="11.25" hidden="false" customHeight="false" outlineLevel="0" collapsed="false">
      <c r="A11" s="10" t="n">
        <v>106230</v>
      </c>
      <c r="B11" s="11" t="s">
        <v>11</v>
      </c>
      <c r="C11" s="12"/>
      <c r="D11" s="17" t="n">
        <v>2138867.28</v>
      </c>
      <c r="E11" s="18" t="n">
        <f aca="false">+D11/D$59</f>
        <v>0.121878211505314</v>
      </c>
      <c r="F11" s="15"/>
      <c r="G11" s="17" t="n">
        <v>1951903.35877317</v>
      </c>
      <c r="H11" s="18" t="n">
        <f aca="false">+G11/G$59</f>
        <v>0.121878211522838</v>
      </c>
      <c r="I11" s="19"/>
    </row>
    <row r="12" customFormat="false" ht="11.25" hidden="false" customHeight="false" outlineLevel="0" collapsed="false">
      <c r="A12" s="10" t="n">
        <v>106298</v>
      </c>
      <c r="B12" s="11" t="s">
        <v>12</v>
      </c>
      <c r="C12" s="12"/>
      <c r="D12" s="17" t="n">
        <v>250042.11</v>
      </c>
      <c r="E12" s="18" t="n">
        <f aca="false">+D12/D$59</f>
        <v>0.0142480486997842</v>
      </c>
      <c r="F12" s="15"/>
      <c r="G12" s="17" t="n">
        <v>228185.285611161</v>
      </c>
      <c r="H12" s="18" t="n">
        <f aca="false">+G12/G$59</f>
        <v>0.0142480489011486</v>
      </c>
      <c r="I12" s="19"/>
    </row>
    <row r="13" customFormat="false" ht="11.25" hidden="false" customHeight="false" outlineLevel="0" collapsed="false">
      <c r="A13" s="10" t="n">
        <v>106303</v>
      </c>
      <c r="B13" s="11" t="s">
        <v>13</v>
      </c>
      <c r="C13" s="12"/>
      <c r="D13" s="17" t="n">
        <v>103287.26</v>
      </c>
      <c r="E13" s="18" t="n">
        <f aca="false">+D13/D$59</f>
        <v>0.0058855762757212</v>
      </c>
      <c r="F13" s="15"/>
      <c r="G13" s="17" t="n">
        <v>94258.6564771318</v>
      </c>
      <c r="H13" s="18" t="n">
        <f aca="false">+G13/G$59</f>
        <v>0.00588557646583434</v>
      </c>
      <c r="I13" s="19"/>
    </row>
    <row r="14" customFormat="false" ht="11.25" hidden="false" customHeight="false" outlineLevel="0" collapsed="false">
      <c r="A14" s="10" t="n">
        <v>106331</v>
      </c>
      <c r="B14" s="11" t="s">
        <v>14</v>
      </c>
      <c r="C14" s="12"/>
      <c r="D14" s="17" t="n">
        <v>995049.58</v>
      </c>
      <c r="E14" s="18" t="n">
        <f aca="false">+D14/D$59</f>
        <v>0.0567005088644461</v>
      </c>
      <c r="F14" s="15"/>
      <c r="G14" s="17" t="n">
        <v>908069.725737972</v>
      </c>
      <c r="H14" s="18" t="n">
        <f aca="false">+G14/G$59</f>
        <v>0.0567005090767095</v>
      </c>
      <c r="I14" s="19"/>
    </row>
    <row r="15" customFormat="false" ht="11.25" hidden="true" customHeight="false" outlineLevel="0" collapsed="false">
      <c r="A15" s="10" t="n">
        <v>106580</v>
      </c>
      <c r="B15" s="11" t="s">
        <v>15</v>
      </c>
      <c r="C15" s="12"/>
      <c r="D15" s="17"/>
      <c r="E15" s="18" t="n">
        <f aca="false">+D15/D$59</f>
        <v>0</v>
      </c>
      <c r="F15" s="15"/>
      <c r="G15" s="17" t="n">
        <v>0</v>
      </c>
      <c r="H15" s="18" t="n">
        <f aca="false">+G15/G$59</f>
        <v>0</v>
      </c>
      <c r="I15" s="19"/>
    </row>
    <row r="16" customFormat="false" ht="11.25" hidden="true" customHeight="false" outlineLevel="0" collapsed="false">
      <c r="A16" s="10" t="n">
        <v>106582</v>
      </c>
      <c r="B16" s="11" t="s">
        <v>16</v>
      </c>
      <c r="C16" s="12"/>
      <c r="D16" s="17"/>
      <c r="E16" s="18" t="n">
        <f aca="false">+D16/D$59</f>
        <v>0</v>
      </c>
      <c r="F16" s="15"/>
      <c r="G16" s="17" t="n">
        <v>0</v>
      </c>
      <c r="H16" s="18" t="n">
        <f aca="false">+G16/G$59</f>
        <v>0</v>
      </c>
      <c r="I16" s="19"/>
    </row>
    <row r="17" customFormat="false" ht="11.25" hidden="true" customHeight="false" outlineLevel="0" collapsed="false">
      <c r="A17" s="10" t="n">
        <v>106587</v>
      </c>
      <c r="B17" s="11" t="s">
        <v>17</v>
      </c>
      <c r="C17" s="12"/>
      <c r="D17" s="17"/>
      <c r="E17" s="18" t="n">
        <f aca="false">+D17/D$59</f>
        <v>0</v>
      </c>
      <c r="F17" s="15"/>
      <c r="G17" s="17" t="n">
        <v>0</v>
      </c>
      <c r="H17" s="18" t="n">
        <f aca="false">+G17/G$59</f>
        <v>0</v>
      </c>
      <c r="I17" s="19"/>
    </row>
    <row r="18" customFormat="false" ht="11.25" hidden="true" customHeight="false" outlineLevel="0" collapsed="false">
      <c r="A18" s="10" t="n">
        <v>106588</v>
      </c>
      <c r="B18" s="11" t="s">
        <v>18</v>
      </c>
      <c r="C18" s="12"/>
      <c r="D18" s="17"/>
      <c r="E18" s="18" t="n">
        <f aca="false">+D18/D$59</f>
        <v>0</v>
      </c>
      <c r="F18" s="15"/>
      <c r="G18" s="17" t="n">
        <v>0</v>
      </c>
      <c r="H18" s="18" t="n">
        <f aca="false">+G18/G$59</f>
        <v>0</v>
      </c>
      <c r="I18" s="19"/>
    </row>
    <row r="19" customFormat="false" ht="11.25" hidden="true" customHeight="false" outlineLevel="0" collapsed="false">
      <c r="A19" s="10" t="n">
        <v>106589</v>
      </c>
      <c r="B19" s="11" t="s">
        <v>19</v>
      </c>
      <c r="C19" s="12"/>
      <c r="D19" s="17"/>
      <c r="E19" s="18" t="n">
        <f aca="false">+D19/D$59</f>
        <v>0</v>
      </c>
      <c r="F19" s="15"/>
      <c r="G19" s="17" t="n">
        <v>0</v>
      </c>
      <c r="H19" s="18" t="n">
        <f aca="false">+G19/G$59</f>
        <v>0</v>
      </c>
      <c r="I19" s="19"/>
    </row>
    <row r="20" customFormat="false" ht="11.25" hidden="true" customHeight="false" outlineLevel="0" collapsed="false">
      <c r="A20" s="10" t="n">
        <v>106590</v>
      </c>
      <c r="B20" s="11" t="s">
        <v>20</v>
      </c>
      <c r="C20" s="12"/>
      <c r="D20" s="17"/>
      <c r="E20" s="18" t="n">
        <f aca="false">+D20/D$59</f>
        <v>0</v>
      </c>
      <c r="F20" s="15"/>
      <c r="G20" s="17" t="n">
        <v>0</v>
      </c>
      <c r="H20" s="18" t="n">
        <f aca="false">+G20/G$59</f>
        <v>0</v>
      </c>
      <c r="I20" s="19"/>
    </row>
    <row r="21" customFormat="false" ht="11.25" hidden="true" customHeight="false" outlineLevel="0" collapsed="false">
      <c r="A21" s="10" t="n">
        <v>106591</v>
      </c>
      <c r="B21" s="11" t="s">
        <v>21</v>
      </c>
      <c r="C21" s="12"/>
      <c r="D21" s="17"/>
      <c r="E21" s="18" t="n">
        <f aca="false">+D21/D$59</f>
        <v>0</v>
      </c>
      <c r="F21" s="15"/>
      <c r="G21" s="17" t="n">
        <v>0</v>
      </c>
      <c r="H21" s="18" t="n">
        <f aca="false">+G21/G$59</f>
        <v>0</v>
      </c>
      <c r="I21" s="19"/>
    </row>
    <row r="22" customFormat="false" ht="11.25" hidden="true" customHeight="false" outlineLevel="0" collapsed="false">
      <c r="A22" s="10" t="n">
        <v>106592</v>
      </c>
      <c r="B22" s="11" t="s">
        <v>22</v>
      </c>
      <c r="C22" s="12"/>
      <c r="D22" s="17"/>
      <c r="E22" s="18" t="n">
        <f aca="false">+D22/D$59</f>
        <v>0</v>
      </c>
      <c r="F22" s="15"/>
      <c r="G22" s="17" t="n">
        <v>0</v>
      </c>
      <c r="H22" s="18" t="n">
        <f aca="false">+G22/G$59</f>
        <v>0</v>
      </c>
      <c r="I22" s="19"/>
    </row>
    <row r="23" customFormat="false" ht="11.25" hidden="true" customHeight="false" outlineLevel="0" collapsed="false">
      <c r="A23" s="10" t="n">
        <v>106593</v>
      </c>
      <c r="B23" s="11" t="s">
        <v>23</v>
      </c>
      <c r="C23" s="12"/>
      <c r="D23" s="17"/>
      <c r="E23" s="18" t="n">
        <f aca="false">+D23/D$59</f>
        <v>0</v>
      </c>
      <c r="F23" s="15"/>
      <c r="G23" s="17" t="n">
        <v>0</v>
      </c>
      <c r="H23" s="18" t="n">
        <f aca="false">+G23/G$59</f>
        <v>0</v>
      </c>
      <c r="I23" s="19"/>
    </row>
    <row r="24" customFormat="false" ht="11.25" hidden="true" customHeight="false" outlineLevel="0" collapsed="false">
      <c r="A24" s="10" t="n">
        <v>106594</v>
      </c>
      <c r="B24" s="11" t="s">
        <v>24</v>
      </c>
      <c r="C24" s="12"/>
      <c r="D24" s="17"/>
      <c r="E24" s="18" t="n">
        <f aca="false">+D24/D$59</f>
        <v>0</v>
      </c>
      <c r="F24" s="15"/>
      <c r="G24" s="17" t="n">
        <v>0</v>
      </c>
      <c r="H24" s="18" t="n">
        <f aca="false">+G24/G$59</f>
        <v>0</v>
      </c>
      <c r="I24" s="19"/>
    </row>
    <row r="25" customFormat="false" ht="11.25" hidden="true" customHeight="false" outlineLevel="0" collapsed="false">
      <c r="A25" s="10" t="n">
        <v>106595</v>
      </c>
      <c r="B25" s="11" t="s">
        <v>25</v>
      </c>
      <c r="C25" s="12"/>
      <c r="D25" s="17"/>
      <c r="E25" s="18" t="n">
        <f aca="false">+D25/D$59</f>
        <v>0</v>
      </c>
      <c r="F25" s="15"/>
      <c r="G25" s="17" t="n">
        <v>0</v>
      </c>
      <c r="H25" s="18" t="n">
        <f aca="false">+G25/G$59</f>
        <v>0</v>
      </c>
      <c r="I25" s="19"/>
    </row>
    <row r="26" customFormat="false" ht="11.25" hidden="true" customHeight="false" outlineLevel="0" collapsed="false">
      <c r="A26" s="10" t="n">
        <v>106597</v>
      </c>
      <c r="B26" s="11" t="s">
        <v>26</v>
      </c>
      <c r="C26" s="12"/>
      <c r="D26" s="17"/>
      <c r="E26" s="18" t="n">
        <f aca="false">+D26/D$59</f>
        <v>0</v>
      </c>
      <c r="F26" s="15"/>
      <c r="G26" s="17" t="n">
        <v>0</v>
      </c>
      <c r="H26" s="18" t="n">
        <f aca="false">+G26/G$59</f>
        <v>0</v>
      </c>
      <c r="I26" s="19"/>
    </row>
    <row r="27" customFormat="false" ht="11.25" hidden="true" customHeight="false" outlineLevel="0" collapsed="false">
      <c r="A27" s="10" t="n">
        <v>106598</v>
      </c>
      <c r="B27" s="11" t="s">
        <v>27</v>
      </c>
      <c r="C27" s="12"/>
      <c r="D27" s="17"/>
      <c r="E27" s="18" t="n">
        <f aca="false">+D27/D$59</f>
        <v>0</v>
      </c>
      <c r="F27" s="15"/>
      <c r="G27" s="17" t="n">
        <v>0</v>
      </c>
      <c r="H27" s="18" t="n">
        <f aca="false">+G27/G$59</f>
        <v>0</v>
      </c>
      <c r="I27" s="19"/>
    </row>
    <row r="28" customFormat="false" ht="11.25" hidden="true" customHeight="false" outlineLevel="0" collapsed="false">
      <c r="A28" s="10" t="n">
        <v>106607</v>
      </c>
      <c r="B28" s="11" t="s">
        <v>28</v>
      </c>
      <c r="C28" s="12"/>
      <c r="D28" s="17"/>
      <c r="E28" s="18" t="n">
        <f aca="false">+D28/D$59</f>
        <v>0</v>
      </c>
      <c r="F28" s="15"/>
      <c r="G28" s="17" t="n">
        <v>0</v>
      </c>
      <c r="H28" s="18" t="n">
        <f aca="false">+G28/G$59</f>
        <v>0</v>
      </c>
      <c r="I28" s="19"/>
    </row>
    <row r="29" customFormat="false" ht="11.25" hidden="true" customHeight="false" outlineLevel="0" collapsed="false">
      <c r="A29" s="10" t="n">
        <v>106608</v>
      </c>
      <c r="B29" s="11" t="s">
        <v>29</v>
      </c>
      <c r="C29" s="12"/>
      <c r="D29" s="17"/>
      <c r="E29" s="18" t="n">
        <f aca="false">+D29/D$59</f>
        <v>0</v>
      </c>
      <c r="F29" s="15"/>
      <c r="G29" s="17" t="n">
        <v>0</v>
      </c>
      <c r="H29" s="18" t="n">
        <f aca="false">+G29/G$59</f>
        <v>0</v>
      </c>
      <c r="I29" s="19"/>
    </row>
    <row r="30" customFormat="false" ht="11.25" hidden="true" customHeight="false" outlineLevel="0" collapsed="false">
      <c r="A30" s="10" t="n">
        <v>106609</v>
      </c>
      <c r="B30" s="11" t="s">
        <v>30</v>
      </c>
      <c r="C30" s="12"/>
      <c r="D30" s="17"/>
      <c r="E30" s="18" t="n">
        <f aca="false">+D30/D$59</f>
        <v>0</v>
      </c>
      <c r="F30" s="15"/>
      <c r="G30" s="17" t="n">
        <v>0</v>
      </c>
      <c r="H30" s="18" t="n">
        <f aca="false">+G30/G$59</f>
        <v>0</v>
      </c>
      <c r="I30" s="19"/>
    </row>
    <row r="31" customFormat="false" ht="11.25" hidden="true" customHeight="false" outlineLevel="0" collapsed="false">
      <c r="A31" s="10" t="n">
        <v>106610</v>
      </c>
      <c r="B31" s="11" t="s">
        <v>31</v>
      </c>
      <c r="C31" s="12"/>
      <c r="D31" s="17"/>
      <c r="E31" s="18" t="n">
        <f aca="false">+D31/D$59</f>
        <v>0</v>
      </c>
      <c r="F31" s="15"/>
      <c r="G31" s="17" t="n">
        <v>0</v>
      </c>
      <c r="H31" s="18" t="n">
        <f aca="false">+G31/G$59</f>
        <v>0</v>
      </c>
      <c r="I31" s="19"/>
    </row>
    <row r="32" customFormat="false" ht="11.25" hidden="true" customHeight="false" outlineLevel="0" collapsed="false">
      <c r="A32" s="10" t="n">
        <v>106611</v>
      </c>
      <c r="B32" s="11" t="s">
        <v>32</v>
      </c>
      <c r="C32" s="12"/>
      <c r="D32" s="17"/>
      <c r="E32" s="18" t="n">
        <f aca="false">+D32/D$59</f>
        <v>0</v>
      </c>
      <c r="F32" s="15"/>
      <c r="G32" s="17" t="n">
        <v>0</v>
      </c>
      <c r="H32" s="18" t="n">
        <f aca="false">+G32/G$59</f>
        <v>0</v>
      </c>
      <c r="I32" s="19"/>
    </row>
    <row r="33" customFormat="false" ht="11.25" hidden="true" customHeight="false" outlineLevel="0" collapsed="false">
      <c r="A33" s="10" t="n">
        <v>106616</v>
      </c>
      <c r="B33" s="11" t="s">
        <v>33</v>
      </c>
      <c r="C33" s="12"/>
      <c r="D33" s="17"/>
      <c r="E33" s="18" t="n">
        <f aca="false">+D33/D$59</f>
        <v>0</v>
      </c>
      <c r="F33" s="15"/>
      <c r="G33" s="17" t="n">
        <v>0</v>
      </c>
      <c r="H33" s="18" t="n">
        <f aca="false">+G33/G$59</f>
        <v>0</v>
      </c>
      <c r="I33" s="19"/>
    </row>
    <row r="34" customFormat="false" ht="11.25" hidden="true" customHeight="false" outlineLevel="0" collapsed="false">
      <c r="A34" s="10" t="n">
        <v>106617</v>
      </c>
      <c r="B34" s="11" t="s">
        <v>34</v>
      </c>
      <c r="C34" s="12"/>
      <c r="D34" s="17"/>
      <c r="E34" s="18" t="n">
        <f aca="false">+D34/D$59</f>
        <v>0</v>
      </c>
      <c r="F34" s="15"/>
      <c r="G34" s="17" t="n">
        <v>0</v>
      </c>
      <c r="H34" s="18" t="n">
        <f aca="false">+G34/G$59</f>
        <v>0</v>
      </c>
      <c r="I34" s="19"/>
    </row>
    <row r="35" customFormat="false" ht="11.25" hidden="false" customHeight="false" outlineLevel="0" collapsed="false">
      <c r="A35" s="10" t="n">
        <v>106790</v>
      </c>
      <c r="B35" s="11" t="s">
        <v>35</v>
      </c>
      <c r="C35" s="20"/>
      <c r="D35" s="17" t="n">
        <v>764615.72</v>
      </c>
      <c r="E35" s="18" t="n">
        <f aca="false">+D35/D$59</f>
        <v>0.0435697891654352</v>
      </c>
      <c r="F35" s="15"/>
      <c r="G35" s="17" t="n">
        <v>697778.67958388</v>
      </c>
      <c r="H35" s="18" t="n">
        <f aca="false">+G35/G$59</f>
        <v>0.0435697890083571</v>
      </c>
      <c r="I35" s="19"/>
    </row>
    <row r="36" customFormat="false" ht="11.25" hidden="true" customHeight="false" outlineLevel="0" collapsed="false">
      <c r="A36" s="10" t="n">
        <v>106798</v>
      </c>
      <c r="B36" s="11" t="s">
        <v>36</v>
      </c>
      <c r="C36" s="12"/>
      <c r="D36" s="17"/>
      <c r="E36" s="18" t="n">
        <f aca="false">+D36/D$59</f>
        <v>0</v>
      </c>
      <c r="F36" s="15"/>
      <c r="G36" s="17" t="n">
        <v>0</v>
      </c>
      <c r="H36" s="18" t="n">
        <f aca="false">+G36/G$59</f>
        <v>0</v>
      </c>
      <c r="I36" s="19"/>
    </row>
    <row r="37" customFormat="false" ht="11.25" hidden="false" customHeight="false" outlineLevel="0" collapsed="false">
      <c r="A37" s="10" t="n">
        <v>106802</v>
      </c>
      <c r="B37" s="11" t="s">
        <v>37</v>
      </c>
      <c r="C37" s="12"/>
      <c r="D37" s="17" t="n">
        <v>2071.33</v>
      </c>
      <c r="E37" s="18" t="n">
        <f aca="false">+D37/D$59</f>
        <v>0.000118029761920198</v>
      </c>
      <c r="F37" s="15"/>
      <c r="G37" s="17" t="n">
        <v>1890.27004147985</v>
      </c>
      <c r="H37" s="18" t="n">
        <f aca="false">+G37/G$59</f>
        <v>0.000118029784064497</v>
      </c>
      <c r="I37" s="19"/>
    </row>
    <row r="38" customFormat="false" ht="11.25" hidden="false" customHeight="false" outlineLevel="0" collapsed="false">
      <c r="A38" s="10" t="n">
        <v>106860</v>
      </c>
      <c r="B38" s="11" t="s">
        <v>38</v>
      </c>
      <c r="C38" s="12"/>
      <c r="D38" s="17" t="n">
        <v>94781.34</v>
      </c>
      <c r="E38" s="18" t="n">
        <f aca="false">+D38/D$59</f>
        <v>0.0054008868672193</v>
      </c>
      <c r="F38" s="15"/>
      <c r="G38" s="17" t="n">
        <v>86496.2548976163</v>
      </c>
      <c r="H38" s="18" t="n">
        <f aca="false">+G38/G$59</f>
        <v>0.00540088667964122</v>
      </c>
      <c r="I38" s="19"/>
    </row>
    <row r="39" customFormat="false" ht="11.25" hidden="true" customHeight="false" outlineLevel="0" collapsed="false">
      <c r="A39" s="10" t="n">
        <v>107021</v>
      </c>
      <c r="B39" s="11" t="s">
        <v>39</v>
      </c>
      <c r="C39" s="12"/>
      <c r="D39" s="17"/>
      <c r="E39" s="18" t="n">
        <f aca="false">+D39/D$59</f>
        <v>0</v>
      </c>
      <c r="F39" s="15"/>
      <c r="G39" s="17" t="n">
        <v>0</v>
      </c>
      <c r="H39" s="18" t="n">
        <f aca="false">+G39/G$59</f>
        <v>0</v>
      </c>
      <c r="I39" s="19"/>
    </row>
    <row r="40" customFormat="false" ht="11.25" hidden="true" customHeight="false" outlineLevel="0" collapsed="false">
      <c r="A40" s="10" t="n">
        <v>107022</v>
      </c>
      <c r="B40" s="11" t="s">
        <v>40</v>
      </c>
      <c r="C40" s="12"/>
      <c r="D40" s="17"/>
      <c r="E40" s="18" t="n">
        <f aca="false">+D40/D$59</f>
        <v>0</v>
      </c>
      <c r="F40" s="15"/>
      <c r="G40" s="17" t="n">
        <v>0</v>
      </c>
      <c r="H40" s="18" t="n">
        <f aca="false">+G40/G$59</f>
        <v>0</v>
      </c>
      <c r="I40" s="19"/>
    </row>
    <row r="41" customFormat="false" ht="11.25" hidden="true" customHeight="false" outlineLevel="0" collapsed="false">
      <c r="A41" s="10" t="n">
        <v>107023</v>
      </c>
      <c r="B41" s="11" t="s">
        <v>41</v>
      </c>
      <c r="C41" s="12"/>
      <c r="D41" s="17"/>
      <c r="E41" s="18" t="n">
        <f aca="false">+D41/D$59</f>
        <v>0</v>
      </c>
      <c r="F41" s="15"/>
      <c r="G41" s="17" t="n">
        <v>0</v>
      </c>
      <c r="H41" s="18" t="n">
        <f aca="false">+G41/G$59</f>
        <v>0</v>
      </c>
      <c r="I41" s="19"/>
    </row>
    <row r="42" customFormat="false" ht="11.25" hidden="true" customHeight="false" outlineLevel="0" collapsed="false">
      <c r="A42" s="10" t="n">
        <v>107024</v>
      </c>
      <c r="B42" s="11" t="s">
        <v>42</v>
      </c>
      <c r="C42" s="12"/>
      <c r="D42" s="17"/>
      <c r="E42" s="18" t="n">
        <f aca="false">+D42/D$59</f>
        <v>0</v>
      </c>
      <c r="F42" s="15"/>
      <c r="G42" s="17" t="n">
        <v>0</v>
      </c>
      <c r="H42" s="18" t="n">
        <f aca="false">+G42/G$59</f>
        <v>0</v>
      </c>
      <c r="I42" s="19"/>
    </row>
    <row r="43" customFormat="false" ht="11.25" hidden="false" customHeight="false" outlineLevel="0" collapsed="false">
      <c r="A43" s="10" t="n">
        <v>107040</v>
      </c>
      <c r="B43" s="11" t="s">
        <v>43</v>
      </c>
      <c r="C43" s="12"/>
      <c r="D43" s="17" t="n">
        <v>307430.49</v>
      </c>
      <c r="E43" s="18" t="n">
        <f aca="false">+D43/D$59</f>
        <v>0.0175181876097531</v>
      </c>
      <c r="F43" s="15"/>
      <c r="G43" s="17" t="n">
        <v>280557.193797362</v>
      </c>
      <c r="H43" s="18" t="n">
        <f aca="false">+G43/G$59</f>
        <v>0.017518187494375</v>
      </c>
      <c r="I43" s="19"/>
    </row>
    <row r="44" customFormat="false" ht="11.25" hidden="false" customHeight="false" outlineLevel="0" collapsed="false">
      <c r="A44" s="10" t="n">
        <v>107295</v>
      </c>
      <c r="B44" s="11" t="s">
        <v>44</v>
      </c>
      <c r="C44" s="12"/>
      <c r="D44" s="17" t="n">
        <v>3078033.14</v>
      </c>
      <c r="E44" s="18" t="n">
        <f aca="false">+D44/D$59</f>
        <v>0.175394320893667</v>
      </c>
      <c r="F44" s="15"/>
      <c r="G44" s="17" t="n">
        <v>2808974.30290301</v>
      </c>
      <c r="H44" s="18" t="n">
        <f aca="false">+G44/G$59</f>
        <v>0.17539432099067</v>
      </c>
      <c r="I44" s="19"/>
    </row>
    <row r="45" customFormat="false" ht="11.25" hidden="false" customHeight="false" outlineLevel="0" collapsed="false">
      <c r="A45" s="10" t="n">
        <v>107297</v>
      </c>
      <c r="B45" s="11" t="s">
        <v>45</v>
      </c>
      <c r="C45" s="12"/>
      <c r="D45" s="17" t="n">
        <v>313136.73</v>
      </c>
      <c r="E45" s="18" t="n">
        <f aca="false">+D45/D$59</f>
        <v>0.0178433439820644</v>
      </c>
      <c r="F45" s="15"/>
      <c r="G45" s="17" t="n">
        <v>285764.641616475</v>
      </c>
      <c r="H45" s="18" t="n">
        <f aca="false">+G45/G$59</f>
        <v>0.0178433441799964</v>
      </c>
      <c r="I45" s="19"/>
    </row>
    <row r="46" customFormat="false" ht="11.25" hidden="false" customHeight="false" outlineLevel="0" collapsed="false">
      <c r="A46" s="10" t="n">
        <v>107300</v>
      </c>
      <c r="B46" s="11" t="s">
        <v>46</v>
      </c>
      <c r="C46" s="12"/>
      <c r="D46" s="17" t="n">
        <v>7115437.47</v>
      </c>
      <c r="E46" s="18" t="n">
        <f aca="false">+D46/D$59</f>
        <v>0.405456103345269</v>
      </c>
      <c r="F46" s="15"/>
      <c r="G46" s="17" t="n">
        <v>6493458.66778121</v>
      </c>
      <c r="H46" s="18" t="n">
        <f aca="false">+G46/G$59</f>
        <v>0.4054561028698</v>
      </c>
      <c r="I46" s="19"/>
    </row>
    <row r="47" customFormat="false" ht="11.25" hidden="false" customHeight="false" outlineLevel="0" collapsed="false">
      <c r="A47" s="10" t="n">
        <v>107310</v>
      </c>
      <c r="B47" s="11" t="s">
        <v>47</v>
      </c>
      <c r="C47" s="12"/>
      <c r="D47" s="17" t="n">
        <v>216699.77</v>
      </c>
      <c r="E47" s="18" t="n">
        <f aca="false">+D47/D$59</f>
        <v>0.0123481155881785</v>
      </c>
      <c r="F47" s="15"/>
      <c r="G47" s="17" t="n">
        <v>197757.484928309</v>
      </c>
      <c r="H47" s="18" t="n">
        <f aca="false">+G47/G$59</f>
        <v>0.0123481157353333</v>
      </c>
      <c r="I47" s="19"/>
    </row>
    <row r="48" customFormat="false" ht="11.25" hidden="false" customHeight="false" outlineLevel="0" collapsed="false">
      <c r="A48" s="10" t="n">
        <v>107312</v>
      </c>
      <c r="B48" s="11" t="s">
        <v>48</v>
      </c>
      <c r="C48" s="12"/>
      <c r="D48" s="17" t="n">
        <v>15995.5</v>
      </c>
      <c r="E48" s="18" t="n">
        <f aca="false">+D48/D$59</f>
        <v>0.000911465124723983</v>
      </c>
      <c r="F48" s="15"/>
      <c r="G48" s="17" t="n">
        <v>14597.2892685839</v>
      </c>
      <c r="H48" s="18" t="n">
        <f aca="false">+G48/G$59</f>
        <v>0.00091146495605947</v>
      </c>
      <c r="I48" s="19"/>
    </row>
    <row r="49" customFormat="false" ht="11.25" hidden="false" customHeight="false" outlineLevel="0" collapsed="false">
      <c r="A49" s="10" t="n">
        <v>107319</v>
      </c>
      <c r="B49" s="11" t="s">
        <v>49</v>
      </c>
      <c r="C49" s="12"/>
      <c r="D49" s="17" t="n">
        <v>97367.09</v>
      </c>
      <c r="E49" s="18" t="n">
        <f aca="false">+D49/D$59</f>
        <v>0.00554822961650848</v>
      </c>
      <c r="F49" s="15"/>
      <c r="G49" s="17" t="n">
        <v>88855.9812186488</v>
      </c>
      <c r="H49" s="18" t="n">
        <f aca="false">+G49/G$59</f>
        <v>0.0055482296422926</v>
      </c>
      <c r="I49" s="19"/>
    </row>
    <row r="50" customFormat="false" ht="11.25" hidden="true" customHeight="false" outlineLevel="0" collapsed="false">
      <c r="A50" s="10" t="n">
        <v>107322</v>
      </c>
      <c r="B50" s="11" t="s">
        <v>50</v>
      </c>
      <c r="C50" s="12"/>
      <c r="D50" s="17"/>
      <c r="E50" s="18" t="n">
        <f aca="false">+D50/D$59</f>
        <v>0</v>
      </c>
      <c r="F50" s="15"/>
      <c r="G50" s="17" t="n">
        <v>0</v>
      </c>
      <c r="H50" s="18" t="n">
        <f aca="false">+G50/G$59</f>
        <v>0</v>
      </c>
      <c r="I50" s="19"/>
    </row>
    <row r="51" customFormat="false" ht="11.25" hidden="true" customHeight="false" outlineLevel="0" collapsed="false">
      <c r="A51" s="10" t="n">
        <v>107323</v>
      </c>
      <c r="B51" s="11" t="s">
        <v>51</v>
      </c>
      <c r="C51" s="12"/>
      <c r="D51" s="17"/>
      <c r="E51" s="18" t="n">
        <f aca="false">+D51/D$59</f>
        <v>0</v>
      </c>
      <c r="F51" s="15"/>
      <c r="G51" s="17" t="n">
        <v>0</v>
      </c>
      <c r="H51" s="18" t="n">
        <f aca="false">+G51/G$59</f>
        <v>0</v>
      </c>
      <c r="I51" s="19"/>
    </row>
    <row r="52" customFormat="false" ht="11.25" hidden="false" customHeight="false" outlineLevel="0" collapsed="false">
      <c r="A52" s="10" t="n">
        <v>107443</v>
      </c>
      <c r="B52" s="11" t="s">
        <v>52</v>
      </c>
      <c r="C52" s="12"/>
      <c r="D52" s="17" t="n">
        <v>106853.79</v>
      </c>
      <c r="E52" s="18" t="n">
        <f aca="false">+D52/D$59</f>
        <v>0.00608880641615331</v>
      </c>
      <c r="F52" s="15"/>
      <c r="G52" s="17" t="n">
        <v>97513.4260849779</v>
      </c>
      <c r="H52" s="18" t="n">
        <f aca="false">+G52/G$59</f>
        <v>0.00608880655760103</v>
      </c>
      <c r="I52" s="19"/>
    </row>
    <row r="53" customFormat="false" ht="11.25" hidden="false" customHeight="false" outlineLevel="0" collapsed="false">
      <c r="A53" s="10" t="n">
        <v>107444</v>
      </c>
      <c r="B53" s="11" t="s">
        <v>53</v>
      </c>
      <c r="C53" s="12"/>
      <c r="D53" s="17" t="n">
        <v>130886.53</v>
      </c>
      <c r="E53" s="18" t="n">
        <f aca="false">+D53/D$59</f>
        <v>0.00745825434598102</v>
      </c>
      <c r="F53" s="15"/>
      <c r="G53" s="17" t="n">
        <v>119445.400705906</v>
      </c>
      <c r="H53" s="18" t="n">
        <f aca="false">+G53/G$59</f>
        <v>0.0074582543993441</v>
      </c>
      <c r="I53" s="19"/>
    </row>
    <row r="54" customFormat="false" ht="11.25" hidden="false" customHeight="false" outlineLevel="0" collapsed="false">
      <c r="A54" s="10" t="n">
        <v>107446</v>
      </c>
      <c r="B54" s="11" t="s">
        <v>54</v>
      </c>
      <c r="C54" s="12"/>
      <c r="D54" s="17" t="n">
        <v>1518027.2</v>
      </c>
      <c r="E54" s="18" t="n">
        <f aca="false">+D54/D$59</f>
        <v>0.0865011316421743</v>
      </c>
      <c r="F54" s="15"/>
      <c r="G54" s="17" t="n">
        <v>1385332.51476188</v>
      </c>
      <c r="H54" s="18" t="n">
        <f aca="false">+G54/G$59</f>
        <v>0.0865011315774032</v>
      </c>
      <c r="I54" s="19"/>
    </row>
    <row r="55" customFormat="false" ht="11.25" hidden="false" customHeight="false" outlineLevel="0" collapsed="false">
      <c r="A55" s="10" t="n">
        <v>107447</v>
      </c>
      <c r="B55" s="11" t="s">
        <v>55</v>
      </c>
      <c r="C55" s="12"/>
      <c r="D55" s="17" t="n">
        <v>63844.97</v>
      </c>
      <c r="E55" s="18" t="n">
        <f aca="false">+D55/D$59</f>
        <v>0.00363805217367691</v>
      </c>
      <c r="F55" s="15"/>
      <c r="G55" s="17" t="n">
        <v>58264.1204706324</v>
      </c>
      <c r="H55" s="18" t="n">
        <f aca="false">+G55/G$59</f>
        <v>0.00363805245121106</v>
      </c>
      <c r="I55" s="21"/>
    </row>
    <row r="56" customFormat="false" ht="11.25" hidden="false" customHeight="false" outlineLevel="0" collapsed="false">
      <c r="A56" s="10" t="n">
        <v>107449</v>
      </c>
      <c r="B56" s="11" t="s">
        <v>56</v>
      </c>
      <c r="C56" s="12"/>
      <c r="D56" s="17" t="n">
        <v>7712.69</v>
      </c>
      <c r="E56" s="18" t="n">
        <f aca="false">+D56/D$59</f>
        <v>0.000439489103360784</v>
      </c>
      <c r="F56" s="15"/>
      <c r="G56" s="17" t="n">
        <v>7038.50352067138</v>
      </c>
      <c r="H56" s="18" t="n">
        <f aca="false">+G56/G$59</f>
        <v>0.000439489084867298</v>
      </c>
      <c r="I56" s="19"/>
    </row>
    <row r="57" customFormat="false" ht="11.25" hidden="true" customHeight="false" outlineLevel="0" collapsed="false">
      <c r="A57" s="10" t="n">
        <v>107452</v>
      </c>
      <c r="B57" s="11" t="s">
        <v>57</v>
      </c>
      <c r="C57" s="12"/>
      <c r="D57" s="17"/>
      <c r="E57" s="18" t="n">
        <f aca="false">+D57/D$59</f>
        <v>0</v>
      </c>
      <c r="F57" s="15"/>
      <c r="G57" s="17" t="n">
        <v>0</v>
      </c>
      <c r="H57" s="18" t="n">
        <f aca="false">+G57/G$59</f>
        <v>0</v>
      </c>
      <c r="I57" s="19"/>
    </row>
    <row r="58" customFormat="false" ht="12" hidden="false" customHeight="false" outlineLevel="0" collapsed="false">
      <c r="A58" s="10" t="n">
        <v>150164</v>
      </c>
      <c r="B58" s="11" t="s">
        <v>58</v>
      </c>
      <c r="C58" s="12"/>
      <c r="D58" s="17" t="n">
        <v>674.31</v>
      </c>
      <c r="E58" s="18" t="n">
        <f aca="false">+D58/D$59</f>
        <v>3.8423934747437E-005</v>
      </c>
      <c r="F58" s="15"/>
      <c r="G58" s="17" t="n">
        <v>615.362909446427</v>
      </c>
      <c r="H58" s="18" t="n">
        <f aca="false">+G58/G$59</f>
        <v>3.84236906523691E-005</v>
      </c>
      <c r="I58" s="19"/>
    </row>
    <row r="59" customFormat="false" ht="13.5" hidden="false" customHeight="false" outlineLevel="0" collapsed="false">
      <c r="A59" s="22"/>
      <c r="B59" s="23" t="s">
        <v>59</v>
      </c>
      <c r="C59" s="24"/>
      <c r="D59" s="25" t="n">
        <f aca="false">SUM(D6:D58)</f>
        <v>17549217.81</v>
      </c>
      <c r="E59" s="26" t="n">
        <f aca="false">SUM(E7:E58)</f>
        <v>1</v>
      </c>
      <c r="F59" s="27"/>
      <c r="G59" s="25" t="n">
        <f aca="false">SUM(G6:G58)</f>
        <v>16015195.287038</v>
      </c>
      <c r="H59" s="28" t="n">
        <f aca="false">SUM(H7:H58)</f>
        <v>1</v>
      </c>
      <c r="I59" s="29"/>
    </row>
    <row r="60" customFormat="false" ht="12.75" hidden="false" customHeight="false" outlineLevel="0" collapsed="false">
      <c r="A60" s="30"/>
      <c r="B60" s="31"/>
      <c r="C60" s="31"/>
      <c r="D60" s="31"/>
      <c r="G60" s="29" t="n">
        <f aca="false">+G59-SUM(G6:G58)</f>
        <v>0</v>
      </c>
    </row>
    <row r="61" customFormat="false" ht="12.75" hidden="true" customHeight="false" outlineLevel="0" collapsed="false">
      <c r="A61" s="32" t="e">
        <f aca="false">#REF!</f>
        <v>#REF!</v>
      </c>
      <c r="B61" s="33" t="s">
        <v>60</v>
      </c>
      <c r="C61" s="33"/>
      <c r="D61" s="33"/>
    </row>
    <row r="62" customFormat="false" ht="12.75" hidden="true" customHeight="false" outlineLevel="0" collapsed="false">
      <c r="B62" s="31"/>
      <c r="C62" s="31"/>
      <c r="D62" s="31"/>
      <c r="G62" s="34" t="n">
        <v>5000000</v>
      </c>
    </row>
    <row r="63" customFormat="false" ht="12.75" hidden="true" customHeight="false" outlineLevel="0" collapsed="false">
      <c r="G63" s="34" t="n">
        <f aca="false">31100000-G62</f>
        <v>26100000</v>
      </c>
    </row>
    <row r="64" customFormat="false" ht="4.5" hidden="true" customHeight="true" outlineLevel="0" collapsed="false">
      <c r="B64" s="31"/>
      <c r="C64" s="31"/>
      <c r="D64" s="31"/>
    </row>
    <row r="65" customFormat="false" ht="12.75" hidden="true" customHeight="false" outlineLevel="0" collapsed="false">
      <c r="B65" s="35" t="s">
        <v>61</v>
      </c>
      <c r="C65" s="35"/>
      <c r="D65" s="35"/>
      <c r="G65" s="29" t="e">
        <f aca="false">+#REF!+#REF!+#REF!+#REF!+#REF!+#REF!+#REF!+#REF!+#REF!+#REF!+#REF!+#REF!+#REF!+#REF!+#REF!</f>
        <v>#REF!</v>
      </c>
    </row>
    <row r="66" customFormat="false" ht="12.75" hidden="true" customHeight="false" outlineLevel="0" collapsed="false">
      <c r="B66" s="35" t="s">
        <v>62</v>
      </c>
      <c r="C66" s="35"/>
      <c r="D66" s="35"/>
      <c r="G66" s="29" t="e">
        <f aca="false">+#REF!+G6+G7+G8+G9+G10+SUM(G11:G57)+G58</f>
        <v>#REF!</v>
      </c>
    </row>
    <row r="67" customFormat="false" ht="12.75" hidden="true" customHeight="false" outlineLevel="0" collapsed="false">
      <c r="G67" s="36" t="e">
        <f aca="false">SUM(G65:G66)</f>
        <v>#REF!</v>
      </c>
    </row>
    <row r="68" customFormat="false" ht="12.75" hidden="false" customHeight="false" outlineLevel="0" collapsed="false">
      <c r="A68" s="16"/>
    </row>
  </sheetData>
  <mergeCells count="5">
    <mergeCell ref="A1:H1"/>
    <mergeCell ref="A2:H2"/>
    <mergeCell ref="A3:H3"/>
    <mergeCell ref="D5:E5"/>
    <mergeCell ref="G5:H5"/>
  </mergeCells>
  <printOptions headings="false" gridLines="false" gridLinesSet="true" horizontalCentered="true" verticalCentered="false"/>
  <pageMargins left="0.2" right="0.2" top="0.7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37" width="3.7"/>
    <col collapsed="false" customWidth="true" hidden="false" outlineLevel="0" max="2" min="2" style="37" width="2.56"/>
    <col collapsed="false" customWidth="true" hidden="false" outlineLevel="0" max="3" min="3" style="37" width="64.84"/>
    <col collapsed="false" customWidth="true" hidden="true" outlineLevel="0" max="4" min="4" style="37" width="2.56"/>
    <col collapsed="false" customWidth="true" hidden="true" outlineLevel="0" max="5" min="5" style="37" width="16.13"/>
    <col collapsed="false" customWidth="true" hidden="true" outlineLevel="0" max="6" min="6" style="37" width="2.56"/>
    <col collapsed="false" customWidth="true" hidden="true" outlineLevel="0" max="7" min="7" style="37" width="16.13"/>
    <col collapsed="false" customWidth="true" hidden="true" outlineLevel="0" max="8" min="8" style="37" width="2.84"/>
    <col collapsed="false" customWidth="true" hidden="true" outlineLevel="0" max="9" min="9" style="37" width="16.13"/>
    <col collapsed="false" customWidth="true" hidden="false" outlineLevel="0" max="10" min="10" style="37" width="2.56"/>
    <col collapsed="false" customWidth="true" hidden="true" outlineLevel="0" max="13" min="11" style="37" width="16.13"/>
    <col collapsed="false" customWidth="true" hidden="false" outlineLevel="0" max="14" min="14" style="37" width="16.13"/>
    <col collapsed="false" customWidth="true" hidden="false" outlineLevel="0" max="15" min="15" style="37" width="2.56"/>
    <col collapsed="false" customWidth="true" hidden="false" outlineLevel="0" max="16" min="16" style="37" width="18.56"/>
    <col collapsed="false" customWidth="true" hidden="false" outlineLevel="0" max="17" min="17" style="37" width="2.56"/>
    <col collapsed="false" customWidth="true" hidden="false" outlineLevel="0" max="18" min="18" style="37" width="18.56"/>
    <col collapsed="false" customWidth="true" hidden="false" outlineLevel="0" max="19" min="19" style="37" width="2.56"/>
    <col collapsed="false" customWidth="true" hidden="false" outlineLevel="0" max="20" min="20" style="37" width="20.7"/>
    <col collapsed="false" customWidth="false" hidden="true" outlineLevel="0" max="21" min="21" style="38" width="9.14"/>
    <col collapsed="false" customWidth="true" hidden="false" outlineLevel="0" max="22" min="22" style="39" width="26.13"/>
    <col collapsed="false" customWidth="false" hidden="false" outlineLevel="0" max="257" min="23" style="37" width="9.14"/>
  </cols>
  <sheetData>
    <row r="1" customFormat="false" ht="9.75" hidden="false" customHeight="true" outlineLevel="0" collapsed="false">
      <c r="T1" s="40"/>
    </row>
    <row r="2" customFormat="false" ht="9" hidden="false" customHeight="true" outlineLevel="0" collapsed="false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customFormat="false" ht="28.5" hidden="false" customHeight="true" outlineLevel="0" collapsed="false">
      <c r="A3" s="0"/>
      <c r="B3" s="44" t="s">
        <v>63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V3" s="31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9" hidden="false" customHeight="true" outlineLevel="0" collapsed="false">
      <c r="A4" s="0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  <c r="V4" s="31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5" hidden="false" customHeight="true" outlineLevel="0" collapsed="false">
      <c r="A5" s="0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V5" s="31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B6" s="49"/>
      <c r="C6" s="50"/>
      <c r="D6" s="49"/>
      <c r="E6" s="51" t="n">
        <v>2001</v>
      </c>
      <c r="F6" s="52"/>
      <c r="G6" s="51" t="n">
        <v>2001</v>
      </c>
      <c r="H6" s="51"/>
      <c r="I6" s="51" t="n">
        <v>2001</v>
      </c>
      <c r="J6" s="53"/>
      <c r="K6" s="51" t="s">
        <v>64</v>
      </c>
      <c r="L6" s="51"/>
      <c r="M6" s="51"/>
      <c r="N6" s="51" t="n">
        <v>2001</v>
      </c>
      <c r="O6" s="50"/>
      <c r="P6" s="51" t="n">
        <v>2001</v>
      </c>
      <c r="Q6" s="52"/>
      <c r="R6" s="51" t="n">
        <v>2002</v>
      </c>
      <c r="S6" s="50"/>
      <c r="T6" s="54" t="s">
        <v>65</v>
      </c>
    </row>
    <row r="7" customFormat="false" ht="13.5" hidden="false" customHeight="false" outlineLevel="0" collapsed="false">
      <c r="B7" s="55"/>
      <c r="C7" s="56"/>
      <c r="D7" s="55"/>
      <c r="E7" s="57" t="s">
        <v>66</v>
      </c>
      <c r="F7" s="58"/>
      <c r="G7" s="57" t="s">
        <v>67</v>
      </c>
      <c r="H7" s="57"/>
      <c r="I7" s="57" t="s">
        <v>68</v>
      </c>
      <c r="J7" s="59"/>
      <c r="K7" s="57" t="s">
        <v>69</v>
      </c>
      <c r="L7" s="57"/>
      <c r="M7" s="57"/>
      <c r="N7" s="57" t="s">
        <v>69</v>
      </c>
      <c r="O7" s="56"/>
      <c r="P7" s="57" t="s">
        <v>70</v>
      </c>
      <c r="Q7" s="58"/>
      <c r="R7" s="57" t="s">
        <v>69</v>
      </c>
      <c r="S7" s="56"/>
      <c r="T7" s="60" t="s">
        <v>71</v>
      </c>
    </row>
    <row r="8" customFormat="false" ht="16.5" hidden="false" customHeight="true" outlineLevel="0" collapsed="false">
      <c r="B8" s="61"/>
      <c r="C8" s="62"/>
      <c r="D8" s="63"/>
      <c r="E8" s="64" t="s">
        <v>72</v>
      </c>
      <c r="F8" s="65"/>
      <c r="G8" s="64" t="s">
        <v>70</v>
      </c>
      <c r="H8" s="64"/>
      <c r="I8" s="64"/>
      <c r="J8" s="66"/>
      <c r="K8" s="64"/>
      <c r="L8" s="64" t="s">
        <v>73</v>
      </c>
      <c r="M8" s="64"/>
      <c r="N8" s="64"/>
      <c r="O8" s="67"/>
      <c r="P8" s="68"/>
      <c r="Q8" s="69"/>
      <c r="R8" s="70"/>
      <c r="S8" s="69"/>
      <c r="T8" s="71"/>
    </row>
    <row r="9" customFormat="false" ht="15.75" hidden="false" customHeight="true" outlineLevel="0" collapsed="false">
      <c r="A9" s="72"/>
      <c r="B9" s="73" t="s">
        <v>74</v>
      </c>
      <c r="C9" s="74"/>
      <c r="D9" s="75"/>
      <c r="E9" s="76"/>
      <c r="F9" s="77"/>
      <c r="G9" s="78"/>
      <c r="H9" s="78"/>
      <c r="I9" s="78"/>
      <c r="J9" s="79"/>
      <c r="K9" s="78" t="s">
        <v>75</v>
      </c>
      <c r="L9" s="78" t="s">
        <v>68</v>
      </c>
      <c r="M9" s="78" t="s">
        <v>76</v>
      </c>
      <c r="N9" s="78"/>
      <c r="O9" s="80"/>
      <c r="P9" s="81"/>
      <c r="Q9" s="77"/>
      <c r="R9" s="76"/>
      <c r="S9" s="77"/>
      <c r="T9" s="8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B10" s="61"/>
      <c r="C10" s="83"/>
      <c r="D10" s="61"/>
      <c r="E10" s="84"/>
      <c r="F10" s="85"/>
      <c r="G10" s="84"/>
      <c r="H10" s="84"/>
      <c r="I10" s="84"/>
      <c r="J10" s="86"/>
      <c r="K10" s="84"/>
      <c r="L10" s="84"/>
      <c r="M10" s="84"/>
      <c r="N10" s="84"/>
      <c r="O10" s="87"/>
      <c r="P10" s="84"/>
      <c r="Q10" s="85"/>
      <c r="R10" s="84"/>
      <c r="S10" s="85"/>
      <c r="T10" s="88"/>
    </row>
    <row r="11" customFormat="false" ht="15" hidden="false" customHeight="false" outlineLevel="0" collapsed="false">
      <c r="A11" s="89"/>
      <c r="B11" s="90"/>
      <c r="C11" s="91" t="s">
        <v>77</v>
      </c>
      <c r="D11" s="92"/>
      <c r="E11" s="93" t="n">
        <v>10066928</v>
      </c>
      <c r="F11" s="94"/>
      <c r="G11" s="93" t="n">
        <f aca="false">+E11/7*5</f>
        <v>7190662.85714286</v>
      </c>
      <c r="H11" s="93"/>
      <c r="I11" s="93" t="n">
        <v>708000</v>
      </c>
      <c r="J11" s="95"/>
      <c r="K11" s="93" t="n">
        <f aca="false">10769832+1433004+700644</f>
        <v>12903480</v>
      </c>
      <c r="L11" s="93"/>
      <c r="M11" s="93" t="n">
        <f aca="false">3321002+1003771</f>
        <v>4324773</v>
      </c>
      <c r="N11" s="93" t="n">
        <f aca="false">SUM(K11:M11)</f>
        <v>17228253</v>
      </c>
      <c r="O11" s="96"/>
      <c r="P11" s="94" t="n">
        <f aca="false">+E11+G11+I11</f>
        <v>17965590.8571429</v>
      </c>
      <c r="Q11" s="94"/>
      <c r="R11" s="93" t="n">
        <v>18400329</v>
      </c>
      <c r="S11" s="97"/>
      <c r="T11" s="98" t="n">
        <f aca="false">(-R11+P11)</f>
        <v>-434738.142857142</v>
      </c>
      <c r="U11" s="38" t="n">
        <f aca="false">IF(T11=0,0,T11/P11)</f>
        <v>-0.024198377126255</v>
      </c>
      <c r="V11" s="39" t="s">
        <v>78</v>
      </c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customFormat="false" ht="15" hidden="false" customHeight="false" outlineLevel="0" collapsed="false">
      <c r="A12" s="89"/>
      <c r="B12" s="90"/>
      <c r="C12" s="91" t="s">
        <v>79</v>
      </c>
      <c r="D12" s="92"/>
      <c r="E12" s="94" t="n">
        <f aca="false">SUM(E13:E21)</f>
        <v>375559</v>
      </c>
      <c r="F12" s="94"/>
      <c r="G12" s="94" t="n">
        <f aca="false">SUM(G13:G21)</f>
        <v>337130</v>
      </c>
      <c r="H12" s="94"/>
      <c r="I12" s="93"/>
      <c r="J12" s="99"/>
      <c r="K12" s="93" t="n">
        <f aca="false">1010184*0.36</f>
        <v>363666.24</v>
      </c>
      <c r="L12" s="93"/>
      <c r="M12" s="93" t="n">
        <f aca="false">108000+84000</f>
        <v>192000</v>
      </c>
      <c r="N12" s="93" t="n">
        <f aca="false">SUM(K12:M12)</f>
        <v>555666.24</v>
      </c>
      <c r="O12" s="96"/>
      <c r="P12" s="94" t="n">
        <f aca="false">+E12+G12+I12</f>
        <v>712689</v>
      </c>
      <c r="Q12" s="94"/>
      <c r="R12" s="94" t="n">
        <f aca="false">SUM(R13:R21)</f>
        <v>802644</v>
      </c>
      <c r="S12" s="97"/>
      <c r="T12" s="98" t="n">
        <f aca="false">(-R12+P12)</f>
        <v>-89955</v>
      </c>
      <c r="U12" s="38" t="n">
        <f aca="false">IF(T12=0,0,T12/P12)</f>
        <v>-0.126219150288555</v>
      </c>
      <c r="V12" s="100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customFormat="false" ht="15" hidden="true" customHeight="false" outlineLevel="1" collapsed="false">
      <c r="A13" s="101"/>
      <c r="B13" s="102"/>
      <c r="C13" s="103" t="s">
        <v>80</v>
      </c>
      <c r="D13" s="104"/>
      <c r="E13" s="105" t="n">
        <v>0</v>
      </c>
      <c r="F13" s="106"/>
      <c r="G13" s="105" t="n">
        <v>0</v>
      </c>
      <c r="H13" s="105"/>
      <c r="I13" s="105"/>
      <c r="J13" s="107"/>
      <c r="K13" s="105" t="n">
        <v>0</v>
      </c>
      <c r="L13" s="105"/>
      <c r="M13" s="105"/>
      <c r="N13" s="93" t="n">
        <f aca="false">SUM(K13:M13)</f>
        <v>0</v>
      </c>
      <c r="O13" s="108"/>
      <c r="P13" s="106" t="n">
        <f aca="false">+E13+G13+I13</f>
        <v>0</v>
      </c>
      <c r="Q13" s="106"/>
      <c r="R13" s="105" t="n">
        <v>0</v>
      </c>
      <c r="S13" s="109"/>
      <c r="T13" s="110" t="n">
        <f aca="false">(-R13+P13)</f>
        <v>0</v>
      </c>
      <c r="U13" s="38" t="n">
        <f aca="false">IF(T13=0,0,T13/P13)</f>
        <v>0</v>
      </c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  <c r="IW13" s="101"/>
    </row>
    <row r="14" customFormat="false" ht="15" hidden="true" customHeight="false" outlineLevel="1" collapsed="false">
      <c r="A14" s="101"/>
      <c r="B14" s="102"/>
      <c r="C14" s="103" t="s">
        <v>81</v>
      </c>
      <c r="D14" s="104"/>
      <c r="E14" s="105" t="n">
        <v>84636</v>
      </c>
      <c r="F14" s="109"/>
      <c r="G14" s="105" t="n">
        <f aca="false">100160</f>
        <v>100160</v>
      </c>
      <c r="H14" s="105"/>
      <c r="I14" s="105"/>
      <c r="J14" s="107"/>
      <c r="K14" s="105" t="n">
        <v>0</v>
      </c>
      <c r="L14" s="105"/>
      <c r="M14" s="105"/>
      <c r="N14" s="93" t="n">
        <f aca="false">SUM(K14:M14)</f>
        <v>0</v>
      </c>
      <c r="O14" s="103"/>
      <c r="P14" s="106" t="n">
        <f aca="false">+E14+G14+I14</f>
        <v>184796</v>
      </c>
      <c r="Q14" s="109"/>
      <c r="R14" s="105" t="n">
        <v>220404</v>
      </c>
      <c r="S14" s="109"/>
      <c r="T14" s="110" t="n">
        <f aca="false">(-R14+P14)</f>
        <v>-35608</v>
      </c>
      <c r="U14" s="38" t="n">
        <f aca="false">IF(T14=0,0,T14/P14)</f>
        <v>-0.192688153423234</v>
      </c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</row>
    <row r="15" customFormat="false" ht="15" hidden="true" customHeight="false" outlineLevel="1" collapsed="false">
      <c r="A15" s="101"/>
      <c r="B15" s="102"/>
      <c r="C15" s="103" t="s">
        <v>82</v>
      </c>
      <c r="D15" s="104"/>
      <c r="E15" s="105" t="n">
        <v>0</v>
      </c>
      <c r="F15" s="109"/>
      <c r="G15" s="105" t="n">
        <v>0</v>
      </c>
      <c r="H15" s="105"/>
      <c r="I15" s="105"/>
      <c r="J15" s="107"/>
      <c r="K15" s="105" t="n">
        <v>0</v>
      </c>
      <c r="L15" s="105"/>
      <c r="M15" s="105"/>
      <c r="N15" s="93" t="n">
        <f aca="false">SUM(K15:M15)</f>
        <v>0</v>
      </c>
      <c r="O15" s="103"/>
      <c r="P15" s="106" t="n">
        <f aca="false">+E15+G15+I15</f>
        <v>0</v>
      </c>
      <c r="Q15" s="109"/>
      <c r="R15" s="105" t="n">
        <v>0</v>
      </c>
      <c r="S15" s="109"/>
      <c r="T15" s="110" t="n">
        <f aca="false">(-R15+P15)</f>
        <v>0</v>
      </c>
      <c r="U15" s="38" t="n">
        <f aca="false">IF(T15=0,0,T15/P15)</f>
        <v>0</v>
      </c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</row>
    <row r="16" customFormat="false" ht="15" hidden="true" customHeight="false" outlineLevel="1" collapsed="false">
      <c r="A16" s="101"/>
      <c r="B16" s="102"/>
      <c r="C16" s="103" t="s">
        <v>83</v>
      </c>
      <c r="D16" s="104"/>
      <c r="E16" s="105" t="n">
        <v>0</v>
      </c>
      <c r="F16" s="109"/>
      <c r="G16" s="105" t="n">
        <v>0</v>
      </c>
      <c r="H16" s="105"/>
      <c r="I16" s="105"/>
      <c r="J16" s="107"/>
      <c r="K16" s="105" t="n">
        <v>0</v>
      </c>
      <c r="L16" s="105"/>
      <c r="M16" s="105"/>
      <c r="N16" s="93" t="n">
        <f aca="false">SUM(K16:M16)</f>
        <v>0</v>
      </c>
      <c r="O16" s="103"/>
      <c r="P16" s="106" t="n">
        <f aca="false">+E16+G16+I16</f>
        <v>0</v>
      </c>
      <c r="Q16" s="109"/>
      <c r="R16" s="105" t="n">
        <v>0</v>
      </c>
      <c r="S16" s="109"/>
      <c r="T16" s="110" t="n">
        <f aca="false">(-R16+P16)</f>
        <v>0</v>
      </c>
      <c r="U16" s="38" t="n">
        <f aca="false">IF(T16=0,0,T16/P16)</f>
        <v>0</v>
      </c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</row>
    <row r="17" customFormat="false" ht="15" hidden="true" customHeight="false" outlineLevel="1" collapsed="false">
      <c r="A17" s="101"/>
      <c r="B17" s="102"/>
      <c r="C17" s="103" t="s">
        <v>84</v>
      </c>
      <c r="D17" s="104"/>
      <c r="E17" s="105" t="n">
        <v>126938</v>
      </c>
      <c r="F17" s="106"/>
      <c r="G17" s="105" t="n">
        <f aca="false">101446</f>
        <v>101446</v>
      </c>
      <c r="H17" s="105"/>
      <c r="I17" s="105"/>
      <c r="J17" s="107"/>
      <c r="K17" s="105" t="n">
        <v>0</v>
      </c>
      <c r="L17" s="105"/>
      <c r="M17" s="105"/>
      <c r="N17" s="93" t="n">
        <f aca="false">SUM(K17:M17)</f>
        <v>0</v>
      </c>
      <c r="O17" s="108"/>
      <c r="P17" s="106" t="n">
        <f aca="false">+E17+G17+I17</f>
        <v>228384</v>
      </c>
      <c r="Q17" s="106"/>
      <c r="R17" s="105" t="n">
        <v>261072</v>
      </c>
      <c r="S17" s="109"/>
      <c r="T17" s="110" t="n">
        <f aca="false">(-R17+P17)</f>
        <v>-32688</v>
      </c>
      <c r="U17" s="38" t="n">
        <f aca="false">IF(T17=0,0,T17/P17)</f>
        <v>-0.14312736443884</v>
      </c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</row>
    <row r="18" customFormat="false" ht="15" hidden="true" customHeight="false" outlineLevel="1" collapsed="false">
      <c r="A18" s="101"/>
      <c r="B18" s="102"/>
      <c r="C18" s="103" t="s">
        <v>85</v>
      </c>
      <c r="D18" s="104"/>
      <c r="E18" s="105" t="n">
        <v>105832</v>
      </c>
      <c r="F18" s="106"/>
      <c r="G18" s="105" t="n">
        <f aca="false">87390</f>
        <v>87390</v>
      </c>
      <c r="H18" s="105"/>
      <c r="I18" s="105"/>
      <c r="J18" s="107"/>
      <c r="K18" s="105" t="n">
        <v>0</v>
      </c>
      <c r="L18" s="105"/>
      <c r="M18" s="105"/>
      <c r="N18" s="93" t="n">
        <f aca="false">SUM(K18:M18)</f>
        <v>0</v>
      </c>
      <c r="O18" s="108"/>
      <c r="P18" s="106" t="n">
        <f aca="false">+E18+G18+I18</f>
        <v>193222</v>
      </c>
      <c r="Q18" s="106"/>
      <c r="R18" s="105" t="n">
        <v>204468</v>
      </c>
      <c r="S18" s="109"/>
      <c r="T18" s="110" t="n">
        <f aca="false">(-R18+P18)</f>
        <v>-11246</v>
      </c>
      <c r="U18" s="38" t="n">
        <f aca="false">IF(T18=0,0,T18/P18)</f>
        <v>-0.0582024821190134</v>
      </c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</row>
    <row r="19" customFormat="false" ht="15" hidden="true" customHeight="false" outlineLevel="1" collapsed="false">
      <c r="A19" s="101"/>
      <c r="B19" s="102"/>
      <c r="C19" s="103" t="s">
        <v>86</v>
      </c>
      <c r="D19" s="104"/>
      <c r="E19" s="105" t="n">
        <v>0</v>
      </c>
      <c r="F19" s="106"/>
      <c r="G19" s="105" t="n">
        <v>0</v>
      </c>
      <c r="H19" s="105"/>
      <c r="I19" s="105"/>
      <c r="J19" s="107"/>
      <c r="K19" s="105" t="n">
        <v>0</v>
      </c>
      <c r="L19" s="105"/>
      <c r="M19" s="105"/>
      <c r="N19" s="93" t="n">
        <f aca="false">SUM(K19:M19)</f>
        <v>0</v>
      </c>
      <c r="O19" s="108"/>
      <c r="P19" s="106" t="n">
        <f aca="false">+E19+G19+I19</f>
        <v>0</v>
      </c>
      <c r="Q19" s="106"/>
      <c r="R19" s="105" t="n">
        <v>0</v>
      </c>
      <c r="S19" s="109"/>
      <c r="T19" s="110" t="n">
        <f aca="false">(-R19+P19)</f>
        <v>0</v>
      </c>
      <c r="U19" s="38" t="n">
        <f aca="false">IF(T19=0,0,T19/P19)</f>
        <v>0</v>
      </c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  <c r="IW19" s="101"/>
    </row>
    <row r="20" customFormat="false" ht="15" hidden="true" customHeight="false" outlineLevel="1" collapsed="false">
      <c r="A20" s="101"/>
      <c r="B20" s="102"/>
      <c r="C20" s="103" t="s">
        <v>87</v>
      </c>
      <c r="D20" s="104"/>
      <c r="E20" s="105" t="n">
        <v>48889</v>
      </c>
      <c r="F20" s="106"/>
      <c r="G20" s="105" t="n">
        <f aca="false">41023</f>
        <v>41023</v>
      </c>
      <c r="H20" s="105"/>
      <c r="I20" s="105"/>
      <c r="J20" s="107"/>
      <c r="K20" s="105" t="n">
        <v>0</v>
      </c>
      <c r="L20" s="105"/>
      <c r="M20" s="105"/>
      <c r="N20" s="93" t="n">
        <f aca="false">SUM(K20:M20)</f>
        <v>0</v>
      </c>
      <c r="O20" s="108"/>
      <c r="P20" s="106" t="n">
        <f aca="false">+E20+G20+I20</f>
        <v>89912</v>
      </c>
      <c r="Q20" s="106"/>
      <c r="R20" s="105" t="n">
        <v>101232</v>
      </c>
      <c r="S20" s="109"/>
      <c r="T20" s="110" t="n">
        <f aca="false">(-R20+P20)</f>
        <v>-11320</v>
      </c>
      <c r="U20" s="38" t="n">
        <f aca="false">IF(T20=0,0,T20/P20)</f>
        <v>-0.125900880861287</v>
      </c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</row>
    <row r="21" customFormat="false" ht="15" hidden="true" customHeight="false" outlineLevel="1" collapsed="false">
      <c r="A21" s="101"/>
      <c r="B21" s="102"/>
      <c r="C21" s="103" t="s">
        <v>88</v>
      </c>
      <c r="D21" s="104"/>
      <c r="E21" s="105" t="n">
        <v>9264</v>
      </c>
      <c r="F21" s="106"/>
      <c r="G21" s="105" t="n">
        <f aca="false">7111</f>
        <v>7111</v>
      </c>
      <c r="H21" s="105"/>
      <c r="I21" s="105"/>
      <c r="J21" s="107"/>
      <c r="K21" s="105" t="n">
        <v>0</v>
      </c>
      <c r="L21" s="105"/>
      <c r="M21" s="105"/>
      <c r="N21" s="93" t="n">
        <f aca="false">SUM(K21:M21)</f>
        <v>0</v>
      </c>
      <c r="O21" s="108"/>
      <c r="P21" s="106" t="n">
        <f aca="false">+E21+G21+I21</f>
        <v>16375</v>
      </c>
      <c r="Q21" s="106"/>
      <c r="R21" s="105" t="n">
        <v>15468</v>
      </c>
      <c r="S21" s="109"/>
      <c r="T21" s="110" t="n">
        <f aca="false">(-R21+P21)</f>
        <v>907</v>
      </c>
      <c r="U21" s="38" t="n">
        <f aca="false">IF(T21=0,0,T21/P21)</f>
        <v>0.0553893129770992</v>
      </c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</row>
    <row r="22" customFormat="false" ht="15" hidden="false" customHeight="false" outlineLevel="0" collapsed="false">
      <c r="A22" s="89"/>
      <c r="B22" s="90"/>
      <c r="C22" s="91" t="s">
        <v>89</v>
      </c>
      <c r="D22" s="92"/>
      <c r="E22" s="94" t="n">
        <f aca="false">SUM(E23:E28)</f>
        <v>646589</v>
      </c>
      <c r="F22" s="94"/>
      <c r="G22" s="94" t="n">
        <f aca="false">SUM(G23:G28)</f>
        <v>474087</v>
      </c>
      <c r="H22" s="94"/>
      <c r="I22" s="93"/>
      <c r="J22" s="99"/>
      <c r="K22" s="93" t="n">
        <f aca="false">1010184*0.64</f>
        <v>646517.76</v>
      </c>
      <c r="L22" s="93"/>
      <c r="M22" s="93" t="n">
        <v>408000</v>
      </c>
      <c r="N22" s="93" t="n">
        <f aca="false">SUM(K22:M22)</f>
        <v>1054517.76</v>
      </c>
      <c r="O22" s="91"/>
      <c r="P22" s="94" t="n">
        <f aca="false">+E22+G22+I22</f>
        <v>1120676</v>
      </c>
      <c r="Q22" s="97"/>
      <c r="R22" s="94" t="n">
        <f aca="false">SUM(R23:R28)</f>
        <v>1150128</v>
      </c>
      <c r="S22" s="97"/>
      <c r="T22" s="98" t="n">
        <f aca="false">(-R22+P22)</f>
        <v>-29452</v>
      </c>
      <c r="U22" s="38" t="n">
        <f aca="false">IF(T22=0,0,T22/P22)</f>
        <v>-0.0262805663724395</v>
      </c>
      <c r="V22" s="100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customFormat="false" ht="15" hidden="true" customHeight="false" outlineLevel="1" collapsed="false">
      <c r="A23" s="101"/>
      <c r="B23" s="102"/>
      <c r="C23" s="103" t="s">
        <v>90</v>
      </c>
      <c r="D23" s="104"/>
      <c r="E23" s="105" t="n">
        <v>308907</v>
      </c>
      <c r="F23" s="106"/>
      <c r="G23" s="105" t="n">
        <f aca="false">232888-2</f>
        <v>232886</v>
      </c>
      <c r="H23" s="105"/>
      <c r="I23" s="105"/>
      <c r="J23" s="107"/>
      <c r="K23" s="105" t="n">
        <v>0</v>
      </c>
      <c r="L23" s="105"/>
      <c r="M23" s="105"/>
      <c r="N23" s="93" t="n">
        <f aca="false">SUM(K23:M23)</f>
        <v>0</v>
      </c>
      <c r="O23" s="108"/>
      <c r="P23" s="106" t="n">
        <f aca="false">+E23+G23+I23</f>
        <v>541793</v>
      </c>
      <c r="Q23" s="106"/>
      <c r="R23" s="105" t="n">
        <v>558924</v>
      </c>
      <c r="S23" s="109"/>
      <c r="T23" s="110" t="n">
        <f aca="false">(-R23+P23)</f>
        <v>-17131</v>
      </c>
      <c r="U23" s="38" t="n">
        <f aca="false">IF(T23=0,0,T23/P23)</f>
        <v>-0.0316190869944794</v>
      </c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</row>
    <row r="24" customFormat="false" ht="15" hidden="true" customHeight="false" outlineLevel="1" collapsed="false">
      <c r="A24" s="101"/>
      <c r="B24" s="102"/>
      <c r="C24" s="103" t="s">
        <v>91</v>
      </c>
      <c r="D24" s="104"/>
      <c r="E24" s="105" t="n">
        <v>185344</v>
      </c>
      <c r="F24" s="106"/>
      <c r="G24" s="105" t="n">
        <f aca="false">132389</f>
        <v>132389</v>
      </c>
      <c r="H24" s="105"/>
      <c r="I24" s="105"/>
      <c r="J24" s="107"/>
      <c r="K24" s="105" t="n">
        <v>0</v>
      </c>
      <c r="L24" s="105"/>
      <c r="M24" s="105"/>
      <c r="N24" s="93" t="n">
        <f aca="false">SUM(K24:M24)</f>
        <v>0</v>
      </c>
      <c r="O24" s="108"/>
      <c r="P24" s="106" t="n">
        <f aca="false">+E24+G24+I24</f>
        <v>317733</v>
      </c>
      <c r="Q24" s="106"/>
      <c r="R24" s="105" t="n">
        <v>322716</v>
      </c>
      <c r="S24" s="109"/>
      <c r="T24" s="110" t="n">
        <f aca="false">(-R24+P24)</f>
        <v>-4983</v>
      </c>
      <c r="U24" s="38" t="n">
        <f aca="false">IF(T24=0,0,T24/P24)</f>
        <v>-0.0156829791050977</v>
      </c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</row>
    <row r="25" customFormat="false" ht="15" hidden="true" customHeight="false" outlineLevel="1" collapsed="false">
      <c r="A25" s="101"/>
      <c r="B25" s="102"/>
      <c r="C25" s="103" t="s">
        <v>92</v>
      </c>
      <c r="D25" s="104"/>
      <c r="E25" s="105" t="n">
        <v>92672</v>
      </c>
      <c r="F25" s="106"/>
      <c r="G25" s="105" t="n">
        <f aca="false">66194</f>
        <v>66194</v>
      </c>
      <c r="H25" s="105"/>
      <c r="I25" s="105"/>
      <c r="J25" s="107"/>
      <c r="K25" s="105" t="n">
        <v>0</v>
      </c>
      <c r="L25" s="105"/>
      <c r="M25" s="105"/>
      <c r="N25" s="93" t="n">
        <f aca="false">SUM(K25:M25)</f>
        <v>0</v>
      </c>
      <c r="O25" s="108"/>
      <c r="P25" s="106" t="n">
        <f aca="false">+E25+G25+I25</f>
        <v>158866</v>
      </c>
      <c r="Q25" s="106"/>
      <c r="R25" s="105" t="n">
        <v>161388</v>
      </c>
      <c r="S25" s="109"/>
      <c r="T25" s="110" t="n">
        <f aca="false">(-R25+P25)</f>
        <v>-2522</v>
      </c>
      <c r="U25" s="38" t="n">
        <f aca="false">IF(T25=0,0,T25/P25)</f>
        <v>-0.0158750141628794</v>
      </c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</row>
    <row r="26" customFormat="false" ht="15" hidden="true" customHeight="false" outlineLevel="1" collapsed="false">
      <c r="A26" s="101"/>
      <c r="B26" s="102"/>
      <c r="C26" s="103" t="s">
        <v>93</v>
      </c>
      <c r="D26" s="104"/>
      <c r="E26" s="105" t="n">
        <v>30891</v>
      </c>
      <c r="F26" s="109"/>
      <c r="G26" s="105" t="n">
        <f aca="false">22065</f>
        <v>22065</v>
      </c>
      <c r="H26" s="105"/>
      <c r="I26" s="105"/>
      <c r="J26" s="107"/>
      <c r="K26" s="105" t="n">
        <v>0</v>
      </c>
      <c r="L26" s="105"/>
      <c r="M26" s="105"/>
      <c r="N26" s="93" t="n">
        <f aca="false">SUM(K26:M26)</f>
        <v>0</v>
      </c>
      <c r="O26" s="103"/>
      <c r="P26" s="106" t="n">
        <f aca="false">+E26+G26+I26</f>
        <v>52956</v>
      </c>
      <c r="Q26" s="109"/>
      <c r="R26" s="105" t="n">
        <v>54288</v>
      </c>
      <c r="S26" s="109"/>
      <c r="T26" s="110" t="n">
        <f aca="false">(-R26+P26)</f>
        <v>-1332</v>
      </c>
      <c r="U26" s="38" t="n">
        <f aca="false">IF(T26=0,0,T26/P26)</f>
        <v>-0.0251529571719918</v>
      </c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</row>
    <row r="27" customFormat="false" ht="15" hidden="true" customHeight="false" outlineLevel="1" collapsed="false">
      <c r="A27" s="101"/>
      <c r="B27" s="102"/>
      <c r="C27" s="103" t="s">
        <v>94</v>
      </c>
      <c r="D27" s="104"/>
      <c r="E27" s="105" t="n">
        <v>28775</v>
      </c>
      <c r="F27" s="109"/>
      <c r="G27" s="105" t="n">
        <f aca="false">20553</f>
        <v>20553</v>
      </c>
      <c r="H27" s="105"/>
      <c r="I27" s="105"/>
      <c r="J27" s="107"/>
      <c r="K27" s="105" t="n">
        <v>0</v>
      </c>
      <c r="L27" s="105"/>
      <c r="M27" s="105"/>
      <c r="N27" s="93" t="n">
        <f aca="false">SUM(K27:M27)</f>
        <v>0</v>
      </c>
      <c r="O27" s="103"/>
      <c r="P27" s="106" t="n">
        <f aca="false">+E27+G27+I27</f>
        <v>49328</v>
      </c>
      <c r="Q27" s="109"/>
      <c r="R27" s="105" t="n">
        <v>52812</v>
      </c>
      <c r="S27" s="109"/>
      <c r="T27" s="110" t="n">
        <f aca="false">(-R27+P27)</f>
        <v>-3484</v>
      </c>
      <c r="U27" s="38" t="n">
        <f aca="false">IF(T27=0,0,T27/P27)</f>
        <v>-0.0706292572169964</v>
      </c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</row>
    <row r="28" customFormat="false" ht="15" hidden="true" customHeight="false" outlineLevel="1" collapsed="false">
      <c r="A28" s="101"/>
      <c r="B28" s="102"/>
      <c r="C28" s="103" t="s">
        <v>95</v>
      </c>
      <c r="D28" s="104"/>
      <c r="E28" s="105" t="n">
        <v>0</v>
      </c>
      <c r="F28" s="106"/>
      <c r="G28" s="105" t="n">
        <v>0</v>
      </c>
      <c r="H28" s="105"/>
      <c r="I28" s="105"/>
      <c r="J28" s="107"/>
      <c r="K28" s="105" t="n">
        <v>0</v>
      </c>
      <c r="L28" s="105"/>
      <c r="M28" s="105"/>
      <c r="N28" s="93" t="n">
        <f aca="false">SUM(K28:M28)</f>
        <v>0</v>
      </c>
      <c r="O28" s="108"/>
      <c r="P28" s="106" t="n">
        <f aca="false">+E28+G28+I28</f>
        <v>0</v>
      </c>
      <c r="Q28" s="106"/>
      <c r="R28" s="105" t="n">
        <v>0</v>
      </c>
      <c r="S28" s="109"/>
      <c r="T28" s="110" t="n">
        <f aca="false">(-R28+P28)</f>
        <v>0</v>
      </c>
      <c r="U28" s="38" t="n">
        <f aca="false">IF(T28=0,0,T28/P28)</f>
        <v>0</v>
      </c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</row>
    <row r="29" customFormat="false" ht="15" hidden="false" customHeight="false" outlineLevel="0" collapsed="false">
      <c r="A29" s="89"/>
      <c r="B29" s="90"/>
      <c r="C29" s="91" t="s">
        <v>96</v>
      </c>
      <c r="D29" s="92"/>
      <c r="E29" s="94" t="n">
        <f aca="false">SUM(E30:E31)</f>
        <v>209400</v>
      </c>
      <c r="F29" s="97"/>
      <c r="G29" s="94" t="n">
        <f aca="false">SUM(G30:G31)</f>
        <v>149571</v>
      </c>
      <c r="H29" s="94"/>
      <c r="I29" s="93"/>
      <c r="J29" s="99"/>
      <c r="K29" s="94" t="n">
        <f aca="false">SUM(K30:K31)</f>
        <v>4488105</v>
      </c>
      <c r="L29" s="94" t="n">
        <f aca="false">SUM(L30:L31)</f>
        <v>0</v>
      </c>
      <c r="M29" s="94" t="n">
        <f aca="false">SUM(M30:M31)</f>
        <v>630000</v>
      </c>
      <c r="N29" s="93" t="n">
        <f aca="false">SUM(K29:M29)</f>
        <v>5118105</v>
      </c>
      <c r="O29" s="91"/>
      <c r="P29" s="94" t="n">
        <f aca="false">+E29+G29+I29</f>
        <v>358971</v>
      </c>
      <c r="Q29" s="97"/>
      <c r="R29" s="94" t="n">
        <f aca="false">SUM(R30:R31)</f>
        <v>0</v>
      </c>
      <c r="S29" s="97"/>
      <c r="T29" s="98" t="n">
        <f aca="false">(-R29+P29)</f>
        <v>358971</v>
      </c>
      <c r="U29" s="38" t="n">
        <f aca="false">IF(T29=0,0,T29/P29)</f>
        <v>1</v>
      </c>
      <c r="V29" s="39" t="s">
        <v>97</v>
      </c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  <c r="IW29" s="89"/>
    </row>
    <row r="30" customFormat="false" ht="15" hidden="true" customHeight="false" outlineLevel="1" collapsed="false">
      <c r="A30" s="101"/>
      <c r="B30" s="102"/>
      <c r="C30" s="103" t="s">
        <v>98</v>
      </c>
      <c r="D30" s="104"/>
      <c r="E30" s="105" t="n">
        <v>102</v>
      </c>
      <c r="F30" s="109"/>
      <c r="G30" s="105" t="n">
        <f aca="false">73-1</f>
        <v>72</v>
      </c>
      <c r="H30" s="105"/>
      <c r="I30" s="105"/>
      <c r="J30" s="107"/>
      <c r="K30" s="105" t="n">
        <v>0</v>
      </c>
      <c r="L30" s="105"/>
      <c r="M30" s="105"/>
      <c r="N30" s="93" t="n">
        <f aca="false">SUM(K30:M30)</f>
        <v>0</v>
      </c>
      <c r="O30" s="103"/>
      <c r="P30" s="106" t="n">
        <f aca="false">+E30+G30+I30</f>
        <v>174</v>
      </c>
      <c r="Q30" s="109"/>
      <c r="R30" s="105" t="n">
        <v>0</v>
      </c>
      <c r="S30" s="109"/>
      <c r="T30" s="110" t="n">
        <f aca="false">(-R30+P30)</f>
        <v>174</v>
      </c>
      <c r="U30" s="38" t="n">
        <f aca="false">IF(T30=0,0,T30/P30)</f>
        <v>1</v>
      </c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</row>
    <row r="31" customFormat="false" ht="15" hidden="true" customHeight="false" outlineLevel="1" collapsed="false">
      <c r="A31" s="101"/>
      <c r="B31" s="102"/>
      <c r="C31" s="103" t="s">
        <v>99</v>
      </c>
      <c r="D31" s="104"/>
      <c r="E31" s="105" t="n">
        <v>209298</v>
      </c>
      <c r="F31" s="106"/>
      <c r="G31" s="105" t="n">
        <v>149499</v>
      </c>
      <c r="H31" s="105"/>
      <c r="I31" s="105"/>
      <c r="J31" s="107"/>
      <c r="K31" s="105" t="n">
        <v>4488105</v>
      </c>
      <c r="L31" s="105"/>
      <c r="M31" s="105" t="n">
        <f aca="false">330000+300000</f>
        <v>630000</v>
      </c>
      <c r="N31" s="93" t="n">
        <f aca="false">SUM(K31:M31)</f>
        <v>5118105</v>
      </c>
      <c r="O31" s="108"/>
      <c r="P31" s="106" t="n">
        <f aca="false">+E31+G31+I31</f>
        <v>358797</v>
      </c>
      <c r="Q31" s="106"/>
      <c r="R31" s="105" t="n">
        <v>0</v>
      </c>
      <c r="S31" s="109"/>
      <c r="T31" s="110" t="n">
        <f aca="false">(-R31+P31)</f>
        <v>358797</v>
      </c>
      <c r="U31" s="38" t="n">
        <f aca="false">IF(T31=0,0,T31/P31)</f>
        <v>1</v>
      </c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</row>
    <row r="32" customFormat="false" ht="15" hidden="false" customHeight="false" outlineLevel="0" collapsed="false">
      <c r="A32" s="89"/>
      <c r="B32" s="90"/>
      <c r="C32" s="91" t="s">
        <v>100</v>
      </c>
      <c r="D32" s="92"/>
      <c r="E32" s="94" t="n">
        <f aca="false">SUM(E33:E38)</f>
        <v>909330</v>
      </c>
      <c r="F32" s="97"/>
      <c r="G32" s="94" t="n">
        <f aca="false">SUM(G33:G38)</f>
        <v>769792</v>
      </c>
      <c r="H32" s="94"/>
      <c r="I32" s="93"/>
      <c r="J32" s="99"/>
      <c r="K32" s="94" t="n">
        <f aca="false">SUM(K33:K38)</f>
        <v>1337376</v>
      </c>
      <c r="L32" s="94" t="n">
        <f aca="false">SUM(L33:L38)</f>
        <v>0</v>
      </c>
      <c r="M32" s="94" t="n">
        <f aca="false">SUM(M33:M38)</f>
        <v>93000</v>
      </c>
      <c r="N32" s="93" t="n">
        <f aca="false">SUM(K32:M32)</f>
        <v>1430376</v>
      </c>
      <c r="O32" s="91"/>
      <c r="P32" s="94" t="n">
        <f aca="false">+E32+G32+I32</f>
        <v>1679122</v>
      </c>
      <c r="Q32" s="97"/>
      <c r="R32" s="94" t="n">
        <f aca="false">SUM(R33:R38)</f>
        <v>1871612</v>
      </c>
      <c r="S32" s="97"/>
      <c r="T32" s="98" t="n">
        <f aca="false">(-R32+P32)</f>
        <v>-192490</v>
      </c>
      <c r="U32" s="38" t="n">
        <f aca="false">IF(T32=0,0,T32/P32)</f>
        <v>-0.114637292585053</v>
      </c>
      <c r="V32" s="100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</row>
    <row r="33" customFormat="false" ht="15" hidden="true" customHeight="false" outlineLevel="1" collapsed="false">
      <c r="A33" s="101"/>
      <c r="B33" s="102"/>
      <c r="C33" s="103" t="s">
        <v>101</v>
      </c>
      <c r="D33" s="104"/>
      <c r="E33" s="105" t="n">
        <v>4349</v>
      </c>
      <c r="F33" s="109"/>
      <c r="G33" s="105" t="n">
        <v>3106</v>
      </c>
      <c r="H33" s="105"/>
      <c r="I33" s="105"/>
      <c r="J33" s="107"/>
      <c r="K33" s="105" t="n">
        <v>0</v>
      </c>
      <c r="L33" s="105"/>
      <c r="M33" s="105"/>
      <c r="N33" s="93" t="n">
        <f aca="false">SUM(K33:M33)</f>
        <v>0</v>
      </c>
      <c r="O33" s="103"/>
      <c r="P33" s="106" t="n">
        <f aca="false">+E33+G33+I33</f>
        <v>7455</v>
      </c>
      <c r="Q33" s="109"/>
      <c r="R33" s="105" t="n">
        <v>9360</v>
      </c>
      <c r="S33" s="109"/>
      <c r="T33" s="110" t="n">
        <f aca="false">(-R33+P33)</f>
        <v>-1905</v>
      </c>
      <c r="U33" s="38" t="n">
        <f aca="false">IF(T33=0,0,T33/P33)</f>
        <v>-0.255533199195171</v>
      </c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</row>
    <row r="34" customFormat="false" ht="15" hidden="true" customHeight="false" outlineLevel="1" collapsed="false">
      <c r="A34" s="101"/>
      <c r="B34" s="102"/>
      <c r="C34" s="103" t="s">
        <v>102</v>
      </c>
      <c r="D34" s="104"/>
      <c r="E34" s="105" t="n">
        <v>65906</v>
      </c>
      <c r="F34" s="109"/>
      <c r="G34" s="105" t="n">
        <v>55729</v>
      </c>
      <c r="H34" s="105"/>
      <c r="I34" s="105"/>
      <c r="J34" s="107"/>
      <c r="K34" s="105" t="n">
        <v>382476</v>
      </c>
      <c r="L34" s="105"/>
      <c r="M34" s="105" t="n">
        <v>36000</v>
      </c>
      <c r="N34" s="93" t="n">
        <f aca="false">SUM(K34:M34)</f>
        <v>418476</v>
      </c>
      <c r="O34" s="103"/>
      <c r="P34" s="106" t="n">
        <f aca="false">+E34+G34+I34</f>
        <v>121635</v>
      </c>
      <c r="Q34" s="109"/>
      <c r="R34" s="105" t="n">
        <v>133296</v>
      </c>
      <c r="S34" s="109"/>
      <c r="T34" s="110" t="n">
        <f aca="false">(-R34+P34)</f>
        <v>-11661</v>
      </c>
      <c r="U34" s="38" t="n">
        <f aca="false">IF(T34=0,0,T34/P34)</f>
        <v>-0.095868787766679</v>
      </c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</row>
    <row r="35" customFormat="false" ht="15" hidden="true" customHeight="false" outlineLevel="1" collapsed="false">
      <c r="A35" s="101"/>
      <c r="B35" s="102"/>
      <c r="C35" s="103" t="s">
        <v>103</v>
      </c>
      <c r="D35" s="104"/>
      <c r="E35" s="105" t="n">
        <v>175</v>
      </c>
      <c r="F35" s="109"/>
      <c r="G35" s="105" t="n">
        <v>125</v>
      </c>
      <c r="H35" s="105"/>
      <c r="I35" s="105"/>
      <c r="J35" s="107"/>
      <c r="K35" s="105" t="n">
        <v>0</v>
      </c>
      <c r="L35" s="105"/>
      <c r="M35" s="105" t="n">
        <v>18000</v>
      </c>
      <c r="N35" s="93" t="n">
        <f aca="false">SUM(K35:M35)</f>
        <v>18000</v>
      </c>
      <c r="O35" s="103"/>
      <c r="P35" s="106" t="n">
        <f aca="false">+E35+G35+I35</f>
        <v>300</v>
      </c>
      <c r="Q35" s="109"/>
      <c r="R35" s="105" t="n">
        <v>500</v>
      </c>
      <c r="S35" s="109"/>
      <c r="T35" s="110" t="n">
        <f aca="false">(-R35+P35)</f>
        <v>-200</v>
      </c>
      <c r="U35" s="38" t="n">
        <f aca="false">IF(T35=0,0,T35/P35)</f>
        <v>-0.666666666666667</v>
      </c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  <c r="IW35" s="101"/>
    </row>
    <row r="36" customFormat="false" ht="15" hidden="true" customHeight="false" outlineLevel="1" collapsed="false">
      <c r="A36" s="101"/>
      <c r="B36" s="102"/>
      <c r="C36" s="103" t="s">
        <v>104</v>
      </c>
      <c r="D36" s="104"/>
      <c r="E36" s="105" t="n">
        <v>0</v>
      </c>
      <c r="F36" s="109"/>
      <c r="G36" s="105" t="n">
        <v>0</v>
      </c>
      <c r="H36" s="105"/>
      <c r="I36" s="105"/>
      <c r="J36" s="107"/>
      <c r="K36" s="105" t="n">
        <v>0</v>
      </c>
      <c r="L36" s="105"/>
      <c r="M36" s="105" t="n">
        <v>3000</v>
      </c>
      <c r="N36" s="93" t="n">
        <f aca="false">SUM(K36:M36)</f>
        <v>3000</v>
      </c>
      <c r="O36" s="103"/>
      <c r="P36" s="106" t="n">
        <f aca="false">+E36+G36+I36</f>
        <v>0</v>
      </c>
      <c r="Q36" s="109"/>
      <c r="R36" s="105" t="n">
        <v>0</v>
      </c>
      <c r="S36" s="109"/>
      <c r="T36" s="110" t="n">
        <f aca="false">(-R36+P36)</f>
        <v>0</v>
      </c>
      <c r="U36" s="38" t="n">
        <f aca="false">IF(T36=0,0,T36/P36)</f>
        <v>0</v>
      </c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</row>
    <row r="37" customFormat="false" ht="15" hidden="true" customHeight="false" outlineLevel="1" collapsed="false">
      <c r="A37" s="101"/>
      <c r="B37" s="102"/>
      <c r="C37" s="103" t="s">
        <v>105</v>
      </c>
      <c r="D37" s="104"/>
      <c r="E37" s="105" t="n">
        <v>797890</v>
      </c>
      <c r="F37" s="109"/>
      <c r="G37" s="105" t="n">
        <f aca="false">676425</f>
        <v>676425</v>
      </c>
      <c r="H37" s="105"/>
      <c r="I37" s="105"/>
      <c r="J37" s="107"/>
      <c r="K37" s="105" t="n">
        <v>945240</v>
      </c>
      <c r="L37" s="105"/>
      <c r="M37" s="105"/>
      <c r="N37" s="93" t="n">
        <f aca="false">SUM(K37:M37)</f>
        <v>945240</v>
      </c>
      <c r="O37" s="103"/>
      <c r="P37" s="106" t="n">
        <f aca="false">+E37+G37+I37</f>
        <v>1474315</v>
      </c>
      <c r="Q37" s="109"/>
      <c r="R37" s="105" t="n">
        <v>1638936</v>
      </c>
      <c r="S37" s="109"/>
      <c r="T37" s="110" t="n">
        <f aca="false">(-R37+P37)</f>
        <v>-164621</v>
      </c>
      <c r="U37" s="38" t="n">
        <f aca="false">IF(T37=0,0,T37/P37)</f>
        <v>-0.111659312969074</v>
      </c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</row>
    <row r="38" customFormat="false" ht="15" hidden="true" customHeight="false" outlineLevel="1" collapsed="false">
      <c r="A38" s="101"/>
      <c r="B38" s="102"/>
      <c r="C38" s="103" t="s">
        <v>106</v>
      </c>
      <c r="D38" s="104"/>
      <c r="E38" s="105" t="n">
        <v>41010</v>
      </c>
      <c r="F38" s="109"/>
      <c r="G38" s="105" t="n">
        <v>34407</v>
      </c>
      <c r="H38" s="105"/>
      <c r="I38" s="105"/>
      <c r="J38" s="107"/>
      <c r="K38" s="105" t="n">
        <v>9660</v>
      </c>
      <c r="L38" s="105"/>
      <c r="M38" s="105" t="n">
        <v>36000</v>
      </c>
      <c r="N38" s="93" t="n">
        <f aca="false">SUM(K38:M38)</f>
        <v>45660</v>
      </c>
      <c r="O38" s="103"/>
      <c r="P38" s="106" t="n">
        <f aca="false">+E38+G38+I38</f>
        <v>75417</v>
      </c>
      <c r="Q38" s="109"/>
      <c r="R38" s="105" t="n">
        <v>89520</v>
      </c>
      <c r="S38" s="109"/>
      <c r="T38" s="110" t="n">
        <f aca="false">(-R38+P38)</f>
        <v>-14103</v>
      </c>
      <c r="U38" s="38" t="n">
        <f aca="false">IF(T38=0,0,T38/P38)</f>
        <v>-0.187000278451808</v>
      </c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</row>
    <row r="39" customFormat="false" ht="15" hidden="false" customHeight="false" outlineLevel="0" collapsed="false">
      <c r="A39" s="89"/>
      <c r="B39" s="90"/>
      <c r="C39" s="91" t="s">
        <v>107</v>
      </c>
      <c r="D39" s="92"/>
      <c r="E39" s="93" t="n">
        <v>135471</v>
      </c>
      <c r="F39" s="97"/>
      <c r="G39" s="93" t="n">
        <v>120378</v>
      </c>
      <c r="H39" s="93"/>
      <c r="I39" s="93"/>
      <c r="J39" s="95"/>
      <c r="K39" s="93" t="n">
        <v>150012</v>
      </c>
      <c r="L39" s="93"/>
      <c r="M39" s="93"/>
      <c r="N39" s="93" t="n">
        <f aca="false">SUM(K39:M39)</f>
        <v>150012</v>
      </c>
      <c r="O39" s="91"/>
      <c r="P39" s="94" t="n">
        <f aca="false">+E39+G39+I39</f>
        <v>255849</v>
      </c>
      <c r="Q39" s="97"/>
      <c r="R39" s="93" t="n">
        <v>311196</v>
      </c>
      <c r="S39" s="97"/>
      <c r="T39" s="98" t="n">
        <f aca="false">(-R39+P39)</f>
        <v>-55347</v>
      </c>
      <c r="U39" s="38" t="n">
        <f aca="false">IF(T39=0,0,T39/P39)</f>
        <v>-0.21632681777142</v>
      </c>
      <c r="V39" s="100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  <c r="II39" s="89"/>
      <c r="IJ39" s="89"/>
      <c r="IK39" s="89"/>
      <c r="IL39" s="89"/>
      <c r="IM39" s="89"/>
      <c r="IN39" s="89"/>
      <c r="IO39" s="89"/>
      <c r="IP39" s="89"/>
      <c r="IQ39" s="89"/>
      <c r="IR39" s="89"/>
      <c r="IS39" s="89"/>
      <c r="IT39" s="89"/>
      <c r="IU39" s="89"/>
      <c r="IV39" s="89"/>
      <c r="IW39" s="89"/>
    </row>
    <row r="40" customFormat="false" ht="15" hidden="false" customHeight="false" outlineLevel="0" collapsed="false">
      <c r="A40" s="89"/>
      <c r="B40" s="90"/>
      <c r="C40" s="91" t="s">
        <v>108</v>
      </c>
      <c r="D40" s="92"/>
      <c r="E40" s="93" t="n">
        <v>0</v>
      </c>
      <c r="F40" s="97"/>
      <c r="G40" s="93" t="n">
        <v>0</v>
      </c>
      <c r="H40" s="93"/>
      <c r="I40" s="93"/>
      <c r="J40" s="95"/>
      <c r="K40" s="93" t="n">
        <v>7008</v>
      </c>
      <c r="L40" s="93"/>
      <c r="M40" s="93"/>
      <c r="N40" s="93" t="n">
        <f aca="false">SUM(K40:M40)</f>
        <v>7008</v>
      </c>
      <c r="O40" s="91"/>
      <c r="P40" s="94" t="n">
        <f aca="false">+E40+G40+I40</f>
        <v>0</v>
      </c>
      <c r="Q40" s="97"/>
      <c r="R40" s="93" t="n">
        <v>0</v>
      </c>
      <c r="S40" s="97"/>
      <c r="T40" s="98" t="n">
        <f aca="false">(-R40+P40)</f>
        <v>0</v>
      </c>
      <c r="U40" s="38" t="n">
        <f aca="false">IF(T40=0,0,T40/P40)</f>
        <v>0</v>
      </c>
      <c r="V40" s="100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  <c r="IW40" s="89"/>
    </row>
    <row r="41" customFormat="false" ht="15" hidden="false" customHeight="false" outlineLevel="0" collapsed="false">
      <c r="A41" s="89"/>
      <c r="B41" s="90"/>
      <c r="C41" s="91" t="s">
        <v>109</v>
      </c>
      <c r="D41" s="92"/>
      <c r="E41" s="93" t="n">
        <v>0</v>
      </c>
      <c r="F41" s="97"/>
      <c r="G41" s="93" t="n">
        <v>0</v>
      </c>
      <c r="H41" s="93"/>
      <c r="I41" s="93"/>
      <c r="J41" s="95"/>
      <c r="K41" s="93" t="n">
        <v>0</v>
      </c>
      <c r="L41" s="93"/>
      <c r="M41" s="93"/>
      <c r="N41" s="93" t="n">
        <f aca="false">SUM(K41:M41)</f>
        <v>0</v>
      </c>
      <c r="O41" s="91"/>
      <c r="P41" s="94" t="n">
        <f aca="false">+E41+G41+I41</f>
        <v>0</v>
      </c>
      <c r="Q41" s="97"/>
      <c r="R41" s="93" t="n">
        <v>0</v>
      </c>
      <c r="S41" s="97"/>
      <c r="T41" s="98" t="n">
        <f aca="false">(-R41+P41)</f>
        <v>0</v>
      </c>
      <c r="U41" s="38" t="n">
        <f aca="false">IF(T41=0,0,T41/P41)</f>
        <v>0</v>
      </c>
      <c r="V41" s="100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  <c r="IW41" s="89"/>
    </row>
    <row r="42" customFormat="false" ht="15" hidden="false" customHeight="false" outlineLevel="0" collapsed="false">
      <c r="A42" s="89"/>
      <c r="B42" s="90"/>
      <c r="C42" s="91" t="s">
        <v>110</v>
      </c>
      <c r="D42" s="92"/>
      <c r="E42" s="93" t="n">
        <v>0</v>
      </c>
      <c r="F42" s="97"/>
      <c r="G42" s="93" t="n">
        <v>0</v>
      </c>
      <c r="H42" s="93"/>
      <c r="I42" s="93"/>
      <c r="J42" s="95"/>
      <c r="K42" s="93" t="n">
        <v>0</v>
      </c>
      <c r="L42" s="93"/>
      <c r="M42" s="93"/>
      <c r="N42" s="93" t="n">
        <f aca="false">SUM(K42:M42)</f>
        <v>0</v>
      </c>
      <c r="O42" s="91"/>
      <c r="P42" s="94" t="n">
        <f aca="false">+E42+G42+I42</f>
        <v>0</v>
      </c>
      <c r="Q42" s="97"/>
      <c r="R42" s="93" t="n">
        <v>0</v>
      </c>
      <c r="S42" s="97"/>
      <c r="T42" s="98" t="n">
        <f aca="false">(-R42+P42)</f>
        <v>0</v>
      </c>
      <c r="U42" s="38" t="n">
        <f aca="false">IF(T42=0,0,T42/P42)</f>
        <v>0</v>
      </c>
      <c r="V42" s="100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  <c r="IW42" s="89"/>
    </row>
    <row r="43" customFormat="false" ht="15" hidden="false" customHeight="false" outlineLevel="0" collapsed="false">
      <c r="A43" s="89"/>
      <c r="B43" s="90"/>
      <c r="C43" s="91" t="s">
        <v>111</v>
      </c>
      <c r="D43" s="92"/>
      <c r="E43" s="94" t="n">
        <f aca="false">SUM(E44:E47)</f>
        <v>97137</v>
      </c>
      <c r="F43" s="97"/>
      <c r="G43" s="94" t="n">
        <f aca="false">SUM(G44:G47)</f>
        <v>69383.5714285714</v>
      </c>
      <c r="H43" s="94"/>
      <c r="I43" s="93"/>
      <c r="J43" s="99"/>
      <c r="K43" s="94" t="n">
        <f aca="false">SUM(K44:K47)</f>
        <v>13368</v>
      </c>
      <c r="L43" s="94" t="n">
        <f aca="false">SUM(L44:L47)</f>
        <v>0</v>
      </c>
      <c r="M43" s="94" t="n">
        <f aca="false">SUM(M44:M47)</f>
        <v>6000</v>
      </c>
      <c r="N43" s="93" t="n">
        <f aca="false">SUM(K43:M43)</f>
        <v>19368</v>
      </c>
      <c r="O43" s="91"/>
      <c r="P43" s="94" t="n">
        <f aca="false">+E43+G43+I43</f>
        <v>166520.571428571</v>
      </c>
      <c r="Q43" s="97"/>
      <c r="R43" s="94" t="n">
        <f aca="false">SUM(R44:R47)</f>
        <v>189871</v>
      </c>
      <c r="S43" s="97"/>
      <c r="T43" s="98" t="n">
        <f aca="false">(-R43+P43)</f>
        <v>-23350.4285714286</v>
      </c>
      <c r="U43" s="38" t="n">
        <f aca="false">IF(T43=0,0,T43/P43)</f>
        <v>-0.140225489085862</v>
      </c>
      <c r="V43" s="100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</row>
    <row r="44" customFormat="false" ht="15" hidden="true" customHeight="false" outlineLevel="1" collapsed="false">
      <c r="A44" s="101"/>
      <c r="B44" s="102"/>
      <c r="C44" s="103" t="s">
        <v>112</v>
      </c>
      <c r="D44" s="104"/>
      <c r="E44" s="105" t="n">
        <v>5302</v>
      </c>
      <c r="F44" s="109"/>
      <c r="G44" s="105" t="n">
        <f aca="false">+E44/7*5</f>
        <v>3787.14285714286</v>
      </c>
      <c r="H44" s="105"/>
      <c r="I44" s="105"/>
      <c r="J44" s="107"/>
      <c r="K44" s="105" t="n">
        <v>0</v>
      </c>
      <c r="L44" s="105"/>
      <c r="M44" s="105"/>
      <c r="N44" s="93" t="n">
        <f aca="false">SUM(K44:M44)</f>
        <v>0</v>
      </c>
      <c r="O44" s="103"/>
      <c r="P44" s="106" t="n">
        <f aca="false">+E44+G44+I44</f>
        <v>9089.14285714286</v>
      </c>
      <c r="Q44" s="109"/>
      <c r="R44" s="105" t="n">
        <v>10000</v>
      </c>
      <c r="S44" s="109"/>
      <c r="T44" s="110" t="n">
        <f aca="false">(-R44+P44)</f>
        <v>-910.857142857143</v>
      </c>
      <c r="U44" s="38" t="n">
        <f aca="false">IF(T44=0,0,T44/P44)</f>
        <v>-0.100213755815416</v>
      </c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101"/>
      <c r="IL44" s="101"/>
      <c r="IM44" s="101"/>
      <c r="IN44" s="101"/>
      <c r="IO44" s="101"/>
      <c r="IP44" s="101"/>
      <c r="IQ44" s="101"/>
      <c r="IR44" s="101"/>
      <c r="IS44" s="101"/>
      <c r="IT44" s="101"/>
      <c r="IU44" s="101"/>
      <c r="IV44" s="101"/>
      <c r="IW44" s="101"/>
    </row>
    <row r="45" customFormat="false" ht="15" hidden="true" customHeight="false" outlineLevel="1" collapsed="false">
      <c r="A45" s="101"/>
      <c r="B45" s="102"/>
      <c r="C45" s="103" t="s">
        <v>113</v>
      </c>
      <c r="D45" s="104"/>
      <c r="E45" s="105" t="n">
        <v>0</v>
      </c>
      <c r="F45" s="109"/>
      <c r="G45" s="105" t="n">
        <f aca="false">+E45/7*5</f>
        <v>0</v>
      </c>
      <c r="H45" s="105"/>
      <c r="I45" s="105"/>
      <c r="J45" s="107"/>
      <c r="K45" s="105" t="n">
        <v>0</v>
      </c>
      <c r="L45" s="105"/>
      <c r="M45" s="105"/>
      <c r="N45" s="93" t="n">
        <f aca="false">SUM(K45:M45)</f>
        <v>0</v>
      </c>
      <c r="O45" s="103"/>
      <c r="P45" s="106" t="n">
        <f aca="false">+E45+G45+I45</f>
        <v>0</v>
      </c>
      <c r="Q45" s="109"/>
      <c r="R45" s="105" t="n">
        <v>0</v>
      </c>
      <c r="S45" s="109"/>
      <c r="T45" s="110" t="n">
        <f aca="false">(-R45+P45)</f>
        <v>0</v>
      </c>
      <c r="U45" s="38" t="n">
        <f aca="false">IF(T45=0,0,T45/P45)</f>
        <v>0</v>
      </c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  <c r="IF45" s="101"/>
      <c r="IG45" s="101"/>
      <c r="IH45" s="101"/>
      <c r="II45" s="101"/>
      <c r="IJ45" s="101"/>
      <c r="IK45" s="101"/>
      <c r="IL45" s="101"/>
      <c r="IM45" s="101"/>
      <c r="IN45" s="101"/>
      <c r="IO45" s="101"/>
      <c r="IP45" s="101"/>
      <c r="IQ45" s="101"/>
      <c r="IR45" s="101"/>
      <c r="IS45" s="101"/>
      <c r="IT45" s="101"/>
      <c r="IU45" s="101"/>
      <c r="IV45" s="101"/>
      <c r="IW45" s="101"/>
    </row>
    <row r="46" customFormat="false" ht="15" hidden="true" customHeight="false" outlineLevel="1" collapsed="false">
      <c r="A46" s="101"/>
      <c r="B46" s="102"/>
      <c r="C46" s="103" t="s">
        <v>114</v>
      </c>
      <c r="D46" s="104"/>
      <c r="E46" s="105" t="n">
        <v>0</v>
      </c>
      <c r="F46" s="109"/>
      <c r="G46" s="105" t="n">
        <f aca="false">+E46/7*5</f>
        <v>0</v>
      </c>
      <c r="H46" s="105"/>
      <c r="I46" s="105"/>
      <c r="J46" s="107"/>
      <c r="K46" s="105" t="n">
        <v>0</v>
      </c>
      <c r="L46" s="105"/>
      <c r="M46" s="105"/>
      <c r="N46" s="93" t="n">
        <f aca="false">SUM(K46:M46)</f>
        <v>0</v>
      </c>
      <c r="O46" s="103"/>
      <c r="P46" s="106" t="n">
        <f aca="false">+E46+G46+I46</f>
        <v>0</v>
      </c>
      <c r="Q46" s="109"/>
      <c r="R46" s="105" t="n">
        <v>0</v>
      </c>
      <c r="S46" s="109"/>
      <c r="T46" s="110" t="n">
        <f aca="false">(-R46+P46)</f>
        <v>0</v>
      </c>
      <c r="U46" s="38" t="n">
        <f aca="false">IF(T46=0,0,T46/P46)</f>
        <v>0</v>
      </c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01"/>
      <c r="IK46" s="101"/>
      <c r="IL46" s="101"/>
      <c r="IM46" s="101"/>
      <c r="IN46" s="101"/>
      <c r="IO46" s="101"/>
      <c r="IP46" s="101"/>
      <c r="IQ46" s="101"/>
      <c r="IR46" s="101"/>
      <c r="IS46" s="101"/>
      <c r="IT46" s="101"/>
      <c r="IU46" s="101"/>
      <c r="IV46" s="101"/>
      <c r="IW46" s="101"/>
    </row>
    <row r="47" customFormat="false" ht="15" hidden="true" customHeight="false" outlineLevel="1" collapsed="false">
      <c r="A47" s="101"/>
      <c r="B47" s="102"/>
      <c r="C47" s="103" t="s">
        <v>115</v>
      </c>
      <c r="D47" s="104"/>
      <c r="E47" s="105" t="n">
        <v>91835</v>
      </c>
      <c r="F47" s="109"/>
      <c r="G47" s="105" t="n">
        <f aca="false">+E47/7*5</f>
        <v>65596.4285714286</v>
      </c>
      <c r="H47" s="105"/>
      <c r="I47" s="105"/>
      <c r="J47" s="107"/>
      <c r="K47" s="105" t="n">
        <v>13368</v>
      </c>
      <c r="L47" s="105"/>
      <c r="M47" s="105" t="n">
        <v>6000</v>
      </c>
      <c r="N47" s="93" t="n">
        <f aca="false">SUM(K47:M47)</f>
        <v>19368</v>
      </c>
      <c r="O47" s="103"/>
      <c r="P47" s="106" t="n">
        <f aca="false">+E47+G47+I47</f>
        <v>157431.428571429</v>
      </c>
      <c r="Q47" s="109"/>
      <c r="R47" s="105" t="n">
        <v>179871</v>
      </c>
      <c r="S47" s="109"/>
      <c r="T47" s="110" t="n">
        <f aca="false">(-R47+P47)</f>
        <v>-22439.5714285714</v>
      </c>
      <c r="U47" s="38" t="n">
        <f aca="false">IF(T47=0,0,T47/P47)</f>
        <v>-0.14253552567104</v>
      </c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101"/>
      <c r="IL47" s="101"/>
      <c r="IM47" s="101"/>
      <c r="IN47" s="101"/>
      <c r="IO47" s="101"/>
      <c r="IP47" s="101"/>
      <c r="IQ47" s="101"/>
      <c r="IR47" s="101"/>
      <c r="IS47" s="101"/>
      <c r="IT47" s="101"/>
      <c r="IU47" s="101"/>
      <c r="IV47" s="101"/>
      <c r="IW47" s="101"/>
    </row>
    <row r="48" customFormat="false" ht="15" hidden="false" customHeight="false" outlineLevel="0" collapsed="false">
      <c r="A48" s="89"/>
      <c r="B48" s="90"/>
      <c r="C48" s="91" t="s">
        <v>116</v>
      </c>
      <c r="D48" s="92"/>
      <c r="E48" s="93" t="n">
        <v>14219292.17</v>
      </c>
      <c r="F48" s="97"/>
      <c r="G48" s="93" t="n">
        <v>16880707.83</v>
      </c>
      <c r="H48" s="93"/>
      <c r="I48" s="93"/>
      <c r="J48" s="95"/>
      <c r="K48" s="93" t="n">
        <f aca="false">14385000</f>
        <v>14385000</v>
      </c>
      <c r="L48" s="93"/>
      <c r="M48" s="93" t="n">
        <v>7260000</v>
      </c>
      <c r="N48" s="93" t="n">
        <f aca="false">SUM(K48:M48)</f>
        <v>21645000</v>
      </c>
      <c r="O48" s="91"/>
      <c r="P48" s="94" t="n">
        <f aca="false">+E48+G48+I48</f>
        <v>31100000</v>
      </c>
      <c r="Q48" s="97"/>
      <c r="R48" s="93" t="n">
        <v>31100000</v>
      </c>
      <c r="S48" s="97"/>
      <c r="T48" s="98" t="n">
        <f aca="false">(-R48+P48)</f>
        <v>0</v>
      </c>
      <c r="U48" s="38" t="n">
        <f aca="false">IF(T48=0,0,T48/P48)</f>
        <v>0</v>
      </c>
      <c r="V48" s="39" t="s">
        <v>117</v>
      </c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</row>
    <row r="49" customFormat="false" ht="15" hidden="false" customHeight="false" outlineLevel="0" collapsed="false">
      <c r="A49" s="89"/>
      <c r="B49" s="90"/>
      <c r="C49" s="91" t="s">
        <v>118</v>
      </c>
      <c r="D49" s="92"/>
      <c r="E49" s="93" t="n">
        <v>0</v>
      </c>
      <c r="F49" s="97"/>
      <c r="G49" s="93" t="n">
        <v>0</v>
      </c>
      <c r="H49" s="93"/>
      <c r="I49" s="93"/>
      <c r="J49" s="95"/>
      <c r="K49" s="93" t="n">
        <v>0</v>
      </c>
      <c r="L49" s="93"/>
      <c r="M49" s="93"/>
      <c r="N49" s="93" t="n">
        <f aca="false">SUM(K49:M49)</f>
        <v>0</v>
      </c>
      <c r="O49" s="91"/>
      <c r="P49" s="94" t="n">
        <f aca="false">+E49+G49+I49</f>
        <v>0</v>
      </c>
      <c r="Q49" s="97"/>
      <c r="R49" s="93" t="n">
        <v>0</v>
      </c>
      <c r="S49" s="97"/>
      <c r="T49" s="98" t="n">
        <f aca="false">(-R49+P49)</f>
        <v>0</v>
      </c>
      <c r="U49" s="38" t="n">
        <f aca="false">IF(T49=0,0,T49/P49)</f>
        <v>0</v>
      </c>
      <c r="V49" s="100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89"/>
      <c r="IV49" s="89"/>
      <c r="IW49" s="89"/>
    </row>
    <row r="50" customFormat="false" ht="15" hidden="false" customHeight="false" outlineLevel="0" collapsed="false">
      <c r="A50" s="89"/>
      <c r="B50" s="90"/>
      <c r="C50" s="91" t="s">
        <v>119</v>
      </c>
      <c r="D50" s="92"/>
      <c r="E50" s="93" t="n">
        <v>0</v>
      </c>
      <c r="F50" s="97"/>
      <c r="G50" s="93" t="n">
        <v>0</v>
      </c>
      <c r="H50" s="93"/>
      <c r="I50" s="93"/>
      <c r="J50" s="95"/>
      <c r="K50" s="93" t="n">
        <v>0</v>
      </c>
      <c r="L50" s="93"/>
      <c r="M50" s="93"/>
      <c r="N50" s="93" t="n">
        <f aca="false">SUM(K50:M50)</f>
        <v>0</v>
      </c>
      <c r="O50" s="91"/>
      <c r="P50" s="94" t="n">
        <f aca="false">+E50+G50+I50</f>
        <v>0</v>
      </c>
      <c r="Q50" s="97"/>
      <c r="R50" s="93" t="n">
        <v>0</v>
      </c>
      <c r="S50" s="97"/>
      <c r="T50" s="98" t="n">
        <f aca="false">(-R50+P50)</f>
        <v>0</v>
      </c>
      <c r="U50" s="38" t="n">
        <f aca="false">IF(T50=0,0,T50/P50)</f>
        <v>0</v>
      </c>
      <c r="V50" s="100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  <c r="GT50" s="89"/>
      <c r="GU50" s="89"/>
      <c r="GV50" s="89"/>
      <c r="GW50" s="89"/>
      <c r="GX50" s="89"/>
      <c r="GY50" s="89"/>
      <c r="GZ50" s="89"/>
      <c r="HA50" s="89"/>
      <c r="HB50" s="89"/>
      <c r="HC50" s="89"/>
      <c r="HD50" s="89"/>
      <c r="HE50" s="89"/>
      <c r="HF50" s="89"/>
      <c r="HG50" s="89"/>
      <c r="HH50" s="89"/>
      <c r="HI50" s="89"/>
      <c r="HJ50" s="89"/>
      <c r="HK50" s="89"/>
      <c r="HL50" s="89"/>
      <c r="HM50" s="89"/>
      <c r="HN50" s="89"/>
      <c r="HO50" s="89"/>
      <c r="HP50" s="89"/>
      <c r="HQ50" s="89"/>
      <c r="HR50" s="89"/>
      <c r="HS50" s="89"/>
      <c r="HT50" s="89"/>
      <c r="HU50" s="89"/>
      <c r="HV50" s="89"/>
      <c r="HW50" s="89"/>
      <c r="HX50" s="89"/>
      <c r="HY50" s="89"/>
      <c r="HZ50" s="89"/>
      <c r="IA50" s="89"/>
      <c r="IB50" s="89"/>
      <c r="IC50" s="89"/>
      <c r="ID50" s="89"/>
      <c r="IE50" s="89"/>
      <c r="IF50" s="89"/>
      <c r="IG50" s="89"/>
      <c r="IH50" s="89"/>
      <c r="II50" s="89"/>
      <c r="IJ50" s="89"/>
      <c r="IK50" s="89"/>
      <c r="IL50" s="89"/>
      <c r="IM50" s="89"/>
      <c r="IN50" s="89"/>
      <c r="IO50" s="89"/>
      <c r="IP50" s="89"/>
      <c r="IQ50" s="89"/>
      <c r="IR50" s="89"/>
      <c r="IS50" s="89"/>
      <c r="IT50" s="89"/>
      <c r="IU50" s="89"/>
      <c r="IV50" s="89"/>
      <c r="IW50" s="89"/>
    </row>
    <row r="51" customFormat="false" ht="15" hidden="false" customHeight="false" outlineLevel="0" collapsed="false">
      <c r="A51" s="39"/>
      <c r="B51" s="102"/>
      <c r="C51" s="103"/>
      <c r="D51" s="111"/>
      <c r="E51" s="112"/>
      <c r="F51" s="113"/>
      <c r="G51" s="112"/>
      <c r="H51" s="114"/>
      <c r="I51" s="114"/>
      <c r="J51" s="115"/>
      <c r="K51" s="114"/>
      <c r="L51" s="114"/>
      <c r="M51" s="114"/>
      <c r="N51" s="114"/>
      <c r="O51" s="116"/>
      <c r="P51" s="114"/>
      <c r="Q51" s="117"/>
      <c r="R51" s="114"/>
      <c r="S51" s="117"/>
      <c r="T51" s="118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</row>
    <row r="52" customFormat="false" ht="15.75" hidden="false" customHeight="false" outlineLevel="0" collapsed="false">
      <c r="B52" s="119"/>
      <c r="C52" s="120" t="s">
        <v>120</v>
      </c>
      <c r="D52" s="121"/>
      <c r="E52" s="122" t="n">
        <f aca="false">+E11+E12+E22+E29+E32+E39+E40+E41+E42+E43+E48+E49+E50+E54</f>
        <v>26659706.17</v>
      </c>
      <c r="F52" s="123"/>
      <c r="G52" s="124" t="n">
        <f aca="false">+G11+G12+G22+G29+G32+G39+G40+G41+G42+G43+G48+G49+G50+G54</f>
        <v>25991712.2585714</v>
      </c>
      <c r="H52" s="124"/>
      <c r="I52" s="124" t="n">
        <f aca="false">+I11+I12+I22+I29+I32+I39+I40+I41+I42+I43+I48+I49+I50+I54</f>
        <v>708000</v>
      </c>
      <c r="J52" s="125"/>
      <c r="K52" s="122" t="n">
        <f aca="false">+K11+K12+K22+K29+K32+K39+K40+K41+K42+K43+K48+K49+K50+K54</f>
        <v>34294533</v>
      </c>
      <c r="L52" s="122" t="n">
        <f aca="false">+L11+L12+L22+L29+L32+L39+L40+L41+L42+L43+L48+L49+L50+L54</f>
        <v>0</v>
      </c>
      <c r="M52" s="122" t="n">
        <f aca="false">+M11+M12+M22+M29+M32+M39+M40+M41+M42+M43+M48+M49+M50+M54</f>
        <v>12913773</v>
      </c>
      <c r="N52" s="122" t="n">
        <f aca="false">+N11+N12+N22+N29+N32+N39+N40+N41+N42+N43+N48+N49+N50+N54</f>
        <v>47208306</v>
      </c>
      <c r="O52" s="126"/>
      <c r="P52" s="122" t="n">
        <f aca="false">+P11+P12+P22+P29+P32+P39+P40+P41+P42+P43+P48+P49+P50+P54</f>
        <v>53359418.4285714</v>
      </c>
      <c r="Q52" s="123"/>
      <c r="R52" s="122" t="n">
        <f aca="false">+R11+R12+R22+R29+R32+R39+R40+R41+R42+R43+R48+R49+R50</f>
        <v>53825780</v>
      </c>
      <c r="S52" s="123"/>
      <c r="T52" s="127" t="n">
        <f aca="false">+T11+T12+T22+T29+T32+T39+T40+T41+T42+T43+T48+T49+T50</f>
        <v>-466361.57142857</v>
      </c>
      <c r="U52" s="38" t="n">
        <f aca="false">IF(T52=0,0,T52/P52)</f>
        <v>-0.00874000476697205</v>
      </c>
    </row>
    <row r="53" customFormat="false" ht="15" hidden="false" customHeight="false" outlineLevel="0" collapsed="false">
      <c r="B53" s="128"/>
      <c r="C53" s="129"/>
      <c r="D53" s="130"/>
      <c r="E53" s="131"/>
      <c r="F53" s="130"/>
      <c r="G53" s="124"/>
      <c r="H53" s="124"/>
      <c r="I53" s="124"/>
      <c r="J53" s="132"/>
      <c r="K53" s="124"/>
      <c r="L53" s="124"/>
      <c r="M53" s="124"/>
      <c r="N53" s="133"/>
      <c r="O53" s="134"/>
      <c r="P53" s="124"/>
      <c r="Q53" s="130"/>
      <c r="R53" s="131"/>
      <c r="S53" s="130"/>
      <c r="T53" s="135"/>
    </row>
    <row r="54" customFormat="false" ht="15" hidden="false" customHeight="false" outlineLevel="0" collapsed="false">
      <c r="A54" s="89"/>
      <c r="B54" s="90"/>
      <c r="C54" s="91" t="s">
        <v>121</v>
      </c>
      <c r="D54" s="92"/>
      <c r="E54" s="93" t="n">
        <v>0</v>
      </c>
      <c r="F54" s="94"/>
      <c r="G54" s="93" t="n">
        <v>0</v>
      </c>
      <c r="H54" s="93"/>
      <c r="I54" s="93"/>
      <c r="J54" s="95"/>
      <c r="K54" s="93" t="n">
        <v>0</v>
      </c>
      <c r="L54" s="93"/>
      <c r="M54" s="93" t="n">
        <v>0</v>
      </c>
      <c r="N54" s="93" t="n">
        <f aca="false">SUM(K54:M54)</f>
        <v>0</v>
      </c>
      <c r="O54" s="96"/>
      <c r="P54" s="94" t="n">
        <v>0</v>
      </c>
      <c r="Q54" s="94"/>
      <c r="R54" s="93" t="n">
        <v>3444000</v>
      </c>
      <c r="S54" s="97"/>
      <c r="T54" s="98" t="n">
        <f aca="false">(-R54+P54)</f>
        <v>-3444000</v>
      </c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89"/>
      <c r="IM54" s="89"/>
      <c r="IN54" s="89"/>
      <c r="IO54" s="89"/>
      <c r="IP54" s="89"/>
      <c r="IQ54" s="89"/>
      <c r="IR54" s="89"/>
      <c r="IS54" s="89"/>
      <c r="IT54" s="89"/>
      <c r="IU54" s="89"/>
      <c r="IV54" s="89"/>
      <c r="IW54" s="89"/>
    </row>
    <row r="55" customFormat="false" ht="15" hidden="false" customHeight="false" outlineLevel="0" collapsed="false">
      <c r="A55" s="39"/>
      <c r="B55" s="102"/>
      <c r="C55" s="103"/>
      <c r="D55" s="111"/>
      <c r="E55" s="112"/>
      <c r="F55" s="113"/>
      <c r="G55" s="112"/>
      <c r="H55" s="114"/>
      <c r="I55" s="114"/>
      <c r="J55" s="115"/>
      <c r="K55" s="114"/>
      <c r="L55" s="114"/>
      <c r="M55" s="114"/>
      <c r="N55" s="114"/>
      <c r="O55" s="116"/>
      <c r="P55" s="114"/>
      <c r="Q55" s="117"/>
      <c r="R55" s="114"/>
      <c r="S55" s="117"/>
      <c r="T55" s="118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</row>
    <row r="56" customFormat="false" ht="15.75" hidden="false" customHeight="false" outlineLevel="0" collapsed="false">
      <c r="B56" s="119"/>
      <c r="C56" s="120" t="s">
        <v>122</v>
      </c>
      <c r="D56" s="121"/>
      <c r="E56" s="122" t="n">
        <f aca="false">+E15+E16+E26+E33+E36+E43+E44+E45+E46+E47+E52+E53+E54+E58</f>
        <v>26889220.17</v>
      </c>
      <c r="F56" s="123"/>
      <c r="G56" s="124" t="n">
        <f aca="false">+G15+G16+G26+G33+G36+G43+G44+G45+G46+G47+G52+G53+G54+G58</f>
        <v>26155650.4014286</v>
      </c>
      <c r="H56" s="124"/>
      <c r="I56" s="124" t="n">
        <f aca="false">+I15+I16+I26+I33+I36+I43+I44+I45+I46+I47+I52+I53+I54+I58</f>
        <v>708000</v>
      </c>
      <c r="J56" s="125"/>
      <c r="K56" s="122" t="n">
        <f aca="false">+K15+K16+K26+K33+K36+K43+K44+K45+K46+K47+K52+K53+K54+K58</f>
        <v>24723999</v>
      </c>
      <c r="L56" s="122" t="n">
        <f aca="false">+L15+L16+L26+L33+L36+L43+L44+L45+L46+L47+L52+L53+L54+L58</f>
        <v>-345000</v>
      </c>
      <c r="M56" s="122" t="n">
        <f aca="false">+M15+M16+M26+M33+M36+M43+M44+M45+M46+M47+M52+M53+M54+M58</f>
        <v>15000</v>
      </c>
      <c r="N56" s="122" t="n">
        <f aca="false">+N52+N54</f>
        <v>47208306</v>
      </c>
      <c r="O56" s="126"/>
      <c r="P56" s="122" t="n">
        <f aca="false">+P52+P54</f>
        <v>53359418.4285714</v>
      </c>
      <c r="Q56" s="123"/>
      <c r="R56" s="122" t="n">
        <f aca="false">+R52+R54</f>
        <v>57269780</v>
      </c>
      <c r="S56" s="123"/>
      <c r="T56" s="127" t="n">
        <f aca="false">+T52+T54</f>
        <v>-3910361.57142857</v>
      </c>
      <c r="U56" s="38" t="n">
        <f aca="false">IF(T56=0,0,T56/P56)</f>
        <v>-0.0732834368624745</v>
      </c>
    </row>
    <row r="57" customFormat="false" ht="15" hidden="false" customHeight="false" outlineLevel="0" collapsed="false">
      <c r="B57" s="128"/>
      <c r="C57" s="129"/>
      <c r="D57" s="130"/>
      <c r="E57" s="131"/>
      <c r="F57" s="130"/>
      <c r="G57" s="124"/>
      <c r="H57" s="124"/>
      <c r="I57" s="124"/>
      <c r="J57" s="132"/>
      <c r="K57" s="124"/>
      <c r="L57" s="124"/>
      <c r="M57" s="124"/>
      <c r="N57" s="133"/>
      <c r="O57" s="134"/>
      <c r="P57" s="124"/>
      <c r="Q57" s="130"/>
      <c r="R57" s="131"/>
      <c r="S57" s="130"/>
      <c r="T57" s="135"/>
    </row>
    <row r="58" customFormat="false" ht="15" hidden="false" customHeight="false" outlineLevel="0" collapsed="false">
      <c r="A58" s="89"/>
      <c r="B58" s="136"/>
      <c r="C58" s="129" t="s">
        <v>123</v>
      </c>
      <c r="D58" s="130"/>
      <c r="E58" s="93"/>
      <c r="F58" s="94"/>
      <c r="G58" s="93"/>
      <c r="H58" s="93"/>
      <c r="I58" s="93"/>
      <c r="J58" s="107"/>
      <c r="K58" s="93" t="n">
        <v>-9597270</v>
      </c>
      <c r="L58" s="93" t="n">
        <v>-345000</v>
      </c>
      <c r="M58" s="93" t="n">
        <v>-12913773</v>
      </c>
      <c r="N58" s="93" t="n">
        <f aca="false">SUM(K58:M58)</f>
        <v>-22856043</v>
      </c>
      <c r="O58" s="137"/>
      <c r="P58" s="93" t="n">
        <f aca="false">-10064187-13708345</f>
        <v>-23772532</v>
      </c>
      <c r="Q58" s="94"/>
      <c r="R58" s="93" t="n">
        <f aca="false">-57269780+27344488</f>
        <v>-29925292</v>
      </c>
      <c r="S58" s="94"/>
      <c r="T58" s="138" t="n">
        <f aca="false">-R58+P58</f>
        <v>6152760</v>
      </c>
      <c r="U58" s="139" t="n">
        <f aca="false">IF(T58=0,0,T58/P58)</f>
        <v>-0.25881803419173</v>
      </c>
      <c r="V58" s="100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</row>
    <row r="59" customFormat="false" ht="15" hidden="false" customHeight="false" outlineLevel="0" collapsed="false">
      <c r="A59" s="89"/>
      <c r="B59" s="136"/>
      <c r="C59" s="129" t="s">
        <v>124</v>
      </c>
      <c r="D59" s="130"/>
      <c r="E59" s="93"/>
      <c r="F59" s="94"/>
      <c r="G59" s="93"/>
      <c r="H59" s="93"/>
      <c r="I59" s="93"/>
      <c r="J59" s="107"/>
      <c r="K59" s="93" t="n">
        <v>-14385000</v>
      </c>
      <c r="L59" s="93"/>
      <c r="M59" s="93"/>
      <c r="N59" s="93" t="n">
        <f aca="false">SUM(K59:M59)</f>
        <v>-14385000</v>
      </c>
      <c r="O59" s="96"/>
      <c r="P59" s="93" t="n">
        <v>-17391655</v>
      </c>
      <c r="Q59" s="94"/>
      <c r="R59" s="93" t="n">
        <v>-15205647</v>
      </c>
      <c r="S59" s="94"/>
      <c r="T59" s="138" t="n">
        <f aca="false">-R59+P59</f>
        <v>-2186008</v>
      </c>
      <c r="U59" s="139" t="n">
        <f aca="false">IF(T59=0,0,T59/P59)</f>
        <v>0.125692925716385</v>
      </c>
      <c r="V59" s="100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</row>
    <row r="60" customFormat="false" ht="15.75" hidden="false" customHeight="false" outlineLevel="0" collapsed="false">
      <c r="A60" s="89"/>
      <c r="B60" s="140"/>
      <c r="C60" s="141"/>
      <c r="D60" s="142"/>
      <c r="E60" s="143"/>
      <c r="F60" s="142"/>
      <c r="G60" s="131"/>
      <c r="H60" s="131"/>
      <c r="I60" s="131"/>
      <c r="J60" s="144"/>
      <c r="K60" s="131"/>
      <c r="L60" s="131"/>
      <c r="M60" s="131"/>
      <c r="N60" s="131"/>
      <c r="O60" s="145"/>
      <c r="P60" s="131"/>
      <c r="Q60" s="130"/>
      <c r="R60" s="131"/>
      <c r="S60" s="130"/>
      <c r="T60" s="146"/>
      <c r="U60" s="139"/>
      <c r="V60" s="100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</row>
    <row r="61" customFormat="false" ht="15.75" hidden="false" customHeight="false" outlineLevel="0" collapsed="false">
      <c r="A61" s="89"/>
      <c r="B61" s="140"/>
      <c r="C61" s="147" t="s">
        <v>125</v>
      </c>
      <c r="D61" s="121"/>
      <c r="E61" s="122" t="n">
        <f aca="false">+E52+E58+E59</f>
        <v>26659706.17</v>
      </c>
      <c r="F61" s="123"/>
      <c r="G61" s="122" t="n">
        <f aca="false">+G52+G58+G59</f>
        <v>25991712.2585714</v>
      </c>
      <c r="H61" s="122"/>
      <c r="I61" s="122" t="n">
        <f aca="false">+I52+I58+I59</f>
        <v>708000</v>
      </c>
      <c r="J61" s="125"/>
      <c r="K61" s="122" t="n">
        <f aca="false">+K52+K58+K59</f>
        <v>10312263</v>
      </c>
      <c r="L61" s="122" t="n">
        <f aca="false">+L52+L58+L59</f>
        <v>-345000</v>
      </c>
      <c r="M61" s="122" t="n">
        <f aca="false">+M52+M58+M59</f>
        <v>0</v>
      </c>
      <c r="N61" s="122" t="n">
        <f aca="false">+N56+N58+N59</f>
        <v>9967263</v>
      </c>
      <c r="O61" s="148"/>
      <c r="P61" s="122" t="n">
        <f aca="false">+P56+P58+P59</f>
        <v>12195231.4285714</v>
      </c>
      <c r="Q61" s="123"/>
      <c r="R61" s="122" t="n">
        <f aca="false">+R56+R58+R59</f>
        <v>12138841</v>
      </c>
      <c r="S61" s="123"/>
      <c r="T61" s="127" t="n">
        <f aca="false">+T56+T58+T59</f>
        <v>56390.4285714296</v>
      </c>
      <c r="U61" s="139" t="n">
        <f aca="false">IF(T61=0,0,T61/P61)</f>
        <v>0.00462397363278535</v>
      </c>
      <c r="V61" s="100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</row>
    <row r="62" customFormat="false" ht="15.75" hidden="false" customHeight="false" outlineLevel="0" collapsed="false">
      <c r="A62" s="89"/>
      <c r="B62" s="149"/>
      <c r="C62" s="97"/>
      <c r="D62" s="97"/>
      <c r="E62" s="97"/>
      <c r="F62" s="97"/>
      <c r="G62" s="40"/>
      <c r="H62" s="40"/>
      <c r="I62" s="40"/>
      <c r="J62" s="150"/>
      <c r="K62" s="40"/>
      <c r="L62" s="40"/>
      <c r="M62" s="40"/>
      <c r="N62" s="40"/>
      <c r="O62" s="151"/>
      <c r="P62" s="40"/>
      <c r="Q62" s="97"/>
      <c r="R62" s="97"/>
      <c r="S62" s="97"/>
      <c r="T62" s="152"/>
      <c r="U62" s="139"/>
      <c r="V62" s="100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</row>
    <row r="63" customFormat="false" ht="15.75" hidden="false" customHeight="false" outlineLevel="0" collapsed="false">
      <c r="A63" s="89"/>
      <c r="B63" s="73" t="s">
        <v>126</v>
      </c>
      <c r="C63" s="153"/>
      <c r="D63" s="154"/>
      <c r="E63" s="155"/>
      <c r="F63" s="156"/>
      <c r="G63" s="157"/>
      <c r="H63" s="157"/>
      <c r="I63" s="157"/>
      <c r="J63" s="158"/>
      <c r="K63" s="159" t="n">
        <f aca="false">91</f>
        <v>91</v>
      </c>
      <c r="L63" s="159"/>
      <c r="M63" s="159" t="n">
        <f aca="false">28</f>
        <v>28</v>
      </c>
      <c r="N63" s="159" t="n">
        <f aca="false">SUM(K63:M63)</f>
        <v>119</v>
      </c>
      <c r="O63" s="126"/>
      <c r="P63" s="160" t="n">
        <v>133</v>
      </c>
      <c r="Q63" s="156"/>
      <c r="R63" s="155" t="n">
        <v>133</v>
      </c>
      <c r="S63" s="156"/>
      <c r="T63" s="161" t="n">
        <f aca="false">(-R63+P63)</f>
        <v>0</v>
      </c>
      <c r="U63" s="139" t="n">
        <f aca="false">IF(T63=0,0,T63/P63)</f>
        <v>0</v>
      </c>
      <c r="V63" s="100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</row>
    <row r="64" customFormat="false" ht="12.75" hidden="false" customHeight="false" outlineLevel="0" collapsed="false">
      <c r="B64" s="40"/>
      <c r="C64" s="162"/>
      <c r="D64" s="162"/>
      <c r="E64" s="162"/>
      <c r="F64" s="162"/>
      <c r="G64" s="162"/>
      <c r="H64" s="162"/>
      <c r="I64" s="162"/>
      <c r="J64" s="40"/>
      <c r="K64" s="40"/>
      <c r="L64" s="40"/>
      <c r="M64" s="40"/>
      <c r="N64" s="40"/>
      <c r="O64" s="162"/>
      <c r="P64" s="162"/>
      <c r="Q64" s="162"/>
      <c r="R64" s="162"/>
      <c r="S64" s="162"/>
      <c r="T64" s="162"/>
    </row>
    <row r="65" customFormat="false" ht="12.75" hidden="false" customHeight="false" outlineLevel="0" collapsed="false">
      <c r="B65" s="40"/>
      <c r="C65" s="162"/>
      <c r="D65" s="162"/>
      <c r="E65" s="162"/>
      <c r="F65" s="162"/>
      <c r="G65" s="162"/>
      <c r="H65" s="162"/>
      <c r="I65" s="162"/>
      <c r="J65" s="40"/>
      <c r="K65" s="40"/>
      <c r="L65" s="40"/>
      <c r="M65" s="40"/>
      <c r="N65" s="40"/>
      <c r="O65" s="162"/>
      <c r="P65" s="162"/>
      <c r="Q65" s="162"/>
      <c r="R65" s="162"/>
      <c r="S65" s="162"/>
      <c r="T65" s="162"/>
    </row>
    <row r="66" customFormat="false" ht="12.75" hidden="false" customHeight="false" outlineLevel="0" collapsed="false">
      <c r="B66" s="40"/>
      <c r="C66" s="162"/>
      <c r="D66" s="162"/>
      <c r="E66" s="162"/>
      <c r="F66" s="162"/>
      <c r="G66" s="162"/>
      <c r="H66" s="162"/>
      <c r="I66" s="162"/>
      <c r="J66" s="40"/>
      <c r="K66" s="40"/>
      <c r="L66" s="40"/>
      <c r="M66" s="40"/>
      <c r="N66" s="40"/>
      <c r="O66" s="162"/>
      <c r="P66" s="162"/>
      <c r="Q66" s="162"/>
      <c r="R66" s="162"/>
      <c r="S66" s="162"/>
      <c r="T66" s="162"/>
    </row>
    <row r="67" customFormat="false" ht="12.75" hidden="false" customHeight="false" outlineLevel="0" collapsed="false">
      <c r="C67" s="163"/>
      <c r="D67" s="163"/>
      <c r="E67" s="163"/>
      <c r="F67" s="163"/>
      <c r="G67" s="163"/>
      <c r="H67" s="163"/>
      <c r="I67" s="163"/>
      <c r="J67" s="164"/>
      <c r="K67" s="164"/>
      <c r="L67" s="164"/>
      <c r="M67" s="164"/>
      <c r="N67" s="164"/>
      <c r="O67" s="163"/>
      <c r="P67" s="163"/>
      <c r="Q67" s="163"/>
      <c r="R67" s="163"/>
      <c r="S67" s="163"/>
      <c r="T67" s="163"/>
    </row>
    <row r="68" customFormat="false" ht="12.75" hidden="false" customHeight="false" outlineLevel="0" collapsed="false">
      <c r="C68" s="163"/>
      <c r="D68" s="163"/>
      <c r="E68" s="163"/>
      <c r="F68" s="163"/>
      <c r="G68" s="163"/>
      <c r="H68" s="163"/>
      <c r="I68" s="163"/>
      <c r="O68" s="163"/>
      <c r="P68" s="163"/>
      <c r="Q68" s="163"/>
      <c r="R68" s="163"/>
      <c r="S68" s="163"/>
      <c r="T68" s="163"/>
    </row>
    <row r="69" customFormat="false" ht="12.75" hidden="false" customHeight="false" outlineLevel="0" collapsed="false">
      <c r="C69" s="163"/>
      <c r="D69" s="163"/>
      <c r="E69" s="163"/>
      <c r="F69" s="163"/>
      <c r="G69" s="163"/>
      <c r="H69" s="163"/>
      <c r="I69" s="163"/>
      <c r="O69" s="163"/>
      <c r="P69" s="163"/>
      <c r="Q69" s="163"/>
      <c r="R69" s="163"/>
      <c r="S69" s="163"/>
      <c r="T69" s="163"/>
    </row>
    <row r="70" customFormat="false" ht="12.75" hidden="false" customHeight="false" outlineLevel="0" collapsed="false">
      <c r="C70" s="163"/>
      <c r="D70" s="163"/>
      <c r="E70" s="163"/>
      <c r="F70" s="163"/>
      <c r="G70" s="163"/>
      <c r="H70" s="163"/>
      <c r="I70" s="163"/>
      <c r="O70" s="163"/>
      <c r="P70" s="163"/>
      <c r="Q70" s="163"/>
      <c r="R70" s="163"/>
      <c r="S70" s="163"/>
      <c r="T70" s="163"/>
    </row>
    <row r="71" customFormat="false" ht="12.75" hidden="false" customHeight="false" outlineLevel="0" collapsed="false">
      <c r="C71" s="163"/>
      <c r="D71" s="163"/>
      <c r="E71" s="163"/>
      <c r="F71" s="163"/>
      <c r="G71" s="163"/>
      <c r="H71" s="163"/>
      <c r="I71" s="163"/>
      <c r="O71" s="163"/>
      <c r="P71" s="163"/>
      <c r="Q71" s="163"/>
      <c r="R71" s="163"/>
      <c r="S71" s="163"/>
      <c r="T71" s="163"/>
    </row>
    <row r="72" customFormat="false" ht="12.75" hidden="false" customHeight="false" outlineLevel="0" collapsed="false">
      <c r="C72" s="163"/>
      <c r="D72" s="163"/>
      <c r="E72" s="163"/>
      <c r="F72" s="163"/>
      <c r="G72" s="163"/>
      <c r="H72" s="163"/>
      <c r="I72" s="163"/>
      <c r="O72" s="163"/>
      <c r="P72" s="163"/>
      <c r="Q72" s="163"/>
      <c r="R72" s="163"/>
      <c r="S72" s="163"/>
      <c r="T72" s="163"/>
    </row>
    <row r="73" customFormat="false" ht="12.75" hidden="false" customHeight="false" outlineLevel="0" collapsed="false">
      <c r="C73" s="163"/>
      <c r="D73" s="163"/>
      <c r="E73" s="163"/>
      <c r="F73" s="163"/>
      <c r="G73" s="163"/>
      <c r="H73" s="163"/>
      <c r="I73" s="163"/>
      <c r="O73" s="163"/>
      <c r="P73" s="163"/>
      <c r="Q73" s="163"/>
      <c r="R73" s="163"/>
      <c r="S73" s="163"/>
      <c r="T73" s="163"/>
    </row>
    <row r="74" customFormat="false" ht="12.75" hidden="false" customHeight="false" outlineLevel="0" collapsed="false">
      <c r="C74" s="163"/>
      <c r="D74" s="163"/>
      <c r="E74" s="163"/>
      <c r="F74" s="163"/>
      <c r="G74" s="163"/>
      <c r="H74" s="163"/>
      <c r="I74" s="163"/>
      <c r="O74" s="163"/>
      <c r="P74" s="163"/>
      <c r="Q74" s="163"/>
      <c r="R74" s="163"/>
      <c r="S74" s="163"/>
      <c r="T74" s="163"/>
    </row>
    <row r="75" customFormat="false" ht="12.75" hidden="false" customHeight="false" outlineLevel="0" collapsed="false">
      <c r="C75" s="163"/>
      <c r="D75" s="163"/>
      <c r="E75" s="163"/>
      <c r="F75" s="163"/>
      <c r="G75" s="163"/>
      <c r="H75" s="163"/>
      <c r="I75" s="163"/>
      <c r="O75" s="163"/>
      <c r="P75" s="163"/>
      <c r="Q75" s="163"/>
      <c r="R75" s="163"/>
      <c r="S75" s="163"/>
      <c r="T75" s="163"/>
    </row>
    <row r="76" customFormat="false" ht="12.75" hidden="false" customHeight="false" outlineLevel="0" collapsed="false">
      <c r="C76" s="163"/>
      <c r="D76" s="163"/>
      <c r="E76" s="163"/>
      <c r="F76" s="163"/>
      <c r="G76" s="163"/>
      <c r="H76" s="163"/>
      <c r="I76" s="163"/>
      <c r="O76" s="163"/>
      <c r="P76" s="163"/>
      <c r="Q76" s="163"/>
      <c r="R76" s="163"/>
      <c r="S76" s="163"/>
      <c r="T76" s="163"/>
    </row>
    <row r="77" customFormat="false" ht="12.75" hidden="false" customHeight="false" outlineLevel="0" collapsed="false">
      <c r="C77" s="163"/>
      <c r="D77" s="163"/>
      <c r="E77" s="163"/>
      <c r="F77" s="163"/>
      <c r="G77" s="163"/>
      <c r="H77" s="163"/>
      <c r="I77" s="163"/>
      <c r="O77" s="163"/>
      <c r="P77" s="163"/>
      <c r="Q77" s="163"/>
      <c r="R77" s="163"/>
      <c r="S77" s="163"/>
      <c r="T77" s="163"/>
    </row>
    <row r="78" customFormat="false" ht="12.75" hidden="false" customHeight="false" outlineLevel="0" collapsed="false">
      <c r="C78" s="163"/>
      <c r="D78" s="163"/>
      <c r="E78" s="163"/>
      <c r="F78" s="163"/>
      <c r="G78" s="163"/>
      <c r="H78" s="163"/>
      <c r="I78" s="163"/>
      <c r="O78" s="163"/>
      <c r="P78" s="163"/>
      <c r="Q78" s="163"/>
      <c r="R78" s="163"/>
      <c r="S78" s="163"/>
      <c r="T78" s="163"/>
    </row>
    <row r="79" customFormat="false" ht="12.75" hidden="false" customHeight="false" outlineLevel="0" collapsed="false">
      <c r="C79" s="163"/>
      <c r="D79" s="163"/>
      <c r="E79" s="163"/>
      <c r="F79" s="163"/>
      <c r="G79" s="163"/>
      <c r="H79" s="163"/>
      <c r="I79" s="163"/>
      <c r="O79" s="163"/>
      <c r="P79" s="163"/>
      <c r="Q79" s="163"/>
      <c r="R79" s="163"/>
      <c r="S79" s="163"/>
      <c r="T79" s="163"/>
    </row>
    <row r="80" customFormat="false" ht="12.75" hidden="false" customHeight="false" outlineLevel="0" collapsed="false">
      <c r="C80" s="163"/>
      <c r="D80" s="163"/>
      <c r="E80" s="163"/>
      <c r="F80" s="163"/>
      <c r="G80" s="163"/>
      <c r="H80" s="163"/>
      <c r="I80" s="163"/>
      <c r="O80" s="163"/>
      <c r="P80" s="163"/>
      <c r="Q80" s="163"/>
      <c r="R80" s="163"/>
      <c r="S80" s="163"/>
      <c r="T80" s="163"/>
    </row>
  </sheetData>
  <mergeCells count="1">
    <mergeCell ref="B3:T3"/>
  </mergeCells>
  <printOptions headings="false" gridLines="false" gridLinesSet="true" horizontalCentered="true" verticalCentered="false"/>
  <pageMargins left="0.2" right="0.2" top="0.7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.56"/>
    <col collapsed="false" customWidth="true" hidden="false" outlineLevel="0" max="3" min="3" style="0" width="12.56"/>
    <col collapsed="false" customWidth="true" hidden="false" outlineLevel="0" max="4" min="4" style="0" width="1.56"/>
    <col collapsed="false" customWidth="true" hidden="false" outlineLevel="0" max="5" min="5" style="0" width="9.28"/>
    <col collapsed="false" customWidth="true" hidden="false" outlineLevel="0" max="6" min="6" style="0" width="1.56"/>
    <col collapsed="false" customWidth="true" hidden="false" outlineLevel="0" max="7" min="7" style="0" width="5.71"/>
    <col collapsed="false" customWidth="true" hidden="false" outlineLevel="0" max="8" min="8" style="0" width="1.56"/>
    <col collapsed="false" customWidth="true" hidden="false" outlineLevel="0" max="9" min="9" style="0" width="11.85"/>
    <col collapsed="false" customWidth="true" hidden="false" outlineLevel="0" max="10" min="10" style="0" width="1.56"/>
    <col collapsed="false" customWidth="true" hidden="false" outlineLevel="0" max="12" min="12" style="0" width="1.56"/>
    <col collapsed="false" customWidth="true" hidden="false" outlineLevel="0" max="13" min="13" style="0" width="6.56"/>
    <col collapsed="false" customWidth="true" hidden="false" outlineLevel="0" max="14" min="14" style="0" width="1.85"/>
  </cols>
  <sheetData>
    <row r="1" customFormat="false" ht="15.75" hidden="false" customHeight="false" outlineLevel="0" collapsed="false">
      <c r="A1" s="2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65"/>
    </row>
    <row r="2" customFormat="false" ht="12.75" hidden="false" customHeight="false" outlineLevel="0" collapsed="false">
      <c r="A2" s="166" t="s">
        <v>128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5"/>
    </row>
    <row r="4" customFormat="false" ht="12.75" hidden="false" customHeight="false" outlineLevel="0" collapsed="false">
      <c r="C4" s="167" t="s">
        <v>5</v>
      </c>
      <c r="D4" s="167"/>
      <c r="E4" s="167"/>
      <c r="F4" s="167"/>
      <c r="G4" s="167"/>
      <c r="I4" s="167" t="s">
        <v>2</v>
      </c>
      <c r="J4" s="167"/>
      <c r="K4" s="167"/>
      <c r="L4" s="167"/>
      <c r="M4" s="167"/>
    </row>
    <row r="5" customFormat="false" ht="12.75" hidden="false" customHeight="false" outlineLevel="0" collapsed="false">
      <c r="C5" s="167" t="s">
        <v>129</v>
      </c>
      <c r="D5" s="168"/>
      <c r="E5" s="167" t="s">
        <v>130</v>
      </c>
      <c r="F5" s="169"/>
      <c r="G5" s="169" t="s">
        <v>131</v>
      </c>
      <c r="I5" s="167" t="s">
        <v>129</v>
      </c>
      <c r="J5" s="168"/>
      <c r="K5" s="167" t="s">
        <v>130</v>
      </c>
      <c r="M5" s="168" t="s">
        <v>131</v>
      </c>
    </row>
    <row r="7" customFormat="false" ht="12.75" hidden="false" customHeight="false" outlineLevel="0" collapsed="false">
      <c r="A7" s="0" t="s">
        <v>120</v>
      </c>
      <c r="C7" s="170" t="n">
        <f aca="false">'[1]Legal Revised '!P56</f>
        <v>53359418.4285714</v>
      </c>
      <c r="E7" s="171" t="n">
        <v>1</v>
      </c>
      <c r="F7" s="38"/>
      <c r="G7" s="0" t="n">
        <v>133</v>
      </c>
      <c r="I7" s="170" t="n">
        <f aca="false">'[1]Legal Revised '!R56</f>
        <v>57269780</v>
      </c>
      <c r="K7" s="171" t="n">
        <v>1</v>
      </c>
      <c r="M7" s="0" t="n">
        <v>133</v>
      </c>
    </row>
    <row r="8" customFormat="false" ht="12.75" hidden="false" customHeight="false" outlineLevel="0" collapsed="false">
      <c r="A8" s="0" t="s">
        <v>132</v>
      </c>
      <c r="C8" s="170"/>
      <c r="E8" s="171"/>
      <c r="F8" s="38"/>
      <c r="G8" s="38"/>
      <c r="I8" s="170"/>
      <c r="K8" s="171"/>
    </row>
    <row r="9" customFormat="false" ht="12.75" hidden="false" customHeight="false" outlineLevel="0" collapsed="false">
      <c r="A9" s="0" t="s">
        <v>133</v>
      </c>
      <c r="C9" s="172" t="n">
        <f aca="false">2717692+2906040+216620</f>
        <v>5840352</v>
      </c>
      <c r="E9" s="171" t="n">
        <f aca="false">+C9/$C$7</f>
        <v>0.109453066993563</v>
      </c>
      <c r="F9" s="38"/>
      <c r="G9" s="173" t="n">
        <f aca="false">+G$7*E9</f>
        <v>14.5572579101439</v>
      </c>
      <c r="I9" s="172" t="n">
        <f aca="false">2540772+189392+4747871+477099</f>
        <v>7955134</v>
      </c>
      <c r="K9" s="171" t="n">
        <f aca="false">+I9/$I$7</f>
        <v>0.138906313242342</v>
      </c>
      <c r="M9" s="173" t="n">
        <f aca="false">+M$7*K9</f>
        <v>18.4745396612315</v>
      </c>
    </row>
    <row r="10" customFormat="false" ht="12.75" hidden="false" customHeight="false" outlineLevel="0" collapsed="false">
      <c r="A10" s="0" t="s">
        <v>134</v>
      </c>
      <c r="C10" s="172" t="n">
        <v>1210952</v>
      </c>
      <c r="E10" s="171" t="n">
        <f aca="false">+C10/$C$7</f>
        <v>0.0226942503434706</v>
      </c>
      <c r="F10" s="38"/>
      <c r="G10" s="173" t="n">
        <f aca="false">+G$7*E10</f>
        <v>3.01833529568159</v>
      </c>
      <c r="I10" s="172" t="n">
        <f aca="false">1058744+67743</f>
        <v>1126487</v>
      </c>
      <c r="K10" s="171" t="n">
        <f aca="false">+I10/$I$7</f>
        <v>0.0196698328507635</v>
      </c>
      <c r="M10" s="173" t="n">
        <f aca="false">+M$7*K10</f>
        <v>2.61608776915155</v>
      </c>
    </row>
    <row r="11" customFormat="false" ht="12.75" hidden="false" customHeight="false" outlineLevel="0" collapsed="false">
      <c r="A11" s="0" t="s">
        <v>135</v>
      </c>
      <c r="C11" s="172" t="n">
        <v>284052</v>
      </c>
      <c r="E11" s="171" t="n">
        <f aca="false">+C11/$C$7</f>
        <v>0.00532337136283149</v>
      </c>
      <c r="F11" s="38"/>
      <c r="G11" s="173" t="n">
        <f aca="false">+G$7*E11</f>
        <v>0.708008391256588</v>
      </c>
      <c r="I11" s="172" t="n">
        <f aca="false">248349+15890</f>
        <v>264239</v>
      </c>
      <c r="K11" s="171" t="n">
        <f aca="false">+I11/$I$7</f>
        <v>0.00461393425991858</v>
      </c>
      <c r="M11" s="173" t="n">
        <f aca="false">+M$7*K11</f>
        <v>0.613653256569171</v>
      </c>
    </row>
    <row r="12" customFormat="false" ht="12.75" hidden="false" customHeight="false" outlineLevel="0" collapsed="false">
      <c r="A12" s="0" t="s">
        <v>136</v>
      </c>
      <c r="C12" s="172" t="n">
        <v>8221</v>
      </c>
      <c r="E12" s="171" t="n">
        <f aca="false">+C12/$C$7</f>
        <v>0.000154068395835402</v>
      </c>
      <c r="F12" s="38"/>
      <c r="G12" s="173" t="n">
        <f aca="false">+G$7*E12</f>
        <v>0.0204910966461085</v>
      </c>
      <c r="I12" s="172" t="n">
        <v>0</v>
      </c>
      <c r="K12" s="171" t="n">
        <f aca="false">+I12/$I$7</f>
        <v>0</v>
      </c>
      <c r="M12" s="173" t="n">
        <f aca="false">+M$7*K12</f>
        <v>0</v>
      </c>
    </row>
    <row r="13" customFormat="false" ht="12.75" hidden="false" customHeight="false" outlineLevel="0" collapsed="false">
      <c r="A13" s="0" t="s">
        <v>137</v>
      </c>
      <c r="C13" s="172" t="n">
        <f aca="false">509567+403061</f>
        <v>912628</v>
      </c>
      <c r="E13" s="171" t="n">
        <f aca="false">+C13/$C$7</f>
        <v>0.017103409798622</v>
      </c>
      <c r="F13" s="38"/>
      <c r="G13" s="173" t="n">
        <f aca="false">+G$7*E13</f>
        <v>2.27475350321673</v>
      </c>
      <c r="I13" s="172" t="n">
        <f aca="false">352399+679212+66007</f>
        <v>1097618</v>
      </c>
      <c r="K13" s="171" t="n">
        <f aca="false">+I13/$I$7</f>
        <v>0.0191657450054811</v>
      </c>
      <c r="M13" s="173" t="n">
        <f aca="false">+M$7*K13-0.06</f>
        <v>2.48904408572898</v>
      </c>
    </row>
    <row r="14" customFormat="false" ht="12.75" hidden="true" customHeight="false" outlineLevel="0" collapsed="false">
      <c r="A14" s="0" t="s">
        <v>138</v>
      </c>
      <c r="C14" s="172"/>
      <c r="D14" s="174"/>
      <c r="E14" s="171" t="n">
        <f aca="false">+C14/$C$7</f>
        <v>0</v>
      </c>
      <c r="F14" s="38"/>
      <c r="G14" s="173" t="n">
        <f aca="false">+G$7*E14</f>
        <v>0</v>
      </c>
      <c r="H14" s="174"/>
      <c r="I14" s="172"/>
      <c r="J14" s="174"/>
      <c r="K14" s="171" t="n">
        <f aca="false">+I14/$I$7</f>
        <v>0</v>
      </c>
      <c r="M14" s="173" t="n">
        <f aca="false">+M$7*K14</f>
        <v>0</v>
      </c>
    </row>
    <row r="15" customFormat="false" ht="12.75" hidden="false" customHeight="false" outlineLevel="0" collapsed="false">
      <c r="A15" s="0" t="s">
        <v>139</v>
      </c>
      <c r="C15" s="172" t="n">
        <f aca="false">798322+41464</f>
        <v>839786</v>
      </c>
      <c r="E15" s="171" t="n">
        <f aca="false">+C15/$C$7</f>
        <v>0.0157382899726346</v>
      </c>
      <c r="F15" s="38"/>
      <c r="G15" s="173" t="n">
        <f aca="false">+G$7*E15</f>
        <v>2.0931925663604</v>
      </c>
      <c r="I15" s="172" t="n">
        <f aca="false">36253+759469+52291</f>
        <v>848013</v>
      </c>
      <c r="K15" s="175" t="n">
        <f aca="false">+I15/$I$7+0.0004</f>
        <v>0.0152073381807997</v>
      </c>
      <c r="M15" s="173" t="n">
        <f aca="false">+M$7*K15</f>
        <v>2.02257597804636</v>
      </c>
    </row>
    <row r="16" customFormat="false" ht="12.75" hidden="false" customHeight="false" outlineLevel="0" collapsed="false">
      <c r="A16" s="0" t="s">
        <v>140</v>
      </c>
      <c r="C16" s="172" t="n">
        <f aca="false">237798+870918</f>
        <v>1108716</v>
      </c>
      <c r="E16" s="171" t="n">
        <f aca="false">+C16/$C$7</f>
        <v>0.0207782624445984</v>
      </c>
      <c r="F16" s="38"/>
      <c r="G16" s="173" t="n">
        <f aca="false">+G$7*E16</f>
        <v>2.76350890513159</v>
      </c>
      <c r="I16" s="172" t="n">
        <f aca="false">761450+418943+75527</f>
        <v>1255920</v>
      </c>
      <c r="K16" s="171" t="n">
        <f aca="false">+I16/$I$7</f>
        <v>0.021929890423885</v>
      </c>
      <c r="M16" s="173" t="n">
        <f aca="false">+M$7*K16</f>
        <v>2.9166754263767</v>
      </c>
    </row>
    <row r="17" customFormat="false" ht="12.75" hidden="false" customHeight="false" outlineLevel="0" collapsed="false">
      <c r="A17" s="0" t="s">
        <v>141</v>
      </c>
      <c r="C17" s="172" t="n">
        <f aca="false">101913+7658</f>
        <v>109571</v>
      </c>
      <c r="E17" s="171" t="n">
        <f aca="false">+C17/$C$7</f>
        <v>0.00205345191583516</v>
      </c>
      <c r="F17" s="38"/>
      <c r="G17" s="173" t="n">
        <f aca="false">+G$7*E17</f>
        <v>0.273109104806076</v>
      </c>
      <c r="I17" s="172" t="n">
        <f aca="false">6695+133404+8964</f>
        <v>149063</v>
      </c>
      <c r="K17" s="171" t="n">
        <f aca="false">+I17/$I$7</f>
        <v>0.00260282124359479</v>
      </c>
      <c r="M17" s="173" t="n">
        <f aca="false">+M$7*K17</f>
        <v>0.346175225398107</v>
      </c>
    </row>
    <row r="18" customFormat="false" ht="12.75" hidden="false" customHeight="false" outlineLevel="0" collapsed="false">
      <c r="A18" s="0" t="s">
        <v>142</v>
      </c>
      <c r="C18" s="172" t="n">
        <f aca="false">1814858+50473+6780</f>
        <v>1872111</v>
      </c>
      <c r="E18" s="176" t="n">
        <f aca="false">+C18/$C$7-0.0002</f>
        <v>0.0348849213715863</v>
      </c>
      <c r="F18" s="38"/>
      <c r="G18" s="173" t="n">
        <f aca="false">+G$7*E18</f>
        <v>4.63969454242097</v>
      </c>
      <c r="I18" s="172" t="n">
        <f aca="false">5000000+2628539+488106</f>
        <v>8116645</v>
      </c>
      <c r="K18" s="171" t="n">
        <f aca="false">+I18/$I$7</f>
        <v>0.141726491702954</v>
      </c>
      <c r="M18" s="173" t="n">
        <f aca="false">+M$7*K18</f>
        <v>18.8496233964929</v>
      </c>
    </row>
    <row r="19" customFormat="false" ht="12.75" hidden="false" customHeight="false" outlineLevel="0" collapsed="false">
      <c r="A19" s="0" t="s">
        <v>143</v>
      </c>
      <c r="C19" s="172" t="n">
        <f aca="false">3539036+2750000</f>
        <v>6289036</v>
      </c>
      <c r="E19" s="171" t="n">
        <f aca="false">+C19/$C$7</f>
        <v>0.117861779329898</v>
      </c>
      <c r="F19" s="38"/>
      <c r="G19" s="173" t="n">
        <f aca="false">+G$7*E19</f>
        <v>15.6756166508765</v>
      </c>
      <c r="I19" s="172" t="n">
        <f aca="false">5000000+3000000</f>
        <v>8000000</v>
      </c>
      <c r="K19" s="171" t="n">
        <f aca="false">+I19/$I$7</f>
        <v>0.139689728160297</v>
      </c>
      <c r="M19" s="173" t="n">
        <f aca="false">+M$7*K19</f>
        <v>18.5787338453195</v>
      </c>
    </row>
    <row r="20" customFormat="false" ht="12.75" hidden="false" customHeight="false" outlineLevel="0" collapsed="false">
      <c r="A20" s="0" t="s">
        <v>144</v>
      </c>
      <c r="C20" s="172" t="n">
        <v>57532</v>
      </c>
      <c r="E20" s="171" t="n">
        <f aca="false">+C20/$C$7</f>
        <v>0.00107819765833869</v>
      </c>
      <c r="F20" s="38"/>
      <c r="G20" s="173" t="n">
        <f aca="false">+G$7*E20</f>
        <v>0.143400288559046</v>
      </c>
      <c r="I20" s="172" t="n">
        <f aca="false">50301+3218</f>
        <v>53519</v>
      </c>
      <c r="K20" s="171" t="n">
        <f aca="false">+I20/$I$7</f>
        <v>0.000934506820176365</v>
      </c>
      <c r="M20" s="173" t="n">
        <f aca="false">+M$7*K20</f>
        <v>0.124289407083457</v>
      </c>
    </row>
    <row r="21" customFormat="false" ht="12.75" hidden="false" customHeight="false" outlineLevel="0" collapsed="false">
      <c r="A21" s="0" t="s">
        <v>145</v>
      </c>
      <c r="C21" s="172" t="n">
        <v>0</v>
      </c>
      <c r="E21" s="171" t="n">
        <f aca="false">+C21/$C$7</f>
        <v>0</v>
      </c>
      <c r="F21" s="38"/>
      <c r="G21" s="173" t="n">
        <f aca="false">+G$7*E21</f>
        <v>0</v>
      </c>
      <c r="I21" s="172" t="n">
        <f aca="false">94990+6078</f>
        <v>101068</v>
      </c>
      <c r="K21" s="171" t="n">
        <f aca="false">+I21/$I$7</f>
        <v>0.00176477018071311</v>
      </c>
      <c r="M21" s="177" t="n">
        <f aca="false">+M$7*K21</f>
        <v>0.234714434034844</v>
      </c>
    </row>
    <row r="22" customFormat="false" ht="12.75" hidden="false" customHeight="false" outlineLevel="0" collapsed="false">
      <c r="A22" s="0" t="s">
        <v>146</v>
      </c>
      <c r="C22" s="172" t="n">
        <f aca="false">345000+230279+313522+4350773</f>
        <v>5239574</v>
      </c>
      <c r="E22" s="171" t="n">
        <f aca="false">+C22/$C$7</f>
        <v>0.0981939862596864</v>
      </c>
      <c r="F22" s="38"/>
      <c r="G22" s="177" t="n">
        <f aca="false">+G$7*E22</f>
        <v>13.0598001725383</v>
      </c>
      <c r="I22" s="172" t="n">
        <f aca="false">650000+250000+57586</f>
        <v>957586</v>
      </c>
      <c r="K22" s="171" t="n">
        <f aca="false">+I22/$I$7</f>
        <v>0.0167206160037632</v>
      </c>
      <c r="M22" s="177" t="n">
        <f aca="false">+M$7*K22</f>
        <v>2.22384192850051</v>
      </c>
    </row>
    <row r="23" customFormat="false" ht="12.75" hidden="false" customHeight="false" outlineLevel="0" collapsed="false">
      <c r="A23" s="0" t="s">
        <v>147</v>
      </c>
      <c r="C23" s="178" t="n">
        <f aca="false">+C7-SUM(C9:C22)</f>
        <v>29586887.4285714</v>
      </c>
      <c r="E23" s="179" t="n">
        <f aca="false">+C23/$C$7</f>
        <v>0.554482944153099</v>
      </c>
      <c r="F23" s="38"/>
      <c r="G23" s="180" t="n">
        <f aca="false">+G$7*E23-0.26</f>
        <v>73.4862315723622</v>
      </c>
      <c r="I23" s="181" t="n">
        <f aca="false">+I7-SUM(I9:I22)</f>
        <v>27344488</v>
      </c>
      <c r="K23" s="179" t="n">
        <f aca="false">+I23/$I$7</f>
        <v>0.477468011925312</v>
      </c>
      <c r="M23" s="182" t="n">
        <f aca="false">+M$7*K23</f>
        <v>63.5032455860665</v>
      </c>
    </row>
    <row r="24" customFormat="false" ht="16.5" hidden="false" customHeight="true" outlineLevel="0" collapsed="false">
      <c r="A24" s="35" t="s">
        <v>148</v>
      </c>
      <c r="C24" s="183" t="n">
        <f aca="false">SUM(C9:C23)</f>
        <v>53359418.4285714</v>
      </c>
      <c r="E24" s="171" t="n">
        <f aca="false">SUM(E9:E23)</f>
        <v>0.9998</v>
      </c>
      <c r="F24" s="38"/>
      <c r="G24" s="173" t="n">
        <f aca="false">SUM(G9:G23)</f>
        <v>132.7134</v>
      </c>
      <c r="I24" s="172" t="n">
        <f aca="false">SUM(I9:I23)</f>
        <v>57269780</v>
      </c>
      <c r="K24" s="171" t="n">
        <f aca="false">SUM(K9:K23)</f>
        <v>1.0004</v>
      </c>
      <c r="M24" s="177" t="n">
        <f aca="false">SUM(M9:M23)</f>
        <v>132.9932</v>
      </c>
    </row>
    <row r="25" customFormat="false" ht="12.75" hidden="false" customHeight="false" outlineLevel="0" collapsed="false">
      <c r="C25" s="172"/>
      <c r="E25" s="171"/>
      <c r="F25" s="38"/>
      <c r="G25" s="173"/>
      <c r="I25" s="172"/>
      <c r="K25" s="171"/>
      <c r="M25" s="177"/>
    </row>
    <row r="26" customFormat="false" ht="12.75" hidden="false" customHeight="false" outlineLevel="0" collapsed="false">
      <c r="C26" s="172"/>
      <c r="E26" s="171"/>
      <c r="F26" s="38"/>
      <c r="G26" s="173"/>
      <c r="I26" s="172"/>
      <c r="K26" s="171"/>
      <c r="M26" s="177"/>
    </row>
    <row r="27" customFormat="false" ht="12.75" hidden="false" customHeight="false" outlineLevel="0" collapsed="false">
      <c r="A27" s="35" t="s">
        <v>149</v>
      </c>
      <c r="C27" s="172" t="n">
        <v>17391655</v>
      </c>
      <c r="E27" s="175" t="n">
        <f aca="false">+C27/C24-0.01</f>
        <v>0.315934118327789</v>
      </c>
      <c r="F27" s="38"/>
      <c r="G27" s="173" t="n">
        <f aca="false">+G$7*E27</f>
        <v>42.0192377375959</v>
      </c>
      <c r="I27" s="172" t="n">
        <v>15205647</v>
      </c>
      <c r="K27" s="171" t="n">
        <f aca="false">+I27/I24</f>
        <v>0.265509086991429</v>
      </c>
      <c r="M27" s="177" t="n">
        <f aca="false">+M$7*K27</f>
        <v>35.3127085698601</v>
      </c>
    </row>
    <row r="28" customFormat="false" ht="12.75" hidden="false" customHeight="false" outlineLevel="0" collapsed="false">
      <c r="C28" s="172"/>
      <c r="E28" s="171"/>
      <c r="F28" s="38"/>
      <c r="G28" s="173"/>
      <c r="I28" s="172"/>
      <c r="K28" s="171"/>
      <c r="M28" s="177"/>
    </row>
    <row r="29" customFormat="false" ht="12.75" hidden="false" customHeight="false" outlineLevel="0" collapsed="false">
      <c r="A29" s="35" t="s">
        <v>150</v>
      </c>
      <c r="C29" s="181" t="n">
        <f aca="false">+C23-C27-1</f>
        <v>12195231.4285714</v>
      </c>
      <c r="E29" s="179" t="n">
        <f aca="false">+C29/C24</f>
        <v>0.228548807084477</v>
      </c>
      <c r="F29" s="38"/>
      <c r="G29" s="180" t="n">
        <f aca="false">+G$7*E29+0.11</f>
        <v>30.5069913422354</v>
      </c>
      <c r="I29" s="181" t="n">
        <f aca="false">+I23-I27</f>
        <v>12138841</v>
      </c>
      <c r="K29" s="179" t="n">
        <f aca="false">+I29/I24</f>
        <v>0.211958924933883</v>
      </c>
      <c r="M29" s="180" t="n">
        <f aca="false">+M$7*K29+1</f>
        <v>29.1905370162065</v>
      </c>
    </row>
    <row r="30" customFormat="false" ht="12.75" hidden="false" customHeight="false" outlineLevel="0" collapsed="false">
      <c r="E30" s="184"/>
      <c r="G30" s="173"/>
      <c r="K30" s="184"/>
      <c r="M30" s="177"/>
    </row>
    <row r="31" customFormat="false" ht="12.75" hidden="false" customHeight="false" outlineLevel="0" collapsed="false">
      <c r="A31" s="35" t="s">
        <v>151</v>
      </c>
      <c r="C31" s="170" t="n">
        <f aca="false">SUM(C27:C29)</f>
        <v>29586886.4285714</v>
      </c>
      <c r="E31" s="185" t="n">
        <f aca="false">SUM(E27:E29)+0.01</f>
        <v>0.554482925412265</v>
      </c>
      <c r="F31" s="186"/>
      <c r="G31" s="187" t="n">
        <f aca="false">+G$7*E31-0.26</f>
        <v>73.4862290798313</v>
      </c>
      <c r="I31" s="170" t="n">
        <f aca="false">SUM(I27:I29)</f>
        <v>27344488</v>
      </c>
      <c r="K31" s="184" t="n">
        <f aca="false">SUM(K27:K29)</f>
        <v>0.477468011925312</v>
      </c>
      <c r="M31" s="177" t="n">
        <f aca="false">+M$7*K31</f>
        <v>63.5032455860665</v>
      </c>
    </row>
    <row r="32" customFormat="false" ht="12.75" hidden="false" customHeight="false" outlineLevel="0" collapsed="false">
      <c r="D32" s="188"/>
      <c r="G32" s="173"/>
      <c r="M32" s="31"/>
    </row>
    <row r="33" customFormat="false" ht="12.75" hidden="false" customHeight="false" outlineLevel="0" collapsed="false">
      <c r="D33" s="188"/>
      <c r="G33" s="173"/>
    </row>
    <row r="34" customFormat="false" ht="12.75" hidden="false" customHeight="false" outlineLevel="0" collapsed="false">
      <c r="A34" s="0" t="s">
        <v>152</v>
      </c>
      <c r="D34" s="188"/>
      <c r="G34" s="173"/>
    </row>
    <row r="35" customFormat="false" ht="12.75" hidden="false" customHeight="false" outlineLevel="0" collapsed="false">
      <c r="A35" s="189" t="s">
        <v>153</v>
      </c>
      <c r="C35" s="174"/>
      <c r="D35" s="188"/>
      <c r="G35" s="173"/>
    </row>
    <row r="36" customFormat="false" ht="12.75" hidden="false" customHeight="false" outlineLevel="0" collapsed="false">
      <c r="A36" s="188"/>
      <c r="C36" s="190"/>
      <c r="D36" s="188"/>
      <c r="G36" s="173"/>
    </row>
    <row r="37" customFormat="false" ht="12.75" hidden="false" customHeight="false" outlineLevel="0" collapsed="false">
      <c r="A37" s="188"/>
      <c r="C37" s="174"/>
      <c r="D37" s="188"/>
      <c r="G37" s="173"/>
    </row>
    <row r="38" customFormat="false" ht="12.75" hidden="false" customHeight="false" outlineLevel="0" collapsed="false">
      <c r="A38" s="188"/>
      <c r="C38" s="190"/>
      <c r="D38" s="188"/>
      <c r="G38" s="173"/>
    </row>
    <row r="39" customFormat="false" ht="12.75" hidden="false" customHeight="false" outlineLevel="0" collapsed="false">
      <c r="A39" s="188"/>
      <c r="C39" s="174"/>
      <c r="D39" s="188"/>
    </row>
    <row r="40" customFormat="false" ht="12.75" hidden="false" customHeight="false" outlineLevel="0" collapsed="false">
      <c r="A40" s="188"/>
      <c r="C40" s="174"/>
      <c r="D40" s="188"/>
    </row>
    <row r="41" customFormat="false" ht="12.75" hidden="false" customHeight="false" outlineLevel="0" collapsed="false">
      <c r="A41" s="188"/>
      <c r="C41" s="174"/>
      <c r="D41" s="188"/>
    </row>
    <row r="42" customFormat="false" ht="12.75" hidden="false" customHeight="false" outlineLevel="0" collapsed="false">
      <c r="A42" s="188"/>
      <c r="C42" s="174"/>
      <c r="D42" s="188"/>
    </row>
    <row r="43" customFormat="false" ht="12.75" hidden="false" customHeight="false" outlineLevel="0" collapsed="false">
      <c r="A43" s="188"/>
      <c r="C43" s="174"/>
      <c r="D43" s="188"/>
    </row>
    <row r="44" customFormat="false" ht="12.75" hidden="false" customHeight="false" outlineLevel="0" collapsed="false">
      <c r="A44" s="188"/>
      <c r="C44" s="174"/>
      <c r="D44" s="174"/>
    </row>
    <row r="45" customFormat="false" ht="12.75" hidden="false" customHeight="false" outlineLevel="0" collapsed="false">
      <c r="A45" s="188"/>
    </row>
    <row r="46" customFormat="false" ht="12.75" hidden="false" customHeight="false" outlineLevel="0" collapsed="false">
      <c r="A46" s="188"/>
    </row>
    <row r="47" customFormat="false" ht="12.75" hidden="false" customHeight="false" outlineLevel="0" collapsed="false">
      <c r="A47" s="188"/>
    </row>
    <row r="48" customFormat="false" ht="12.75" hidden="false" customHeight="false" outlineLevel="0" collapsed="false">
      <c r="A48" s="188"/>
    </row>
  </sheetData>
  <mergeCells count="4">
    <mergeCell ref="A1:M1"/>
    <mergeCell ref="A2:M2"/>
    <mergeCell ref="C4:G4"/>
    <mergeCell ref="I4:M4"/>
  </mergeCells>
  <printOptions headings="false" gridLines="false" gridLinesSet="true" horizontalCentered="true" verticalCentered="false"/>
  <pageMargins left="0.2" right="0.2" top="0.7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&amp;R&amp;7&amp;D 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7"/>
    <col collapsed="false" customWidth="true" hidden="false" outlineLevel="0" max="2" min="2" style="0" width="3.7"/>
    <col collapsed="false" customWidth="true" hidden="false" outlineLevel="0" max="3" min="3" style="0" width="19.99"/>
    <col collapsed="false" customWidth="true" hidden="false" outlineLevel="0" max="4" min="4" style="0" width="26.56"/>
    <col collapsed="false" customWidth="true" hidden="false" outlineLevel="0" max="5" min="5" style="0" width="22.56"/>
    <col collapsed="false" customWidth="true" hidden="false" outlineLevel="0" max="7" min="6" style="0" width="19.56"/>
    <col collapsed="false" customWidth="true" hidden="false" outlineLevel="0" max="8" min="8" style="0" width="22.99"/>
    <col collapsed="false" customWidth="true" hidden="false" outlineLevel="0" max="9" min="9" style="0" width="1.99"/>
    <col collapsed="false" customWidth="true" hidden="false" outlineLevel="0" max="10" min="10" style="0" width="13.85"/>
    <col collapsed="false" customWidth="true" hidden="false" outlineLevel="0" max="11" min="11" style="0" width="1.99"/>
    <col collapsed="false" customWidth="true" hidden="false" outlineLevel="0" max="12" min="12" style="0" width="13.99"/>
    <col collapsed="false" customWidth="true" hidden="false" outlineLevel="0" max="13" min="13" style="0" width="2.84"/>
  </cols>
  <sheetData>
    <row r="1" customFormat="false" ht="12.75" hidden="false" customHeight="false" outlineLevel="0" collapsed="false">
      <c r="A1" s="191" t="s">
        <v>154</v>
      </c>
    </row>
    <row r="2" customFormat="false" ht="12.75" hidden="false" customHeight="false" outlineLevel="0" collapsed="false">
      <c r="A2" s="191"/>
    </row>
    <row r="4" customFormat="false" ht="13.5" hidden="false" customHeight="false" outlineLevel="0" collapsed="false"/>
    <row r="5" customFormat="false" ht="13.5" hidden="false" customHeight="false" outlineLevel="0" collapsed="false">
      <c r="C5" s="192" t="s">
        <v>155</v>
      </c>
      <c r="D5" s="192" t="s">
        <v>156</v>
      </c>
      <c r="E5" s="192" t="s">
        <v>157</v>
      </c>
      <c r="F5" s="193" t="s">
        <v>158</v>
      </c>
      <c r="G5" s="192" t="s">
        <v>159</v>
      </c>
      <c r="H5" s="192" t="s">
        <v>160</v>
      </c>
      <c r="I5" s="193"/>
      <c r="J5" s="192" t="s">
        <v>161</v>
      </c>
      <c r="K5" s="192"/>
      <c r="L5" s="192" t="s">
        <v>162</v>
      </c>
    </row>
    <row r="6" customFormat="false" ht="12.75" hidden="false" customHeight="false" outlineLevel="0" collapsed="false">
      <c r="C6" s="194"/>
      <c r="D6" s="194"/>
      <c r="E6" s="194"/>
      <c r="G6" s="194"/>
      <c r="H6" s="194"/>
      <c r="J6" s="195"/>
      <c r="K6" s="195"/>
      <c r="L6" s="194"/>
    </row>
    <row r="7" customFormat="false" ht="12.75" hidden="false" customHeight="false" outlineLevel="0" collapsed="false">
      <c r="A7" s="174" t="s">
        <v>163</v>
      </c>
      <c r="B7" s="174"/>
      <c r="C7" s="196" t="n">
        <f aca="false">+C28*C35</f>
        <v>26232.3185893913</v>
      </c>
      <c r="D7" s="196"/>
      <c r="E7" s="196"/>
      <c r="F7" s="188" t="n">
        <f aca="false">+F28*F35</f>
        <v>37056.7889368365</v>
      </c>
      <c r="G7" s="196"/>
      <c r="H7" s="196"/>
      <c r="I7" s="174"/>
      <c r="J7" s="195" t="n">
        <f aca="false">SUM(C7:H7)</f>
        <v>63289.1075262278</v>
      </c>
      <c r="K7" s="195"/>
      <c r="L7" s="196" t="n">
        <f aca="false">+J7*12</f>
        <v>759469.290314734</v>
      </c>
    </row>
    <row r="8" customFormat="false" ht="12.75" hidden="false" customHeight="false" outlineLevel="0" collapsed="false">
      <c r="A8" s="174"/>
      <c r="B8" s="174"/>
      <c r="C8" s="196"/>
      <c r="D8" s="196"/>
      <c r="E8" s="196"/>
      <c r="F8" s="188"/>
      <c r="G8" s="196"/>
      <c r="H8" s="196"/>
      <c r="I8" s="174"/>
      <c r="J8" s="195"/>
      <c r="K8" s="195"/>
      <c r="L8" s="196"/>
    </row>
    <row r="9" customFormat="false" ht="12.75" hidden="false" customHeight="false" outlineLevel="0" collapsed="false">
      <c r="A9" s="174" t="s">
        <v>164</v>
      </c>
      <c r="B9" s="174"/>
      <c r="C9" s="196"/>
      <c r="D9" s="196"/>
      <c r="E9" s="196" t="n">
        <f aca="false">+E28*E37</f>
        <v>3028.65295116732</v>
      </c>
      <c r="F9" s="188" t="n">
        <f aca="false">+F28*F37</f>
        <v>74113.5778736731</v>
      </c>
      <c r="G9" s="196"/>
      <c r="H9" s="196" t="n">
        <f aca="false">+H28*H37</f>
        <v>318513.700649463</v>
      </c>
      <c r="I9" s="174"/>
      <c r="J9" s="195" t="n">
        <f aca="false">SUM(C9:H9)</f>
        <v>395655.931474303</v>
      </c>
      <c r="K9" s="195"/>
      <c r="L9" s="196" t="n">
        <f aca="false">+J9*12</f>
        <v>4747871.17769164</v>
      </c>
    </row>
    <row r="10" customFormat="false" ht="12.75" hidden="false" customHeight="false" outlineLevel="0" collapsed="false">
      <c r="A10" s="174"/>
      <c r="B10" s="174"/>
      <c r="C10" s="196"/>
      <c r="D10" s="196"/>
      <c r="E10" s="196"/>
      <c r="F10" s="188"/>
      <c r="G10" s="196"/>
      <c r="H10" s="196"/>
      <c r="I10" s="174"/>
      <c r="J10" s="195"/>
      <c r="K10" s="195"/>
      <c r="L10" s="196"/>
    </row>
    <row r="11" customFormat="false" ht="12.75" hidden="false" customHeight="false" outlineLevel="0" collapsed="false">
      <c r="A11" s="174" t="s">
        <v>165</v>
      </c>
      <c r="B11" s="174"/>
      <c r="C11" s="196"/>
      <c r="D11" s="196"/>
      <c r="E11" s="196" t="n">
        <f aca="false">+E39*E28</f>
        <v>1514.32112636458</v>
      </c>
      <c r="F11" s="188" t="n">
        <f aca="false">+F28*F39</f>
        <v>14822.7208107245</v>
      </c>
      <c r="G11" s="196" t="n">
        <f aca="false">+G28*G39</f>
        <v>127128.333333333</v>
      </c>
      <c r="H11" s="196" t="n">
        <f aca="false">+H28*H39</f>
        <v>75579.5111986067</v>
      </c>
      <c r="I11" s="174"/>
      <c r="J11" s="195" t="n">
        <f aca="false">SUM(C11:H11)</f>
        <v>219044.886469029</v>
      </c>
      <c r="K11" s="195"/>
      <c r="L11" s="196" t="n">
        <f aca="false">+J11*12</f>
        <v>2628538.63762835</v>
      </c>
    </row>
    <row r="12" customFormat="false" ht="12.75" hidden="false" customHeight="false" outlineLevel="0" collapsed="false">
      <c r="A12" s="174"/>
      <c r="B12" s="174"/>
      <c r="C12" s="196"/>
      <c r="D12" s="196"/>
      <c r="E12" s="196"/>
      <c r="F12" s="188"/>
      <c r="G12" s="196"/>
      <c r="H12" s="196"/>
      <c r="I12" s="174"/>
      <c r="J12" s="195"/>
      <c r="K12" s="195"/>
      <c r="L12" s="196"/>
    </row>
    <row r="13" customFormat="false" ht="12.75" hidden="false" customHeight="false" outlineLevel="0" collapsed="false">
      <c r="A13" s="174" t="s">
        <v>166</v>
      </c>
      <c r="B13" s="174"/>
      <c r="C13" s="196"/>
      <c r="D13" s="196"/>
      <c r="E13" s="196"/>
      <c r="F13" s="188" t="n">
        <f aca="false">+F28*F41</f>
        <v>11117.0406080434</v>
      </c>
      <c r="G13" s="196"/>
      <c r="H13" s="196"/>
      <c r="I13" s="174"/>
      <c r="J13" s="195" t="n">
        <f aca="false">SUM(C13:H13)</f>
        <v>11117.0406080434</v>
      </c>
      <c r="K13" s="195"/>
      <c r="L13" s="196" t="n">
        <f aca="false">+J13*12</f>
        <v>133404.48729652</v>
      </c>
    </row>
    <row r="14" customFormat="false" ht="12.75" hidden="false" customHeight="false" outlineLevel="0" collapsed="false">
      <c r="A14" s="174"/>
      <c r="B14" s="174"/>
      <c r="C14" s="196"/>
      <c r="D14" s="196"/>
      <c r="E14" s="196"/>
      <c r="F14" s="188"/>
      <c r="G14" s="196"/>
      <c r="H14" s="196"/>
      <c r="I14" s="174"/>
      <c r="J14" s="195"/>
      <c r="K14" s="195"/>
      <c r="L14" s="196"/>
    </row>
    <row r="15" customFormat="false" ht="12.75" hidden="false" customHeight="false" outlineLevel="0" collapsed="false">
      <c r="A15" s="174" t="s">
        <v>167</v>
      </c>
      <c r="B15" s="174"/>
      <c r="C15" s="196"/>
      <c r="D15" s="196"/>
      <c r="E15" s="196" t="n">
        <f aca="false">+E28*E43</f>
        <v>3028.65295116732</v>
      </c>
      <c r="F15" s="188" t="n">
        <f aca="false">+F28*F43</f>
        <v>48173.8295448799</v>
      </c>
      <c r="G15" s="196"/>
      <c r="H15" s="196" t="n">
        <f aca="false">+H28*H43</f>
        <v>5398.53923844957</v>
      </c>
      <c r="I15" s="174"/>
      <c r="J15" s="195" t="n">
        <f aca="false">SUM(C15:H15)</f>
        <v>56601.0217344968</v>
      </c>
      <c r="K15" s="195"/>
      <c r="L15" s="196" t="n">
        <f aca="false">+J15*12</f>
        <v>679212.260813961</v>
      </c>
    </row>
    <row r="16" customFormat="false" ht="12.75" hidden="false" customHeight="false" outlineLevel="0" collapsed="false">
      <c r="A16" s="174"/>
      <c r="B16" s="174"/>
      <c r="C16" s="196"/>
      <c r="D16" s="196"/>
      <c r="E16" s="196"/>
      <c r="F16" s="188"/>
      <c r="G16" s="196"/>
      <c r="H16" s="196"/>
      <c r="I16" s="174"/>
      <c r="J16" s="195"/>
      <c r="K16" s="195"/>
      <c r="L16" s="196"/>
    </row>
    <row r="17" customFormat="false" ht="12.75" hidden="false" customHeight="false" outlineLevel="0" collapsed="false">
      <c r="A17" s="174" t="s">
        <v>168</v>
      </c>
      <c r="B17" s="174"/>
      <c r="C17" s="196"/>
      <c r="D17" s="196"/>
      <c r="E17" s="196" t="n">
        <f aca="false">+E28*E45</f>
        <v>1514.32112636458</v>
      </c>
      <c r="F17" s="188" t="n">
        <f aca="false">+F28*F45</f>
        <v>3705.68020268112</v>
      </c>
      <c r="G17" s="196"/>
      <c r="H17" s="196" t="n">
        <f aca="false">+H28*H45</f>
        <v>29691.9562765508</v>
      </c>
      <c r="I17" s="174"/>
      <c r="J17" s="195" t="n">
        <f aca="false">SUM(C17:H17)</f>
        <v>34911.9576055965</v>
      </c>
      <c r="K17" s="195"/>
      <c r="L17" s="196" t="n">
        <f aca="false">+J17*12</f>
        <v>418943.491267158</v>
      </c>
    </row>
    <row r="18" customFormat="false" ht="12.75" hidden="false" customHeight="false" outlineLevel="0" collapsed="false">
      <c r="A18" s="174"/>
      <c r="B18" s="174"/>
      <c r="C18" s="196"/>
      <c r="D18" s="196"/>
      <c r="E18" s="196"/>
      <c r="F18" s="188"/>
      <c r="G18" s="196"/>
      <c r="H18" s="196"/>
      <c r="I18" s="174"/>
      <c r="J18" s="195"/>
      <c r="K18" s="195"/>
      <c r="L18" s="196"/>
    </row>
    <row r="19" customFormat="false" ht="12.75" hidden="false" customHeight="false" outlineLevel="0" collapsed="false">
      <c r="A19" s="174" t="s">
        <v>169</v>
      </c>
      <c r="B19" s="174"/>
      <c r="C19" s="196" t="n">
        <f aca="false">250000/12</f>
        <v>20833.3333333333</v>
      </c>
      <c r="D19" s="196"/>
      <c r="E19" s="196"/>
      <c r="F19" s="188"/>
      <c r="G19" s="196"/>
      <c r="H19" s="196"/>
      <c r="I19" s="174"/>
      <c r="J19" s="195" t="n">
        <f aca="false">SUM(C19:H19)</f>
        <v>20833.3333333333</v>
      </c>
      <c r="K19" s="195"/>
      <c r="L19" s="196" t="n">
        <f aca="false">+J19*12</f>
        <v>250000</v>
      </c>
      <c r="M19" s="0" t="s">
        <v>170</v>
      </c>
    </row>
    <row r="20" customFormat="false" ht="12.75" hidden="false" customHeight="false" outlineLevel="0" collapsed="false">
      <c r="A20" s="174"/>
      <c r="B20" s="174"/>
      <c r="C20" s="196"/>
      <c r="D20" s="196"/>
      <c r="E20" s="196"/>
      <c r="F20" s="188"/>
      <c r="G20" s="196"/>
      <c r="H20" s="196"/>
      <c r="I20" s="174"/>
      <c r="J20" s="195"/>
      <c r="K20" s="195"/>
      <c r="L20" s="194"/>
    </row>
    <row r="21" customFormat="false" ht="12.75" hidden="false" customHeight="false" outlineLevel="0" collapsed="false">
      <c r="A21" s="174" t="s">
        <v>171</v>
      </c>
      <c r="B21" s="174"/>
      <c r="C21" s="196"/>
      <c r="D21" s="196" t="n">
        <f aca="false">3000000/12</f>
        <v>250000</v>
      </c>
      <c r="E21" s="196"/>
      <c r="F21" s="188"/>
      <c r="G21" s="196"/>
      <c r="H21" s="196"/>
      <c r="I21" s="174"/>
      <c r="J21" s="195" t="n">
        <f aca="false">SUM(C21:H21)</f>
        <v>250000</v>
      </c>
      <c r="K21" s="195"/>
      <c r="L21" s="196" t="n">
        <v>3000000</v>
      </c>
      <c r="M21" s="0" t="s">
        <v>172</v>
      </c>
    </row>
    <row r="22" customFormat="false" ht="12.75" hidden="false" customHeight="false" outlineLevel="0" collapsed="false">
      <c r="A22" s="174"/>
      <c r="B22" s="174"/>
      <c r="C22" s="196"/>
      <c r="D22" s="196"/>
      <c r="E22" s="196"/>
      <c r="F22" s="188"/>
      <c r="G22" s="196"/>
      <c r="H22" s="196"/>
      <c r="I22" s="174"/>
      <c r="J22" s="195"/>
      <c r="K22" s="195"/>
      <c r="L22" s="194"/>
    </row>
    <row r="23" customFormat="false" ht="12.75" hidden="false" customHeight="false" outlineLevel="0" collapsed="false">
      <c r="A23" s="174" t="s">
        <v>173</v>
      </c>
      <c r="B23" s="174"/>
      <c r="C23" s="196" t="n">
        <f aca="false">+C28*C49</f>
        <v>7915.84166666667</v>
      </c>
      <c r="D23" s="196"/>
      <c r="E23" s="196"/>
      <c r="F23" s="188"/>
      <c r="G23" s="196"/>
      <c r="H23" s="196"/>
      <c r="I23" s="174"/>
      <c r="J23" s="195" t="n">
        <f aca="false">SUM(C23:H23)</f>
        <v>7915.84166666667</v>
      </c>
      <c r="K23" s="195"/>
      <c r="L23" s="196" t="n">
        <f aca="false">+J23*12</f>
        <v>94990.1</v>
      </c>
    </row>
    <row r="24" customFormat="false" ht="13.5" hidden="false" customHeight="false" outlineLevel="0" collapsed="false">
      <c r="A24" s="174"/>
      <c r="B24" s="174"/>
      <c r="C24" s="196"/>
      <c r="D24" s="196"/>
      <c r="E24" s="196"/>
      <c r="F24" s="188"/>
      <c r="G24" s="196"/>
      <c r="H24" s="196"/>
      <c r="I24" s="174"/>
      <c r="J24" s="194"/>
      <c r="K24" s="194"/>
      <c r="L24" s="194"/>
    </row>
    <row r="25" customFormat="false" ht="13.5" hidden="false" customHeight="false" outlineLevel="0" collapsed="false">
      <c r="A25" s="197" t="s">
        <v>148</v>
      </c>
      <c r="C25" s="198" t="n">
        <f aca="false">SUM(C7:C24)</f>
        <v>54981.4935893913</v>
      </c>
      <c r="D25" s="198" t="n">
        <f aca="false">SUM(D7:D24)</f>
        <v>250000</v>
      </c>
      <c r="E25" s="198" t="n">
        <f aca="false">SUM(E9:E17)</f>
        <v>9085.94815506381</v>
      </c>
      <c r="F25" s="199" t="n">
        <f aca="false">SUM(F7:F17)</f>
        <v>188989.637976838</v>
      </c>
      <c r="G25" s="199" t="n">
        <f aca="false">SUM(G7:G17)</f>
        <v>127128.333333333</v>
      </c>
      <c r="H25" s="198" t="n">
        <f aca="false">SUM(H9:H17)</f>
        <v>429183.70736307</v>
      </c>
      <c r="I25" s="200"/>
      <c r="J25" s="201" t="n">
        <f aca="false">SUM(J7:J23)</f>
        <v>1059369.1204177</v>
      </c>
      <c r="K25" s="201"/>
      <c r="L25" s="201" t="n">
        <f aca="false">SUM(L7:L23)</f>
        <v>12712429.4450124</v>
      </c>
    </row>
    <row r="26" customFormat="false" ht="12.75" hidden="false" customHeight="false" outlineLevel="0" collapsed="false">
      <c r="C26" s="188"/>
      <c r="D26" s="188"/>
      <c r="E26" s="188"/>
      <c r="F26" s="188"/>
      <c r="G26" s="188"/>
      <c r="H26" s="188"/>
    </row>
    <row r="27" customFormat="false" ht="12.75" hidden="false" customHeight="false" outlineLevel="0" collapsed="false">
      <c r="C27" s="188"/>
      <c r="D27" s="188"/>
      <c r="E27" s="188"/>
      <c r="F27" s="188"/>
      <c r="G27" s="188"/>
      <c r="H27" s="188"/>
    </row>
    <row r="28" customFormat="false" ht="12.75" hidden="false" customHeight="false" outlineLevel="0" collapsed="false">
      <c r="A28" s="0" t="s">
        <v>174</v>
      </c>
      <c r="C28" s="188" t="n">
        <f aca="false">5899802-4000000</f>
        <v>1899802</v>
      </c>
      <c r="D28" s="188" t="n">
        <f aca="false">(7297279-5000000)</f>
        <v>2297279</v>
      </c>
      <c r="E28" s="188" t="n">
        <f aca="false">(1137398-250000)</f>
        <v>887398</v>
      </c>
      <c r="F28" s="188" t="n">
        <f aca="false">(4131101-1000000)</f>
        <v>3131101</v>
      </c>
      <c r="G28" s="188" t="n">
        <f aca="false">6525540-5000000</f>
        <v>1525540</v>
      </c>
      <c r="H28" s="188" t="n">
        <f aca="false">(5376804-2000000)</f>
        <v>3376804</v>
      </c>
      <c r="L28" s="29"/>
    </row>
    <row r="29" customFormat="false" ht="12.75" hidden="false" customHeight="false" outlineLevel="0" collapsed="false">
      <c r="C29" s="188"/>
      <c r="D29" s="188"/>
      <c r="E29" s="188"/>
      <c r="F29" s="188"/>
      <c r="G29" s="188"/>
      <c r="H29" s="188"/>
    </row>
    <row r="30" customFormat="false" ht="12.75" hidden="false" customHeight="false" outlineLevel="0" collapsed="false">
      <c r="C30" s="188"/>
      <c r="D30" s="188"/>
      <c r="E30" s="188"/>
      <c r="F30" s="188"/>
      <c r="G30" s="188"/>
      <c r="H30" s="188"/>
      <c r="J30" s="188"/>
      <c r="K30" s="188"/>
    </row>
    <row r="31" customFormat="false" ht="12.75" hidden="false" customHeight="false" outlineLevel="0" collapsed="false">
      <c r="C31" s="188"/>
      <c r="D31" s="188"/>
      <c r="E31" s="188"/>
      <c r="F31" s="188"/>
      <c r="G31" s="188"/>
      <c r="H31" s="188"/>
    </row>
    <row r="32" customFormat="false" ht="13.5" hidden="false" customHeight="false" outlineLevel="0" collapsed="false">
      <c r="C32" s="188"/>
      <c r="D32" s="188"/>
      <c r="E32" s="188"/>
      <c r="F32" s="188"/>
      <c r="G32" s="188"/>
      <c r="H32" s="188"/>
    </row>
    <row r="33" customFormat="false" ht="13.5" hidden="false" customHeight="false" outlineLevel="0" collapsed="false">
      <c r="C33" s="192" t="s">
        <v>155</v>
      </c>
      <c r="D33" s="192" t="s">
        <v>156</v>
      </c>
      <c r="E33" s="192" t="s">
        <v>157</v>
      </c>
      <c r="F33" s="193" t="s">
        <v>158</v>
      </c>
      <c r="G33" s="192" t="str">
        <f aca="false">G5</f>
        <v>J. Murray - 107062</v>
      </c>
      <c r="H33" s="192" t="s">
        <v>160</v>
      </c>
      <c r="I33" s="193"/>
      <c r="J33" s="192" t="s">
        <v>148</v>
      </c>
      <c r="K33" s="202"/>
      <c r="L33" s="192" t="s">
        <v>148</v>
      </c>
    </row>
    <row r="34" customFormat="false" ht="12.75" hidden="false" customHeight="false" outlineLevel="0" collapsed="false">
      <c r="C34" s="194"/>
      <c r="D34" s="194"/>
      <c r="E34" s="194"/>
      <c r="G34" s="194"/>
      <c r="H34" s="194"/>
      <c r="J34" s="195"/>
      <c r="K34" s="203"/>
      <c r="L34" s="195"/>
    </row>
    <row r="35" customFormat="false" ht="12.75" hidden="false" customHeight="false" outlineLevel="0" collapsed="false">
      <c r="A35" s="174" t="s">
        <v>163</v>
      </c>
      <c r="B35" s="174"/>
      <c r="C35" s="204" t="n">
        <f aca="false">'[2]2001 Int Legal billout'!C7</f>
        <v>0.0138079223989612</v>
      </c>
      <c r="D35" s="204"/>
      <c r="E35" s="205" t="n">
        <f aca="false">'[2]2001 Int Legal billout'!D7</f>
        <v>0</v>
      </c>
      <c r="F35" s="206" t="n">
        <f aca="false">'[2]2001 Int Legal billout'!E7</f>
        <v>0.0118350666225192</v>
      </c>
      <c r="G35" s="204"/>
      <c r="H35" s="204" t="n">
        <f aca="false">'[2]2001 Int Legal billout'!G7</f>
        <v>0</v>
      </c>
      <c r="I35" s="174"/>
      <c r="J35" s="204" t="n">
        <f aca="false">SUM(C35:H35)</f>
        <v>0.0256429890214804</v>
      </c>
      <c r="K35" s="207"/>
      <c r="L35" s="204" t="n">
        <f aca="false">+J35*12</f>
        <v>0.307715868257765</v>
      </c>
    </row>
    <row r="36" customFormat="false" ht="12.75" hidden="false" customHeight="false" outlineLevel="0" collapsed="false">
      <c r="A36" s="174"/>
      <c r="B36" s="174"/>
      <c r="C36" s="204"/>
      <c r="D36" s="196"/>
      <c r="E36" s="204"/>
      <c r="F36" s="206"/>
      <c r="G36" s="204"/>
      <c r="H36" s="204"/>
      <c r="I36" s="174"/>
      <c r="J36" s="204"/>
      <c r="K36" s="207"/>
      <c r="L36" s="204"/>
    </row>
    <row r="37" customFormat="false" ht="12.75" hidden="false" customHeight="false" outlineLevel="0" collapsed="false">
      <c r="A37" s="174" t="s">
        <v>164</v>
      </c>
      <c r="B37" s="174"/>
      <c r="C37" s="204" t="n">
        <f aca="false">'[2]2001 Int Legal billout'!C9</f>
        <v>0</v>
      </c>
      <c r="D37" s="196"/>
      <c r="E37" s="204" t="n">
        <f aca="false">'[2]2001 Int Legal billout'!D9</f>
        <v>0.0034129589554713</v>
      </c>
      <c r="F37" s="206" t="n">
        <f aca="false">'[2]2001 Int Legal billout'!E9</f>
        <v>0.0236701332450384</v>
      </c>
      <c r="G37" s="204"/>
      <c r="H37" s="204" t="n">
        <f aca="false">'[2]2001 Int Legal billout'!G9</f>
        <v>0.0943240118909663</v>
      </c>
      <c r="I37" s="174"/>
      <c r="J37" s="204" t="n">
        <f aca="false">SUM(C37:H37)</f>
        <v>0.121407104091476</v>
      </c>
      <c r="K37" s="207"/>
      <c r="L37" s="204" t="n">
        <f aca="false">+J37*12</f>
        <v>1.45688524909771</v>
      </c>
    </row>
    <row r="38" customFormat="false" ht="12.75" hidden="false" customHeight="false" outlineLevel="0" collapsed="false">
      <c r="A38" s="174"/>
      <c r="B38" s="174"/>
      <c r="C38" s="204"/>
      <c r="D38" s="196"/>
      <c r="E38" s="204"/>
      <c r="F38" s="206"/>
      <c r="G38" s="204"/>
      <c r="H38" s="204"/>
      <c r="I38" s="174"/>
      <c r="J38" s="204"/>
      <c r="K38" s="207"/>
      <c r="L38" s="204"/>
    </row>
    <row r="39" customFormat="false" ht="12.75" hidden="false" customHeight="false" outlineLevel="0" collapsed="false">
      <c r="A39" s="174" t="s">
        <v>165</v>
      </c>
      <c r="B39" s="174"/>
      <c r="C39" s="204" t="n">
        <f aca="false">'[2]2001 Int Legal billout'!C11</f>
        <v>0</v>
      </c>
      <c r="D39" s="196"/>
      <c r="E39" s="204" t="n">
        <f aca="false">'[2]2001 Int Legal billout'!D11</f>
        <v>0.00170647344975376</v>
      </c>
      <c r="F39" s="206" t="n">
        <f aca="false">'[2]2001 Int Legal billout'!E11</f>
        <v>0.00473402832125967</v>
      </c>
      <c r="G39" s="204" t="n">
        <f aca="false">100%/12</f>
        <v>0.0833333333333333</v>
      </c>
      <c r="H39" s="204" t="n">
        <f aca="false">'[2]2001 Int Legal billout'!G11</f>
        <v>0.0223819656689007</v>
      </c>
      <c r="I39" s="174"/>
      <c r="J39" s="204" t="n">
        <f aca="false">SUM(C39:H39)</f>
        <v>0.112155800773248</v>
      </c>
      <c r="K39" s="207"/>
      <c r="L39" s="204" t="n">
        <f aca="false">+J39*12</f>
        <v>1.34586960927897</v>
      </c>
    </row>
    <row r="40" customFormat="false" ht="12.75" hidden="false" customHeight="false" outlineLevel="0" collapsed="false">
      <c r="A40" s="174"/>
      <c r="B40" s="174"/>
      <c r="C40" s="204"/>
      <c r="D40" s="196"/>
      <c r="E40" s="204"/>
      <c r="F40" s="206"/>
      <c r="G40" s="204"/>
      <c r="H40" s="204"/>
      <c r="I40" s="174"/>
      <c r="J40" s="204"/>
      <c r="K40" s="207"/>
      <c r="L40" s="204"/>
    </row>
    <row r="41" customFormat="false" ht="12.75" hidden="false" customHeight="false" outlineLevel="0" collapsed="false">
      <c r="A41" s="174" t="s">
        <v>166</v>
      </c>
      <c r="B41" s="174"/>
      <c r="C41" s="204" t="n">
        <f aca="false">'[2]2001 Int Legal billout'!C13</f>
        <v>0</v>
      </c>
      <c r="D41" s="196"/>
      <c r="E41" s="205" t="n">
        <f aca="false">'[2]2001 Int Legal billout'!D13</f>
        <v>0</v>
      </c>
      <c r="F41" s="206" t="n">
        <f aca="false">'[2]2001 Int Legal billout'!E13</f>
        <v>0.00355052124094476</v>
      </c>
      <c r="G41" s="204"/>
      <c r="H41" s="204" t="n">
        <f aca="false">'[2]2001 Int Legal billout'!G13</f>
        <v>0</v>
      </c>
      <c r="I41" s="174"/>
      <c r="J41" s="204" t="n">
        <f aca="false">SUM(C41:H41)</f>
        <v>0.00355052124094476</v>
      </c>
      <c r="K41" s="207"/>
      <c r="L41" s="204" t="n">
        <f aca="false">+J41*12</f>
        <v>0.0426062548913371</v>
      </c>
    </row>
    <row r="42" customFormat="false" ht="12.75" hidden="false" customHeight="false" outlineLevel="0" collapsed="false">
      <c r="A42" s="174"/>
      <c r="B42" s="174"/>
      <c r="C42" s="204"/>
      <c r="D42" s="196"/>
      <c r="E42" s="204"/>
      <c r="F42" s="206"/>
      <c r="G42" s="204"/>
      <c r="H42" s="204"/>
      <c r="I42" s="174"/>
      <c r="J42" s="204"/>
      <c r="K42" s="207"/>
      <c r="L42" s="204"/>
    </row>
    <row r="43" customFormat="false" ht="12.75" hidden="false" customHeight="false" outlineLevel="0" collapsed="false">
      <c r="A43" s="174" t="s">
        <v>167</v>
      </c>
      <c r="B43" s="174"/>
      <c r="C43" s="204" t="n">
        <f aca="false">'[2]2001 Int Legal billout'!C15</f>
        <v>0</v>
      </c>
      <c r="D43" s="196"/>
      <c r="E43" s="204" t="n">
        <f aca="false">'[2]2001 Int Legal billout'!D15</f>
        <v>0.0034129589554713</v>
      </c>
      <c r="F43" s="206" t="n">
        <f aca="false">'[2]2001 Int Legal billout'!E15</f>
        <v>0.015385587863464</v>
      </c>
      <c r="G43" s="204"/>
      <c r="H43" s="204" t="n">
        <f aca="false">'[2]2001 Int Legal billout'!G15</f>
        <v>0.00159871264025083</v>
      </c>
      <c r="I43" s="174"/>
      <c r="J43" s="204" t="n">
        <f aca="false">SUM(C43:H43)</f>
        <v>0.0203972594591861</v>
      </c>
      <c r="K43" s="207"/>
      <c r="L43" s="204" t="n">
        <f aca="false">+J43*12</f>
        <v>0.244767113510233</v>
      </c>
    </row>
    <row r="44" customFormat="false" ht="12.75" hidden="false" customHeight="false" outlineLevel="0" collapsed="false">
      <c r="A44" s="174"/>
      <c r="B44" s="174"/>
      <c r="C44" s="204"/>
      <c r="D44" s="196"/>
      <c r="E44" s="204"/>
      <c r="F44" s="206"/>
      <c r="G44" s="204"/>
      <c r="H44" s="204"/>
      <c r="I44" s="174"/>
      <c r="J44" s="204"/>
      <c r="K44" s="207"/>
      <c r="L44" s="204"/>
    </row>
    <row r="45" customFormat="false" ht="12.75" hidden="false" customHeight="false" outlineLevel="0" collapsed="false">
      <c r="A45" s="174" t="s">
        <v>168</v>
      </c>
      <c r="B45" s="174"/>
      <c r="C45" s="204" t="n">
        <f aca="false">'[2]2001 Int Legal billout'!C17</f>
        <v>0</v>
      </c>
      <c r="D45" s="196"/>
      <c r="E45" s="204" t="n">
        <f aca="false">'[2]2001 Int Legal billout'!D17</f>
        <v>0.00170647344975376</v>
      </c>
      <c r="F45" s="206" t="n">
        <f aca="false">'[2]2001 Int Legal billout'!E17</f>
        <v>0.00118350708031492</v>
      </c>
      <c r="G45" s="204"/>
      <c r="H45" s="204" t="n">
        <f aca="false">'[2]2001 Int Legal billout'!G17</f>
        <v>0.00879291669772685</v>
      </c>
      <c r="I45" s="174"/>
      <c r="J45" s="204" t="n">
        <f aca="false">SUM(C45:H45)</f>
        <v>0.0116828972277955</v>
      </c>
      <c r="K45" s="207"/>
      <c r="L45" s="204" t="n">
        <f aca="false">+J45*12</f>
        <v>0.140194766733546</v>
      </c>
    </row>
    <row r="46" customFormat="false" ht="12.75" hidden="false" customHeight="false" outlineLevel="0" collapsed="false">
      <c r="A46" s="174"/>
      <c r="B46" s="174"/>
      <c r="C46" s="204"/>
      <c r="D46" s="196"/>
      <c r="E46" s="204"/>
      <c r="F46" s="206"/>
      <c r="G46" s="204"/>
      <c r="H46" s="204"/>
      <c r="I46" s="174"/>
      <c r="J46" s="204"/>
      <c r="K46" s="207"/>
      <c r="L46" s="204"/>
    </row>
    <row r="47" customFormat="false" ht="12.75" hidden="false" customHeight="false" outlineLevel="0" collapsed="false">
      <c r="A47" s="174" t="s">
        <v>169</v>
      </c>
      <c r="B47" s="174"/>
      <c r="C47" s="208" t="s">
        <v>175</v>
      </c>
      <c r="D47" s="204"/>
      <c r="E47" s="204" t="n">
        <f aca="false">'[2]2001 Int Legal billout'!D19</f>
        <v>0</v>
      </c>
      <c r="F47" s="206" t="n">
        <f aca="false">'[2]2001 Int Legal billout'!E19</f>
        <v>0</v>
      </c>
      <c r="G47" s="204"/>
      <c r="H47" s="204" t="n">
        <f aca="false">'[2]2001 Int Legal billout'!G19</f>
        <v>0</v>
      </c>
      <c r="I47" s="174"/>
      <c r="J47" s="204" t="n">
        <f aca="false">SUM(C47:H47)</f>
        <v>0</v>
      </c>
      <c r="K47" s="207"/>
      <c r="L47" s="204" t="n">
        <f aca="false">+J47*12</f>
        <v>0</v>
      </c>
    </row>
    <row r="48" customFormat="false" ht="12.75" hidden="false" customHeight="false" outlineLevel="0" collapsed="false">
      <c r="A48" s="174"/>
      <c r="B48" s="174"/>
      <c r="C48" s="204"/>
      <c r="D48" s="204"/>
      <c r="E48" s="204"/>
      <c r="F48" s="206"/>
      <c r="G48" s="204"/>
      <c r="H48" s="204"/>
      <c r="I48" s="174"/>
      <c r="J48" s="204"/>
      <c r="K48" s="207"/>
      <c r="L48" s="204"/>
    </row>
    <row r="49" customFormat="false" ht="12.75" hidden="false" customHeight="false" outlineLevel="0" collapsed="false">
      <c r="A49" s="174" t="s">
        <v>173</v>
      </c>
      <c r="B49" s="174"/>
      <c r="C49" s="204" t="n">
        <f aca="false">0.05/12</f>
        <v>0.00416666666666667</v>
      </c>
      <c r="D49" s="209"/>
      <c r="E49" s="204"/>
      <c r="F49" s="206"/>
      <c r="G49" s="204"/>
      <c r="H49" s="204"/>
      <c r="I49" s="174"/>
      <c r="J49" s="204" t="n">
        <f aca="false">SUM(C49:H49)</f>
        <v>0.00416666666666667</v>
      </c>
      <c r="K49" s="207"/>
      <c r="L49" s="204" t="n">
        <f aca="false">+J49*12</f>
        <v>0.05</v>
      </c>
    </row>
    <row r="50" customFormat="false" ht="12.75" hidden="false" customHeight="false" outlineLevel="0" collapsed="false">
      <c r="A50" s="174"/>
      <c r="B50" s="174"/>
      <c r="C50" s="204"/>
      <c r="D50" s="209"/>
      <c r="E50" s="204"/>
      <c r="F50" s="206"/>
      <c r="G50" s="204"/>
      <c r="H50" s="204"/>
      <c r="I50" s="174"/>
      <c r="J50" s="204"/>
      <c r="K50" s="207"/>
      <c r="L50" s="204"/>
    </row>
    <row r="51" customFormat="false" ht="12.75" hidden="false" customHeight="false" outlineLevel="0" collapsed="false">
      <c r="A51" s="174" t="s">
        <v>171</v>
      </c>
      <c r="B51" s="174"/>
      <c r="C51" s="204"/>
      <c r="D51" s="208" t="s">
        <v>176</v>
      </c>
      <c r="E51" s="204" t="n">
        <v>0</v>
      </c>
      <c r="F51" s="206" t="n">
        <v>0</v>
      </c>
      <c r="G51" s="204"/>
      <c r="H51" s="204" t="n">
        <v>0</v>
      </c>
      <c r="I51" s="174"/>
      <c r="J51" s="204" t="n">
        <f aca="false">SUM(C51:H51)</f>
        <v>0</v>
      </c>
      <c r="K51" s="207"/>
      <c r="L51" s="204" t="n">
        <f aca="false">+J51*12</f>
        <v>0</v>
      </c>
    </row>
    <row r="52" customFormat="false" ht="12.75" hidden="false" customHeight="false" outlineLevel="0" collapsed="false">
      <c r="A52" s="174"/>
      <c r="B52" s="174"/>
      <c r="C52" s="204"/>
      <c r="D52" s="204"/>
      <c r="E52" s="204"/>
      <c r="F52" s="38"/>
      <c r="G52" s="204"/>
      <c r="H52" s="204"/>
      <c r="I52" s="174"/>
      <c r="J52" s="210"/>
      <c r="K52" s="207"/>
      <c r="L52" s="210"/>
    </row>
    <row r="53" customFormat="false" ht="13.5" hidden="false" customHeight="false" outlineLevel="0" collapsed="false">
      <c r="A53" s="174"/>
      <c r="B53" s="174"/>
      <c r="C53" s="196"/>
      <c r="D53" s="196"/>
      <c r="E53" s="204"/>
      <c r="F53" s="38"/>
      <c r="G53" s="204"/>
      <c r="H53" s="204"/>
      <c r="I53" s="174"/>
      <c r="J53" s="210"/>
      <c r="K53" s="207"/>
      <c r="L53" s="210"/>
    </row>
    <row r="54" customFormat="false" ht="13.5" hidden="false" customHeight="false" outlineLevel="0" collapsed="false">
      <c r="A54" s="197" t="s">
        <v>148</v>
      </c>
      <c r="C54" s="211" t="n">
        <f aca="false">SUM(C35:C51)</f>
        <v>0.0179745890656279</v>
      </c>
      <c r="D54" s="212"/>
      <c r="E54" s="212" t="n">
        <f aca="false">SUM(E35:E52)</f>
        <v>0.0102388648104501</v>
      </c>
      <c r="F54" s="213" t="n">
        <f aca="false">SUM(F35:F52)</f>
        <v>0.060358844373541</v>
      </c>
      <c r="G54" s="213" t="n">
        <f aca="false">SUM(G35:G52)</f>
        <v>0.0833333333333333</v>
      </c>
      <c r="H54" s="212" t="n">
        <f aca="false">SUM(H35:H52)</f>
        <v>0.127097606897845</v>
      </c>
      <c r="I54" s="200"/>
      <c r="J54" s="212" t="n">
        <f aca="false">SUM(J35:J52)</f>
        <v>0.299003238480797</v>
      </c>
      <c r="K54" s="207"/>
      <c r="L54" s="212" t="n">
        <f aca="false">SUM(L35:L52)</f>
        <v>3.58803886176956</v>
      </c>
    </row>
    <row r="55" customFormat="false" ht="12.75" hidden="false" customHeight="false" outlineLevel="0" collapsed="false">
      <c r="C55" s="188"/>
      <c r="D55" s="188"/>
      <c r="E55" s="188"/>
      <c r="F55" s="188"/>
      <c r="G55" s="214" t="s">
        <v>177</v>
      </c>
      <c r="H55" s="188"/>
    </row>
    <row r="56" customFormat="false" ht="12.75" hidden="false" customHeight="false" outlineLevel="0" collapsed="false">
      <c r="C56" s="188"/>
      <c r="D56" s="188"/>
      <c r="E56" s="188"/>
      <c r="F56" s="188"/>
      <c r="G56" s="188"/>
      <c r="H56" s="188"/>
    </row>
    <row r="57" customFormat="false" ht="12.75" hidden="false" customHeight="false" outlineLevel="0" collapsed="false">
      <c r="A57" s="0" t="s">
        <v>178</v>
      </c>
      <c r="C57" s="188"/>
      <c r="D57" s="188"/>
      <c r="E57" s="188"/>
      <c r="F57" s="188"/>
      <c r="G57" s="188"/>
      <c r="H57" s="188"/>
    </row>
    <row r="58" customFormat="false" ht="12.75" hidden="false" customHeight="false" outlineLevel="0" collapsed="false">
      <c r="A58" s="0" t="s">
        <v>179</v>
      </c>
      <c r="C58" s="188"/>
      <c r="D58" s="188"/>
      <c r="E58" s="188"/>
      <c r="F58" s="188"/>
      <c r="G58" s="188"/>
      <c r="H58" s="188"/>
    </row>
    <row r="59" customFormat="false" ht="12.75" hidden="false" customHeight="false" outlineLevel="0" collapsed="false">
      <c r="A59" s="0" t="s">
        <v>180</v>
      </c>
      <c r="C59" s="188"/>
      <c r="D59" s="188"/>
      <c r="E59" s="188"/>
      <c r="F59" s="188"/>
      <c r="G59" s="188"/>
      <c r="H59" s="188"/>
    </row>
    <row r="60" customFormat="false" ht="12.75" hidden="false" customHeight="false" outlineLevel="0" collapsed="false">
      <c r="A60" s="0" t="s">
        <v>181</v>
      </c>
      <c r="C60" s="188"/>
      <c r="D60" s="188"/>
      <c r="E60" s="188"/>
      <c r="F60" s="188"/>
      <c r="G60" s="188"/>
      <c r="H60" s="188"/>
      <c r="M60" s="215" t="str">
        <f aca="true">CELL("filename",A1)</f>
        <v>'file:///mnt/12tb/@roms/datasets/enron/EDRM Enron Email Data Set v2 XML/filtered-attachments/xls/2002_Legal_9.20.xls'#$2002 Plan interna legal</v>
      </c>
    </row>
    <row r="61" customFormat="false" ht="12.75" hidden="false" customHeight="false" outlineLevel="0" collapsed="false">
      <c r="C61" s="188"/>
      <c r="D61" s="188"/>
      <c r="E61" s="188"/>
      <c r="F61" s="188"/>
      <c r="G61" s="188"/>
      <c r="H61" s="188"/>
    </row>
    <row r="62" customFormat="false" ht="12.75" hidden="false" customHeight="false" outlineLevel="0" collapsed="false">
      <c r="A62" s="216"/>
      <c r="B62" s="174"/>
      <c r="C62" s="188"/>
      <c r="D62" s="188"/>
      <c r="E62" s="188"/>
      <c r="F62" s="188"/>
      <c r="G62" s="188"/>
      <c r="H62" s="188"/>
    </row>
    <row r="63" customFormat="false" ht="12.75" hidden="false" customHeight="false" outlineLevel="0" collapsed="false">
      <c r="A63" s="216"/>
      <c r="B63" s="174"/>
      <c r="C63" s="188"/>
      <c r="D63" s="188"/>
      <c r="E63" s="188"/>
      <c r="F63" s="188"/>
      <c r="G63" s="188"/>
      <c r="H63" s="188"/>
    </row>
    <row r="64" customFormat="false" ht="12.75" hidden="false" customHeight="false" outlineLevel="0" collapsed="false">
      <c r="A64" s="216"/>
      <c r="B64" s="174"/>
      <c r="C64" s="188"/>
      <c r="D64" s="188"/>
      <c r="E64" s="188"/>
      <c r="F64" s="188"/>
      <c r="G64" s="188"/>
      <c r="H64" s="188"/>
    </row>
    <row r="65" customFormat="false" ht="12.75" hidden="false" customHeight="false" outlineLevel="0" collapsed="false">
      <c r="A65" s="174"/>
      <c r="B65" s="174"/>
      <c r="C65" s="188"/>
      <c r="D65" s="188"/>
      <c r="E65" s="188"/>
      <c r="F65" s="188"/>
      <c r="G65" s="188"/>
      <c r="H65" s="188"/>
    </row>
    <row r="66" customFormat="false" ht="12.75" hidden="false" customHeight="false" outlineLevel="0" collapsed="false">
      <c r="C66" s="188"/>
      <c r="D66" s="188"/>
      <c r="E66" s="188"/>
      <c r="F66" s="188"/>
      <c r="G66" s="188"/>
      <c r="H66" s="188"/>
    </row>
    <row r="67" customFormat="false" ht="12.75" hidden="false" customHeight="false" outlineLevel="0" collapsed="false">
      <c r="C67" s="188"/>
      <c r="D67" s="188"/>
      <c r="E67" s="188"/>
      <c r="F67" s="188"/>
      <c r="G67" s="188"/>
      <c r="H67" s="188"/>
    </row>
    <row r="68" customFormat="false" ht="12.75" hidden="false" customHeight="false" outlineLevel="0" collapsed="false">
      <c r="C68" s="188"/>
      <c r="D68" s="188"/>
      <c r="E68" s="188"/>
      <c r="F68" s="188"/>
      <c r="G68" s="188"/>
      <c r="H68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1: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39.85"/>
    <col collapsed="false" customWidth="true" hidden="true" outlineLevel="0" max="3" min="3" style="0" width="9.14"/>
    <col collapsed="false" customWidth="true" hidden="false" outlineLevel="0" max="4" min="4" style="0" width="13.99"/>
    <col collapsed="false" customWidth="true" hidden="true" outlineLevel="0" max="5" min="5" style="0" width="22.28"/>
    <col collapsed="false" customWidth="true" hidden="true" outlineLevel="0" max="6" min="6" style="0" width="18.14"/>
    <col collapsed="false" customWidth="true" hidden="true" outlineLevel="0" max="7" min="7" style="0" width="17.56"/>
    <col collapsed="false" customWidth="true" hidden="true" outlineLevel="0" max="8" min="8" style="0" width="19.41"/>
    <col collapsed="false" customWidth="true" hidden="true" outlineLevel="0" max="9" min="9" style="0" width="14.28"/>
    <col collapsed="false" customWidth="true" hidden="true" outlineLevel="0" max="10" min="10" style="0" width="25.56"/>
    <col collapsed="false" customWidth="true" hidden="true" outlineLevel="0" max="11" min="11" style="0" width="20.13"/>
    <col collapsed="false" customWidth="true" hidden="true" outlineLevel="0" max="12" min="12" style="0" width="13.56"/>
    <col collapsed="false" customWidth="true" hidden="false" outlineLevel="0" max="14" min="14" style="0" width="13.99"/>
    <col collapsed="false" customWidth="true" hidden="false" outlineLevel="0" max="15" min="15" style="1" width="1.99"/>
    <col collapsed="false" customWidth="true" hidden="false" outlineLevel="0" max="16" min="16" style="0" width="13.99"/>
    <col collapsed="false" customWidth="true" hidden="false" outlineLevel="0" max="17" min="17" style="0" width="1.99"/>
    <col collapsed="false" customWidth="true" hidden="false" outlineLevel="0" max="18" min="18" style="0" width="9.28"/>
  </cols>
  <sheetData>
    <row r="1" customFormat="false" ht="12.75" hidden="false" customHeight="false" outlineLevel="0" collapsed="false">
      <c r="A1" s="191" t="s">
        <v>182</v>
      </c>
    </row>
    <row r="2" customFormat="false" ht="12.75" hidden="false" customHeight="false" outlineLevel="0" collapsed="false">
      <c r="A2" s="191" t="s">
        <v>183</v>
      </c>
    </row>
    <row r="3" customFormat="false" ht="12.75" hidden="false" customHeight="false" outlineLevel="0" collapsed="false">
      <c r="A3" s="191"/>
    </row>
    <row r="4" customFormat="false" ht="13.5" hidden="false" customHeight="false" outlineLevel="0" collapsed="false">
      <c r="A4" s="3" t="str">
        <f aca="true">CELL("filename",A1)</f>
        <v>'file:///mnt/12tb/@roms/datasets/enron/EDRM Enron Email Data Set v2 XML/filtered-attachments/xls/2002_Legal_9.20.xls'#$2002 Plan-external legal</v>
      </c>
      <c r="N4" s="29" t="n">
        <f aca="false">+P4-D73</f>
        <v>8715674.59</v>
      </c>
      <c r="O4" s="4"/>
      <c r="P4" s="217" t="n">
        <f aca="false">31100000-SUM(P74:P76)</f>
        <v>20450000</v>
      </c>
    </row>
    <row r="5" customFormat="false" ht="30.75" hidden="false" customHeight="true" outlineLevel="0" collapsed="false">
      <c r="A5" s="218" t="s">
        <v>3</v>
      </c>
      <c r="B5" s="219" t="s">
        <v>184</v>
      </c>
      <c r="C5" s="220" t="s">
        <v>185</v>
      </c>
      <c r="D5" s="221" t="s">
        <v>186</v>
      </c>
      <c r="E5" s="222" t="s">
        <v>187</v>
      </c>
      <c r="F5" s="219" t="s">
        <v>188</v>
      </c>
      <c r="G5" s="220" t="s">
        <v>189</v>
      </c>
      <c r="H5" s="219" t="s">
        <v>190</v>
      </c>
      <c r="I5" s="222" t="s">
        <v>191</v>
      </c>
      <c r="J5" s="219" t="s">
        <v>192</v>
      </c>
      <c r="K5" s="223" t="s">
        <v>193</v>
      </c>
      <c r="L5" s="223" t="s">
        <v>194</v>
      </c>
      <c r="M5" s="224"/>
      <c r="N5" s="221" t="s">
        <v>195</v>
      </c>
      <c r="O5" s="225"/>
      <c r="P5" s="221" t="s">
        <v>2</v>
      </c>
      <c r="Q5" s="224"/>
      <c r="R5" s="224"/>
    </row>
    <row r="6" customFormat="false" ht="11.25" hidden="false" customHeight="false" outlineLevel="0" collapsed="false">
      <c r="A6" s="226" t="n">
        <v>100055</v>
      </c>
      <c r="B6" s="227" t="s">
        <v>196</v>
      </c>
      <c r="C6" s="228"/>
      <c r="D6" s="229" t="n">
        <v>607513.29</v>
      </c>
      <c r="E6" s="230" t="n">
        <f aca="false">+'[2]Jan ext legal'!E5+'[2]Feb ext legal'!E5+'[2]Mar ext legal'!E5+'[2]Apr ext legal'!E5+'[2]May ext legal'!E5+'[2]Jun ext legal'!E5+'[2]Jul ext legal'!E5</f>
        <v>607513.29</v>
      </c>
      <c r="F6" s="231" t="n">
        <f aca="false">+'[2]Jan ext legal'!F5+'[2]Feb ext legal'!F5+'[2]Mar ext legal'!F5+'[2]Apr ext legal'!F5+'[2]May ext legal'!F5+'[2]Jun ext legal'!F5+'[2]Jul ext legal'!F5</f>
        <v>0</v>
      </c>
      <c r="G6" s="230" t="n">
        <f aca="false">+'[2]Jan ext legal'!G5+'[2]Feb ext legal'!G5+'[2]Mar ext legal'!G5+'[2]Apr ext legal'!G5+'[2]May ext legal'!G5+'[2]Jun ext legal'!G5+'[2]Jul ext legal'!G5</f>
        <v>0</v>
      </c>
      <c r="H6" s="231" t="n">
        <f aca="false">+'[2]Jan ext legal'!H5+'[2]Feb ext legal'!H5+'[2]Mar ext legal'!H5+'[2]Apr ext legal'!H5+'[2]May ext legal'!H5+'[2]Jun ext legal'!H5+'[2]Jul ext legal'!H5</f>
        <v>0</v>
      </c>
      <c r="I6" s="230" t="n">
        <f aca="false">+'[2]Jan ext legal'!I5+'[2]Feb ext legal'!I5+'[2]Mar ext legal'!I5+'[2]Apr ext legal'!I5+'[2]May ext legal'!I5+'[2]Jun ext legal'!I5+'[2]Jul ext legal'!I5</f>
        <v>0</v>
      </c>
      <c r="J6" s="231" t="n">
        <f aca="false">+'[2]Jan ext legal'!K5+'[2]Feb ext legal'!K5+'[2]Mar ext legal'!K5+'[2]Apr ext legal'!K5+'[2]May ext legal'!K5+'[2]Jun ext legal'!K5+'[2]Jul ext legal'!K5</f>
        <v>0</v>
      </c>
      <c r="K6" s="231" t="n">
        <f aca="false">+'[2]Jan ext legal'!L5+'[2]Feb ext legal'!L5+'[2]Mar ext legal'!L5+'[2]Apr ext legal'!L5+'[2]May ext legal'!L5+'[2]Jun ext legal'!L5+'[2]Jul ext legal'!L5</f>
        <v>0</v>
      </c>
      <c r="L6" s="231" t="n">
        <f aca="false">+'[2]Jan ext legal'!M5+'[2]Feb ext legal'!M5+'[2]Mar ext legal'!M5+'[2]Apr ext legal'!M5+'[2]May ext legal'!M5+'[2]Jun ext legal'!M5+'[2]Jul ext legal'!M5</f>
        <v>0</v>
      </c>
      <c r="M6" s="232" t="n">
        <f aca="false">+D6/D$73</f>
        <v>0.051772323399373</v>
      </c>
      <c r="N6" s="232" t="n">
        <f aca="false">+N$4*M6</f>
        <v>451230.723517178</v>
      </c>
      <c r="O6" s="233"/>
      <c r="P6" s="232" t="n">
        <f aca="false">SUM(D6+N6)</f>
        <v>1058744.01351718</v>
      </c>
      <c r="Q6" s="16"/>
      <c r="R6" s="16"/>
    </row>
    <row r="7" customFormat="false" ht="11.25" hidden="false" customHeight="false" outlineLevel="0" collapsed="false">
      <c r="A7" s="234" t="n">
        <v>100106</v>
      </c>
      <c r="B7" s="16" t="s">
        <v>197</v>
      </c>
      <c r="C7" s="16" t="s">
        <v>198</v>
      </c>
      <c r="D7" s="235" t="n">
        <v>0</v>
      </c>
      <c r="E7" s="19" t="n">
        <f aca="false">+'[2]Jan ext legal'!E6+'[2]Feb ext legal'!E6+'[2]Mar ext legal'!E6+'[2]Apr ext legal'!E6+'[2]May ext legal'!E6+'[2]Jun ext legal'!E6+'[2]Jul ext legal'!E6</f>
        <v>0</v>
      </c>
      <c r="F7" s="236" t="n">
        <f aca="false">+'[2]Jan ext legal'!F6+'[2]Feb ext legal'!F6+'[2]Mar ext legal'!F6+'[2]Apr ext legal'!F6+'[2]May ext legal'!F6+'[2]Jun ext legal'!F6+'[2]Jul ext legal'!F6</f>
        <v>0</v>
      </c>
      <c r="G7" s="19" t="n">
        <f aca="false">+'[2]Jan ext legal'!G6+'[2]Feb ext legal'!G6+'[2]Mar ext legal'!G6+'[2]Apr ext legal'!G6+'[2]May ext legal'!G6+'[2]Jun ext legal'!G6+'[2]Jul ext legal'!G6</f>
        <v>0</v>
      </c>
      <c r="H7" s="236" t="n">
        <f aca="false">+'[2]Jan ext legal'!H6+'[2]Feb ext legal'!H6+'[2]Mar ext legal'!H6+'[2]Apr ext legal'!H6+'[2]May ext legal'!H6+'[2]Jun ext legal'!H6+'[2]Jul ext legal'!H6</f>
        <v>0</v>
      </c>
      <c r="I7" s="19" t="n">
        <f aca="false">+'[2]Jan ext legal'!I6+'[2]Feb ext legal'!I6+'[2]Mar ext legal'!I6+'[2]Apr ext legal'!I6+'[2]May ext legal'!I6+'[2]Jun ext legal'!I6+'[2]Jul ext legal'!I6</f>
        <v>0</v>
      </c>
      <c r="J7" s="236" t="n">
        <f aca="false">+'[2]Jan ext legal'!K6+'[2]Feb ext legal'!K6+'[2]Mar ext legal'!K6+'[2]Apr ext legal'!K6+'[2]May ext legal'!K6+'[2]Jun ext legal'!K6+'[2]Jul ext legal'!K6</f>
        <v>0</v>
      </c>
      <c r="K7" s="236" t="n">
        <f aca="false">+'[2]Jan ext legal'!L6+'[2]Feb ext legal'!L6+'[2]Mar ext legal'!L6+'[2]Apr ext legal'!L6+'[2]May ext legal'!L6+'[2]Jun ext legal'!L6+'[2]Jul ext legal'!L6</f>
        <v>0</v>
      </c>
      <c r="L7" s="236" t="n">
        <f aca="false">+'[2]Jan ext legal'!M6+'[2]Feb ext legal'!M6+'[2]Mar ext legal'!M6+'[2]Apr ext legal'!M6+'[2]May ext legal'!M6+'[2]Jun ext legal'!M6+'[2]Jul ext legal'!M6</f>
        <v>0</v>
      </c>
      <c r="M7" s="13" t="n">
        <f aca="false">+D7/D$73</f>
        <v>0</v>
      </c>
      <c r="N7" s="13" t="n">
        <f aca="false">+N$4*M7</f>
        <v>0</v>
      </c>
      <c r="O7" s="15"/>
      <c r="P7" s="13" t="n">
        <f aca="false">SUM(D7+N7)</f>
        <v>0</v>
      </c>
      <c r="Q7" s="16"/>
      <c r="R7" s="16"/>
    </row>
    <row r="8" customFormat="false" ht="11.25" hidden="false" customHeight="false" outlineLevel="0" collapsed="false">
      <c r="A8" s="226" t="n">
        <v>100663</v>
      </c>
      <c r="B8" s="227" t="s">
        <v>199</v>
      </c>
      <c r="C8" s="227" t="s">
        <v>198</v>
      </c>
      <c r="D8" s="229" t="n">
        <v>436924.23</v>
      </c>
      <c r="E8" s="230" t="n">
        <f aca="false">+'[2]Jan ext legal'!E7+'[2]Feb ext legal'!E7+'[2]Mar ext legal'!E7+'[2]Apr ext legal'!E7+'[2]May ext legal'!E7+'[2]Jun ext legal'!E7+'[2]Jul ext legal'!E7</f>
        <v>0</v>
      </c>
      <c r="F8" s="231" t="n">
        <f aca="false">+'[2]Jan ext legal'!F7+'[2]Feb ext legal'!F7+'[2]Mar ext legal'!F7+'[2]Apr ext legal'!F7+'[2]May ext legal'!F7+'[2]Jun ext legal'!F7+'[2]Jul ext legal'!F7</f>
        <v>0</v>
      </c>
      <c r="G8" s="230" t="n">
        <f aca="false">+'[2]Jan ext legal'!G7+'[2]Feb ext legal'!G7+'[2]Mar ext legal'!G7+'[2]Apr ext legal'!G7+'[2]May ext legal'!G7+'[2]Jun ext legal'!G7+'[2]Jul ext legal'!G7</f>
        <v>240967.85</v>
      </c>
      <c r="H8" s="231" t="n">
        <f aca="false">+'[2]Jan ext legal'!H7+'[2]Feb ext legal'!H7+'[2]Mar ext legal'!H7+'[2]Apr ext legal'!H7+'[2]May ext legal'!H7+'[2]Jun ext legal'!H7+'[2]Jul ext legal'!H7</f>
        <v>10621.78</v>
      </c>
      <c r="I8" s="230" t="n">
        <f aca="false">+'[2]Jan ext legal'!I7+'[2]Feb ext legal'!I7+'[2]Mar ext legal'!I7+'[2]Apr ext legal'!I7+'[2]May ext legal'!I7+'[2]Jun ext legal'!I7+'[2]Jul ext legal'!I7</f>
        <v>177674.08</v>
      </c>
      <c r="J8" s="231" t="n">
        <f aca="false">+'[2]Jan ext legal'!K7+'[2]Feb ext legal'!K7+'[2]Mar ext legal'!K7+'[2]Apr ext legal'!K7+'[2]May ext legal'!K7+'[2]Jun ext legal'!K7+'[2]Jul ext legal'!K7</f>
        <v>7660.52</v>
      </c>
      <c r="K8" s="231" t="n">
        <f aca="false">+'[2]Jan ext legal'!L7+'[2]Feb ext legal'!L7+'[2]Mar ext legal'!L7+'[2]Apr ext legal'!L7+'[2]May ext legal'!L7+'[2]Jun ext legal'!L7+'[2]Jul ext legal'!L7</f>
        <v>0</v>
      </c>
      <c r="L8" s="231" t="n">
        <f aca="false">+'[2]Jan ext legal'!M7+'[2]Feb ext legal'!M7+'[2]Mar ext legal'!M7+'[2]Apr ext legal'!M7+'[2]May ext legal'!M7+'[2]Jun ext legal'!M7+'[2]Jul ext legal'!M7</f>
        <v>0</v>
      </c>
      <c r="M8" s="232" t="n">
        <f aca="false">+D8/D$73</f>
        <v>0.0372347122423972</v>
      </c>
      <c r="N8" s="232" t="n">
        <f aca="false">+N$4*M8</f>
        <v>324525.635357024</v>
      </c>
      <c r="O8" s="233"/>
      <c r="P8" s="232" t="n">
        <f aca="false">SUM(D8+N8)</f>
        <v>761449.865357023</v>
      </c>
      <c r="Q8" s="16"/>
      <c r="R8" s="16"/>
    </row>
    <row r="9" customFormat="false" ht="11.25" hidden="false" customHeight="false" outlineLevel="0" collapsed="false">
      <c r="A9" s="226" t="n">
        <v>102564</v>
      </c>
      <c r="B9" s="227" t="s">
        <v>200</v>
      </c>
      <c r="C9" s="227" t="s">
        <v>198</v>
      </c>
      <c r="D9" s="229" t="n">
        <v>3841.81</v>
      </c>
      <c r="E9" s="230" t="n">
        <f aca="false">+'[2]Jan ext legal'!E8+'[2]Feb ext legal'!E8+'[2]Mar ext legal'!E8+'[2]Apr ext legal'!E8+'[2]May ext legal'!E8+'[2]Jun ext legal'!E8+'[2]Jul ext legal'!E8</f>
        <v>0</v>
      </c>
      <c r="F9" s="231" t="n">
        <f aca="false">+'[2]Jan ext legal'!F8+'[2]Feb ext legal'!F8+'[2]Mar ext legal'!F8+'[2]Apr ext legal'!F8+'[2]May ext legal'!F8+'[2]Jun ext legal'!F8+'[2]Jul ext legal'!F8</f>
        <v>0</v>
      </c>
      <c r="G9" s="230" t="n">
        <f aca="false">+'[2]Jan ext legal'!G8+'[2]Feb ext legal'!G8+'[2]Mar ext legal'!G8+'[2]Apr ext legal'!G8+'[2]May ext legal'!G8+'[2]Jun ext legal'!G8+'[2]Jul ext legal'!G8</f>
        <v>0</v>
      </c>
      <c r="H9" s="231" t="n">
        <f aca="false">+'[2]Jan ext legal'!H8+'[2]Feb ext legal'!H8+'[2]Mar ext legal'!H8+'[2]Apr ext legal'!H8+'[2]May ext legal'!H8+'[2]Jun ext legal'!H8+'[2]Jul ext legal'!H8</f>
        <v>0</v>
      </c>
      <c r="I9" s="230" t="n">
        <f aca="false">+'[2]Jan ext legal'!I8+'[2]Feb ext legal'!I8+'[2]Mar ext legal'!I8+'[2]Apr ext legal'!I8+'[2]May ext legal'!I8+'[2]Jun ext legal'!I8+'[2]Jul ext legal'!I8</f>
        <v>3841.81</v>
      </c>
      <c r="J9" s="231" t="n">
        <f aca="false">+'[2]Jan ext legal'!K8+'[2]Feb ext legal'!K8+'[2]Mar ext legal'!K8+'[2]Apr ext legal'!K8+'[2]May ext legal'!K8+'[2]Jun ext legal'!K8+'[2]Jul ext legal'!K8</f>
        <v>0</v>
      </c>
      <c r="K9" s="231" t="n">
        <f aca="false">+'[2]Jan ext legal'!L8+'[2]Feb ext legal'!L8+'[2]Mar ext legal'!L8+'[2]Apr ext legal'!L8+'[2]May ext legal'!L8+'[2]Jun ext legal'!L8+'[2]Jul ext legal'!L8</f>
        <v>0</v>
      </c>
      <c r="L9" s="231" t="n">
        <f aca="false">+'[2]Jan ext legal'!M8+'[2]Feb ext legal'!M8+'[2]Mar ext legal'!M8+'[2]Apr ext legal'!M8+'[2]May ext legal'!M8+'[2]Jun ext legal'!M8+'[2]Jul ext legal'!M8</f>
        <v>0</v>
      </c>
      <c r="M9" s="232" t="n">
        <f aca="false">+D9/D$73</f>
        <v>0.000327399306373932</v>
      </c>
      <c r="N9" s="232" t="n">
        <f aca="false">+N$4*M9</f>
        <v>2853.5058153469</v>
      </c>
      <c r="O9" s="233"/>
      <c r="P9" s="232" t="n">
        <f aca="false">SUM(D9+N9)</f>
        <v>6695.3158153469</v>
      </c>
      <c r="Q9" s="16"/>
      <c r="R9" s="16"/>
    </row>
    <row r="10" customFormat="false" ht="11.25" hidden="false" customHeight="false" outlineLevel="0" collapsed="false">
      <c r="A10" s="226" t="n">
        <v>103478</v>
      </c>
      <c r="B10" s="227" t="s">
        <v>201</v>
      </c>
      <c r="C10" s="227" t="s">
        <v>198</v>
      </c>
      <c r="D10" s="229" t="n">
        <v>0</v>
      </c>
      <c r="E10" s="230" t="n">
        <v>0</v>
      </c>
      <c r="F10" s="231" t="n">
        <f aca="false">+'[2]Jan ext legal'!F9+'[2]Feb ext legal'!F9+'[2]Mar ext legal'!F9+'[2]Apr ext legal'!F9+'[2]May ext legal'!F9+'[2]Jun ext legal'!F9+'[2]Jul ext legal'!F9</f>
        <v>17528.4</v>
      </c>
      <c r="G10" s="230" t="n">
        <f aca="false">+'[2]Jan ext legal'!G9+'[2]Feb ext legal'!G9+'[2]Mar ext legal'!G9+'[2]Apr ext legal'!G9+'[2]May ext legal'!G9+'[2]Jun ext legal'!G9+'[2]Jul ext legal'!G9</f>
        <v>0</v>
      </c>
      <c r="H10" s="231" t="n">
        <f aca="false">+'[2]Jan ext legal'!H9+'[2]Feb ext legal'!H9+'[2]Mar ext legal'!H9+'[2]Apr ext legal'!H9+'[2]May ext legal'!H9+'[2]Jun ext legal'!H9+'[2]Jul ext legal'!H9</f>
        <v>0</v>
      </c>
      <c r="I10" s="230" t="n">
        <f aca="false">+'[2]Jan ext legal'!I9+'[2]Feb ext legal'!I9+'[2]Mar ext legal'!I9+'[2]Apr ext legal'!I9+'[2]May ext legal'!I9+'[2]Jun ext legal'!I9+'[2]Jul ext legal'!I9</f>
        <v>0</v>
      </c>
      <c r="J10" s="231" t="n">
        <f aca="false">+'[2]Jan ext legal'!K9+'[2]Feb ext legal'!K9+'[2]Mar ext legal'!K9+'[2]Apr ext legal'!K9+'[2]May ext legal'!K9+'[2]Jun ext legal'!K9+'[2]Jul ext legal'!K9</f>
        <v>0</v>
      </c>
      <c r="K10" s="231" t="n">
        <f aca="false">+'[2]Jan ext legal'!L9+'[2]Feb ext legal'!L9+'[2]Mar ext legal'!L9+'[2]Apr ext legal'!L9+'[2]May ext legal'!L9+'[2]Jun ext legal'!L9+'[2]Jul ext legal'!L9</f>
        <v>0</v>
      </c>
      <c r="L10" s="231" t="n">
        <f aca="false">+'[2]Jan ext legal'!M9+'[2]Feb ext legal'!M9+'[2]Mar ext legal'!M9+'[2]Apr ext legal'!M9+'[2]May ext legal'!M9+'[2]Jun ext legal'!M9+'[2]Jul ext legal'!M9</f>
        <v>7792.82</v>
      </c>
      <c r="M10" s="232" t="n">
        <f aca="false">+D10/D$73</f>
        <v>0</v>
      </c>
      <c r="N10" s="232" t="n">
        <f aca="false">+N$4*M10</f>
        <v>0</v>
      </c>
      <c r="O10" s="233"/>
      <c r="P10" s="232" t="n">
        <f aca="false">SUM(D10+N10)</f>
        <v>0</v>
      </c>
      <c r="Q10" s="16"/>
      <c r="R10" s="16"/>
    </row>
    <row r="11" customFormat="false" ht="11.25" hidden="false" customHeight="false" outlineLevel="0" collapsed="false">
      <c r="A11" s="226" t="n">
        <v>105168</v>
      </c>
      <c r="B11" s="227" t="s">
        <v>202</v>
      </c>
      <c r="C11" s="227" t="s">
        <v>198</v>
      </c>
      <c r="D11" s="229" t="n">
        <v>28862.77</v>
      </c>
      <c r="E11" s="230" t="n">
        <f aca="false">+'[2]Jan ext legal'!E11+'[2]Feb ext legal'!E11+'[2]Mar ext legal'!E11+'[2]Apr ext legal'!E11+'[2]May ext legal'!E11+'[2]Jun ext legal'!E11+'[2]Jul ext legal'!E11</f>
        <v>0</v>
      </c>
      <c r="F11" s="231" t="n">
        <f aca="false">+'[2]Jan ext legal'!F11+'[2]Feb ext legal'!F11+'[2]Mar ext legal'!F11+'[2]Apr ext legal'!F11+'[2]May ext legal'!F11+'[2]Jun ext legal'!F11+'[2]Jul ext legal'!F11</f>
        <v>0</v>
      </c>
      <c r="G11" s="230" t="n">
        <f aca="false">+'[2]Jan ext legal'!G11+'[2]Feb ext legal'!G11+'[2]Mar ext legal'!G11+'[2]Apr ext legal'!G11+'[2]May ext legal'!G11+'[2]Jun ext legal'!G11+'[2]Jul ext legal'!G11</f>
        <v>0</v>
      </c>
      <c r="H11" s="231" t="n">
        <f aca="false">+'[2]Jan ext legal'!H11+'[2]Feb ext legal'!H11+'[2]Mar ext legal'!H11+'[2]Apr ext legal'!H11+'[2]May ext legal'!H11+'[2]Jun ext legal'!H11+'[2]Jul ext legal'!H11</f>
        <v>0</v>
      </c>
      <c r="I11" s="230" t="n">
        <f aca="false">+'[2]Jan ext legal'!I11+'[2]Feb ext legal'!I11+'[2]Mar ext legal'!I11+'[2]Apr ext legal'!I11+'[2]May ext legal'!I11+'[2]Jun ext legal'!I11+'[2]Jul ext legal'!I11</f>
        <v>0</v>
      </c>
      <c r="J11" s="231" t="n">
        <f aca="false">+'[2]Jan ext legal'!K11+'[2]Feb ext legal'!K11+'[2]Mar ext legal'!K11+'[2]Apr ext legal'!K11+'[2]May ext legal'!K11+'[2]Jun ext legal'!K11+'[2]Jul ext legal'!K11</f>
        <v>0</v>
      </c>
      <c r="K11" s="231" t="n">
        <f aca="false">+'[2]Jan ext legal'!L11+'[2]Feb ext legal'!L11+'[2]Mar ext legal'!L11+'[2]Apr ext legal'!L11+'[2]May ext legal'!L11+'[2]Jun ext legal'!L11+'[2]Jul ext legal'!L11</f>
        <v>28862.77</v>
      </c>
      <c r="L11" s="231" t="n">
        <f aca="false">+'[2]Jan ext legal'!M11+'[2]Feb ext legal'!M11+'[2]Mar ext legal'!M11+'[2]Apr ext legal'!M11+'[2]May ext legal'!M11+'[2]Jun ext legal'!M11+'[2]Jul ext legal'!M11</f>
        <v>0</v>
      </c>
      <c r="M11" s="232" t="n">
        <f aca="false">+D11/D$73</f>
        <v>0.00245968719901045</v>
      </c>
      <c r="N11" s="232" t="n">
        <f aca="false">+N$4*M11</f>
        <v>21437.8332197636</v>
      </c>
      <c r="O11" s="233"/>
      <c r="P11" s="232" t="n">
        <f aca="false">SUM(D11+N11)</f>
        <v>50300.6032197636</v>
      </c>
      <c r="Q11" s="16"/>
      <c r="R11" s="16"/>
    </row>
    <row r="12" customFormat="false" ht="11.25" hidden="false" customHeight="false" outlineLevel="0" collapsed="false">
      <c r="A12" s="234" t="n">
        <v>105249</v>
      </c>
      <c r="B12" s="16" t="s">
        <v>6</v>
      </c>
      <c r="C12" s="227" t="s">
        <v>198</v>
      </c>
      <c r="D12" s="235" t="n">
        <v>0</v>
      </c>
      <c r="E12" s="19" t="n">
        <f aca="false">+'[2]Jan ext legal'!E12+'[2]Feb ext legal'!E12+'[2]Mar ext legal'!E12+'[2]Apr ext legal'!E12+'[2]May ext legal'!E12+'[2]Jun ext legal'!E12+'[2]Jul ext legal'!E12</f>
        <v>0</v>
      </c>
      <c r="F12" s="236" t="n">
        <f aca="false">+'[2]Jan ext legal'!F12+'[2]Feb ext legal'!F12+'[2]Mar ext legal'!F12+'[2]Apr ext legal'!F12+'[2]May ext legal'!F12+'[2]Jun ext legal'!F12+'[2]Jul ext legal'!F12</f>
        <v>0</v>
      </c>
      <c r="G12" s="19" t="n">
        <f aca="false">+'[2]Jan ext legal'!G12+'[2]Feb ext legal'!G12+'[2]Mar ext legal'!G12+'[2]Apr ext legal'!G12+'[2]May ext legal'!G12+'[2]Jun ext legal'!G12+'[2]Jul ext legal'!G12</f>
        <v>0</v>
      </c>
      <c r="H12" s="236" t="n">
        <f aca="false">+'[2]Jan ext legal'!H12+'[2]Feb ext legal'!H12+'[2]Mar ext legal'!H12+'[2]Apr ext legal'!H12+'[2]May ext legal'!H12+'[2]Jun ext legal'!H12+'[2]Jul ext legal'!H12</f>
        <v>0</v>
      </c>
      <c r="I12" s="19" t="n">
        <f aca="false">+'[2]Jan ext legal'!I12+'[2]Feb ext legal'!I12+'[2]Mar ext legal'!I12+'[2]Apr ext legal'!I12+'[2]May ext legal'!I12+'[2]Jun ext legal'!I12+'[2]Jul ext legal'!I12</f>
        <v>0</v>
      </c>
      <c r="J12" s="236" t="n">
        <f aca="false">+'[2]Jan ext legal'!K12+'[2]Feb ext legal'!K12+'[2]Mar ext legal'!K12+'[2]Apr ext legal'!K12+'[2]May ext legal'!K12+'[2]Jun ext legal'!K12+'[2]Jul ext legal'!K12</f>
        <v>0</v>
      </c>
      <c r="K12" s="236" t="n">
        <f aca="false">+'[2]Jan ext legal'!L12+'[2]Feb ext legal'!L12+'[2]Mar ext legal'!L12+'[2]Apr ext legal'!L12+'[2]May ext legal'!L12+'[2]Jun ext legal'!L12+'[2]Jul ext legal'!L12</f>
        <v>0</v>
      </c>
      <c r="L12" s="236" t="n">
        <f aca="false">+'[2]Jan ext legal'!M12+'[2]Feb ext legal'!M12+'[2]Mar ext legal'!M12+'[2]Apr ext legal'!M12+'[2]May ext legal'!M12+'[2]Jun ext legal'!M12+'[2]Jul ext legal'!M12</f>
        <v>0</v>
      </c>
      <c r="M12" s="13" t="n">
        <f aca="false">+D12/D$73</f>
        <v>0</v>
      </c>
      <c r="N12" s="13" t="n">
        <f aca="false">+N$4*M12</f>
        <v>0</v>
      </c>
      <c r="O12" s="15"/>
      <c r="P12" s="13" t="n">
        <f aca="false">SUM(D12+N12)</f>
        <v>0</v>
      </c>
      <c r="Q12" s="16"/>
      <c r="R12" s="16"/>
    </row>
    <row r="13" customFormat="false" ht="11.25" hidden="false" customHeight="false" outlineLevel="0" collapsed="false">
      <c r="A13" s="234" t="n">
        <v>105713</v>
      </c>
      <c r="B13" s="16" t="s">
        <v>7</v>
      </c>
      <c r="C13" s="16" t="s">
        <v>198</v>
      </c>
      <c r="D13" s="235" t="n">
        <v>11214.54</v>
      </c>
      <c r="E13" s="19" t="n">
        <f aca="false">+'[2]Jan ext legal'!E13+'[2]Feb ext legal'!E13+'[2]Mar ext legal'!E13+'[2]Apr ext legal'!E13+'[2]May ext legal'!E13+'[2]Jun ext legal'!E13+'[2]Jul ext legal'!E13</f>
        <v>0</v>
      </c>
      <c r="F13" s="236" t="n">
        <f aca="false">+'[2]Jan ext legal'!F13+'[2]Feb ext legal'!F13+'[2]Mar ext legal'!F13+'[2]Apr ext legal'!F13+'[2]May ext legal'!F13+'[2]Jun ext legal'!F13+'[2]Jul ext legal'!F13</f>
        <v>0</v>
      </c>
      <c r="G13" s="19" t="n">
        <f aca="false">+'[2]Jan ext legal'!G13+'[2]Feb ext legal'!G13+'[2]Mar ext legal'!G13+'[2]Apr ext legal'!G13+'[2]May ext legal'!G13+'[2]Jun ext legal'!G13+'[2]Jul ext legal'!G13</f>
        <v>0</v>
      </c>
      <c r="H13" s="236" t="n">
        <f aca="false">+'[2]Jan ext legal'!H13+'[2]Feb ext legal'!H13+'[2]Mar ext legal'!H13+'[2]Apr ext legal'!H13+'[2]May ext legal'!H13+'[2]Jun ext legal'!H13+'[2]Jul ext legal'!H13</f>
        <v>0</v>
      </c>
      <c r="I13" s="19" t="n">
        <f aca="false">+'[2]Jan ext legal'!I13+'[2]Feb ext legal'!I13+'[2]Mar ext legal'!I13+'[2]Apr ext legal'!I13+'[2]May ext legal'!I13+'[2]Jun ext legal'!I13+'[2]Jul ext legal'!I13</f>
        <v>0</v>
      </c>
      <c r="J13" s="236" t="n">
        <f aca="false">+'[2]Jan ext legal'!K13+'[2]Feb ext legal'!K13+'[2]Mar ext legal'!K13+'[2]Apr ext legal'!K13+'[2]May ext legal'!K13+'[2]Jun ext legal'!K13+'[2]Jul ext legal'!K13</f>
        <v>11214.54</v>
      </c>
      <c r="K13" s="236" t="n">
        <f aca="false">+'[2]Jan ext legal'!L13+'[2]Feb ext legal'!L13+'[2]Mar ext legal'!L13+'[2]Apr ext legal'!L13+'[2]May ext legal'!L13+'[2]Jun ext legal'!L13+'[2]Jul ext legal'!L13</f>
        <v>0</v>
      </c>
      <c r="L13" s="236" t="n">
        <f aca="false">+'[2]Jan ext legal'!M13+'[2]Feb ext legal'!M13+'[2]Mar ext legal'!M13+'[2]Apr ext legal'!M13+'[2]May ext legal'!M13+'[2]Jun ext legal'!M13+'[2]Jul ext legal'!M13</f>
        <v>0</v>
      </c>
      <c r="M13" s="13" t="n">
        <f aca="false">+D13/D$73</f>
        <v>0.000955703852429639</v>
      </c>
      <c r="N13" s="13" t="n">
        <f aca="false">+N$4*M13</f>
        <v>8329.60378218611</v>
      </c>
      <c r="O13" s="15"/>
      <c r="P13" s="13" t="n">
        <f aca="false">SUM(D13+N13)</f>
        <v>19544.1437821861</v>
      </c>
      <c r="Q13" s="16"/>
      <c r="R13" s="16"/>
    </row>
    <row r="14" customFormat="false" ht="11.25" hidden="false" customHeight="false" outlineLevel="0" collapsed="false">
      <c r="A14" s="234" t="n">
        <v>105751</v>
      </c>
      <c r="B14" s="16" t="s">
        <v>8</v>
      </c>
      <c r="C14" s="16" t="s">
        <v>203</v>
      </c>
      <c r="D14" s="235" t="n">
        <v>102342.67</v>
      </c>
      <c r="E14" s="19" t="n">
        <f aca="false">+'[2]Jan ext legal'!E14+'[2]Feb ext legal'!E14+'[2]Mar ext legal'!E14+'[2]Apr ext legal'!E14+'[2]May ext legal'!E14+'[2]Jun ext legal'!E14+'[2]Jul ext legal'!E14</f>
        <v>95299.11</v>
      </c>
      <c r="F14" s="236" t="n">
        <f aca="false">+'[2]Jan ext legal'!F14+'[2]Feb ext legal'!F14+'[2]Mar ext legal'!F14+'[2]Apr ext legal'!F14+'[2]May ext legal'!F14+'[2]Jun ext legal'!F14+'[2]Jul ext legal'!F14</f>
        <v>0</v>
      </c>
      <c r="G14" s="19" t="n">
        <f aca="false">+'[2]Jan ext legal'!G14+'[2]Feb ext legal'!G14+'[2]Mar ext legal'!G14+'[2]Apr ext legal'!G14+'[2]May ext legal'!G14+'[2]Jun ext legal'!G14+'[2]Jul ext legal'!G14</f>
        <v>0</v>
      </c>
      <c r="H14" s="236" t="n">
        <f aca="false">+'[2]Jan ext legal'!H14+'[2]Feb ext legal'!H14+'[2]Mar ext legal'!H14+'[2]Apr ext legal'!H14+'[2]May ext legal'!H14+'[2]Jun ext legal'!H14+'[2]Jul ext legal'!H14</f>
        <v>7043.56</v>
      </c>
      <c r="I14" s="19" t="n">
        <f aca="false">+'[2]Jan ext legal'!I14+'[2]Feb ext legal'!I14+'[2]Mar ext legal'!I14+'[2]Apr ext legal'!I14+'[2]May ext legal'!I14+'[2]Jun ext legal'!I14+'[2]Jul ext legal'!I14</f>
        <v>0</v>
      </c>
      <c r="J14" s="236" t="n">
        <f aca="false">+'[2]Jan ext legal'!K14+'[2]Feb ext legal'!K14+'[2]Mar ext legal'!K14+'[2]Apr ext legal'!K14+'[2]May ext legal'!K14+'[2]Jun ext legal'!K14+'[2]Jul ext legal'!K14</f>
        <v>0</v>
      </c>
      <c r="K14" s="236" t="n">
        <f aca="false">+'[2]Jan ext legal'!L14+'[2]Feb ext legal'!L14+'[2]Mar ext legal'!L14+'[2]Apr ext legal'!L14+'[2]May ext legal'!L14+'[2]Jun ext legal'!L14+'[2]Jul ext legal'!L14</f>
        <v>0</v>
      </c>
      <c r="L14" s="236" t="n">
        <f aca="false">+'[2]Jan ext legal'!M14+'[2]Feb ext legal'!M14+'[2]Mar ext legal'!M14+'[2]Apr ext legal'!M14+'[2]May ext legal'!M14+'[2]Jun ext legal'!M14+'[2]Jul ext legal'!M14</f>
        <v>0</v>
      </c>
      <c r="M14" s="13" t="n">
        <f aca="false">+D14/D$73</f>
        <v>0.00872164921494196</v>
      </c>
      <c r="N14" s="13" t="n">
        <f aca="false">+N$4*M14</f>
        <v>76015.0564455631</v>
      </c>
      <c r="O14" s="15"/>
      <c r="P14" s="13" t="n">
        <f aca="false">SUM(D14+N14)</f>
        <v>178357.726445563</v>
      </c>
      <c r="Q14" s="16"/>
      <c r="R14" s="16"/>
    </row>
    <row r="15" customFormat="false" ht="11.25" hidden="false" customHeight="false" outlineLevel="0" collapsed="false">
      <c r="A15" s="234" t="n">
        <v>105999</v>
      </c>
      <c r="B15" s="16" t="s">
        <v>9</v>
      </c>
      <c r="C15" s="16"/>
      <c r="D15" s="235" t="n">
        <v>0</v>
      </c>
      <c r="E15" s="19" t="n">
        <f aca="false">+'[2]Jan ext legal'!E15+'[2]Feb ext legal'!E15+'[2]Mar ext legal'!E15+'[2]Apr ext legal'!E15+'[2]May ext legal'!E15+'[2]Jun ext legal'!E15+'[2]Jul ext legal'!E15</f>
        <v>0</v>
      </c>
      <c r="F15" s="236" t="n">
        <f aca="false">+'[2]Jan ext legal'!F15+'[2]Feb ext legal'!F15+'[2]Mar ext legal'!F15+'[2]Apr ext legal'!F15+'[2]May ext legal'!F15+'[2]Jun ext legal'!F15+'[2]Jul ext legal'!F15</f>
        <v>0</v>
      </c>
      <c r="G15" s="19" t="n">
        <f aca="false">+'[2]Jan ext legal'!G15+'[2]Feb ext legal'!G15+'[2]Mar ext legal'!G15+'[2]Apr ext legal'!G15+'[2]May ext legal'!G15+'[2]Jun ext legal'!G15+'[2]Jul ext legal'!G15</f>
        <v>0</v>
      </c>
      <c r="H15" s="236" t="n">
        <f aca="false">+'[2]Jan ext legal'!H15+'[2]Feb ext legal'!H15+'[2]Mar ext legal'!H15+'[2]Apr ext legal'!H15+'[2]May ext legal'!H15+'[2]Jun ext legal'!H15+'[2]Jul ext legal'!H15</f>
        <v>0</v>
      </c>
      <c r="I15" s="19" t="n">
        <f aca="false">+'[2]Jan ext legal'!I15+'[2]Feb ext legal'!I15+'[2]Mar ext legal'!I15+'[2]Apr ext legal'!I15+'[2]May ext legal'!I15+'[2]Jun ext legal'!I15+'[2]Jul ext legal'!I15</f>
        <v>0</v>
      </c>
      <c r="J15" s="236" t="n">
        <f aca="false">+'[2]Jan ext legal'!K15+'[2]Feb ext legal'!K15+'[2]Mar ext legal'!K15+'[2]Apr ext legal'!K15+'[2]May ext legal'!K15+'[2]Jun ext legal'!K15+'[2]Jul ext legal'!K15</f>
        <v>0</v>
      </c>
      <c r="K15" s="236" t="n">
        <f aca="false">+'[2]Jan ext legal'!L15+'[2]Feb ext legal'!L15+'[2]Mar ext legal'!L15+'[2]Apr ext legal'!L15+'[2]May ext legal'!L15+'[2]Jun ext legal'!L15+'[2]Jul ext legal'!L15</f>
        <v>0</v>
      </c>
      <c r="L15" s="236" t="n">
        <f aca="false">+'[2]Jan ext legal'!M15+'[2]Feb ext legal'!M15+'[2]Mar ext legal'!M15+'[2]Apr ext legal'!M15+'[2]May ext legal'!M15+'[2]Jun ext legal'!M15+'[2]Jul ext legal'!M15</f>
        <v>0</v>
      </c>
      <c r="M15" s="13" t="n">
        <f aca="false">+D15/D$73</f>
        <v>0</v>
      </c>
      <c r="N15" s="13" t="n">
        <f aca="false">+N$4*M15</f>
        <v>0</v>
      </c>
      <c r="O15" s="15"/>
      <c r="P15" s="13" t="n">
        <f aca="false">SUM(D15+N15)</f>
        <v>0</v>
      </c>
      <c r="Q15" s="16"/>
      <c r="R15" s="16"/>
    </row>
    <row r="16" customFormat="false" ht="11.25" hidden="false" customHeight="false" outlineLevel="0" collapsed="false">
      <c r="A16" s="234" t="n">
        <v>106005</v>
      </c>
      <c r="B16" s="16" t="s">
        <v>10</v>
      </c>
      <c r="C16" s="16"/>
      <c r="D16" s="235" t="n">
        <v>0</v>
      </c>
      <c r="E16" s="19" t="n">
        <f aca="false">+'[2]Jan ext legal'!E16+'[2]Feb ext legal'!E16+'[2]Mar ext legal'!E16+'[2]Apr ext legal'!E16+'[2]May ext legal'!E16+'[2]Jun ext legal'!E16+'[2]Jul ext legal'!E16</f>
        <v>0</v>
      </c>
      <c r="F16" s="236" t="n">
        <f aca="false">+'[2]Jan ext legal'!F16+'[2]Feb ext legal'!F16+'[2]Mar ext legal'!F16+'[2]Apr ext legal'!F16+'[2]May ext legal'!F16+'[2]Jun ext legal'!F16+'[2]Jul ext legal'!F16</f>
        <v>0</v>
      </c>
      <c r="G16" s="19" t="n">
        <f aca="false">+'[2]Jan ext legal'!G16+'[2]Feb ext legal'!G16+'[2]Mar ext legal'!G16+'[2]Apr ext legal'!G16+'[2]May ext legal'!G16+'[2]Jun ext legal'!G16+'[2]Jul ext legal'!G16</f>
        <v>0</v>
      </c>
      <c r="H16" s="236" t="n">
        <f aca="false">+'[2]Jan ext legal'!H16+'[2]Feb ext legal'!H16+'[2]Mar ext legal'!H16+'[2]Apr ext legal'!H16+'[2]May ext legal'!H16+'[2]Jun ext legal'!H16+'[2]Jul ext legal'!H16</f>
        <v>0</v>
      </c>
      <c r="I16" s="19" t="n">
        <f aca="false">+'[2]Jan ext legal'!I16+'[2]Feb ext legal'!I16+'[2]Mar ext legal'!I16+'[2]Apr ext legal'!I16+'[2]May ext legal'!I16+'[2]Jun ext legal'!I16+'[2]Jul ext legal'!I16</f>
        <v>0</v>
      </c>
      <c r="J16" s="236" t="n">
        <f aca="false">+'[2]Jan ext legal'!K16+'[2]Feb ext legal'!K16+'[2]Mar ext legal'!K16+'[2]Apr ext legal'!K16+'[2]May ext legal'!K16+'[2]Jun ext legal'!K16+'[2]Jul ext legal'!K16</f>
        <v>0</v>
      </c>
      <c r="K16" s="236" t="n">
        <f aca="false">+'[2]Jan ext legal'!L16+'[2]Feb ext legal'!L16+'[2]Mar ext legal'!L16+'[2]Apr ext legal'!L16+'[2]May ext legal'!L16+'[2]Jun ext legal'!L16+'[2]Jul ext legal'!L16</f>
        <v>0</v>
      </c>
      <c r="L16" s="236" t="n">
        <f aca="false">+'[2]Jan ext legal'!M16+'[2]Feb ext legal'!M16+'[2]Mar ext legal'!M16+'[2]Apr ext legal'!M16+'[2]May ext legal'!M16+'[2]Jun ext legal'!M16+'[2]Jul ext legal'!M16</f>
        <v>0</v>
      </c>
      <c r="M16" s="13" t="n">
        <f aca="false">+D16/D$73</f>
        <v>0</v>
      </c>
      <c r="N16" s="13" t="n">
        <f aca="false">+N$4*M16</f>
        <v>0</v>
      </c>
      <c r="O16" s="15"/>
      <c r="P16" s="13" t="n">
        <f aca="false">SUM(D16+N16)</f>
        <v>0</v>
      </c>
      <c r="Q16" s="16"/>
      <c r="R16" s="16"/>
    </row>
    <row r="17" customFormat="false" ht="11.25" hidden="false" customHeight="false" outlineLevel="0" collapsed="false">
      <c r="A17" s="226" t="n">
        <v>106042</v>
      </c>
      <c r="B17" s="227" t="s">
        <v>204</v>
      </c>
      <c r="C17" s="227" t="s">
        <v>198</v>
      </c>
      <c r="D17" s="229" t="n">
        <v>0</v>
      </c>
      <c r="E17" s="230" t="n">
        <f aca="false">+'[2]Jan ext legal'!E17+'[2]Feb ext legal'!E17+'[2]Mar ext legal'!E17+'[2]Apr ext legal'!E17+'[2]May ext legal'!E17+'[2]Jun ext legal'!E17+'[2]Jul ext legal'!E17</f>
        <v>102546.5</v>
      </c>
      <c r="F17" s="231" t="n">
        <f aca="false">+'[2]Jan ext legal'!F17+'[2]Feb ext legal'!F17+'[2]Mar ext legal'!F17+'[2]Apr ext legal'!F17+'[2]May ext legal'!F17+'[2]Jun ext legal'!F17+'[2]Jul ext legal'!F17</f>
        <v>0</v>
      </c>
      <c r="G17" s="230" t="n">
        <f aca="false">+'[2]Jan ext legal'!G17+'[2]Feb ext legal'!G17+'[2]Mar ext legal'!G17+'[2]Apr ext legal'!G17+'[2]May ext legal'!G17+'[2]Jun ext legal'!G17+'[2]Jul ext legal'!G17</f>
        <v>0</v>
      </c>
      <c r="H17" s="231" t="n">
        <f aca="false">+'[2]Jan ext legal'!H17+'[2]Feb ext legal'!H17+'[2]Mar ext legal'!H17+'[2]Apr ext legal'!H17+'[2]May ext legal'!H17+'[2]Jun ext legal'!H17+'[2]Jul ext legal'!H17</f>
        <v>0</v>
      </c>
      <c r="I17" s="230" t="n">
        <f aca="false">+'[2]Jan ext legal'!I17+'[2]Feb ext legal'!I17+'[2]Mar ext legal'!I17+'[2]Apr ext legal'!I17+'[2]May ext legal'!I17+'[2]Jun ext legal'!I17+'[2]Jul ext legal'!I17</f>
        <v>0</v>
      </c>
      <c r="J17" s="231" t="n">
        <f aca="false">+'[2]Jan ext legal'!K17+'[2]Feb ext legal'!K17+'[2]Mar ext legal'!K17+'[2]Apr ext legal'!K17+'[2]May ext legal'!K17+'[2]Jun ext legal'!K17+'[2]Jul ext legal'!K17</f>
        <v>12980.6</v>
      </c>
      <c r="K17" s="231" t="n">
        <f aca="false">+'[2]Jan ext legal'!L17+'[2]Feb ext legal'!L17+'[2]Mar ext legal'!L17+'[2]Apr ext legal'!L17+'[2]May ext legal'!L17+'[2]Jun ext legal'!L17+'[2]Jul ext legal'!L17</f>
        <v>0</v>
      </c>
      <c r="L17" s="231" t="n">
        <f aca="false">+'[2]Jan ext legal'!M17+'[2]Feb ext legal'!M17+'[2]Mar ext legal'!M17+'[2]Apr ext legal'!M17+'[2]May ext legal'!M17+'[2]Jun ext legal'!M17+'[2]Jul ext legal'!M17</f>
        <v>0</v>
      </c>
      <c r="M17" s="232" t="n">
        <f aca="false">+D17/D$73</f>
        <v>0</v>
      </c>
      <c r="N17" s="232" t="n">
        <f aca="false">+N$4*M17</f>
        <v>0</v>
      </c>
      <c r="O17" s="233"/>
      <c r="P17" s="232" t="n">
        <f aca="false">SUM(D17+N17)</f>
        <v>0</v>
      </c>
      <c r="Q17" s="16"/>
      <c r="R17" s="16"/>
    </row>
    <row r="18" customFormat="false" ht="11.25" hidden="false" customHeight="false" outlineLevel="0" collapsed="false">
      <c r="A18" s="226" t="n">
        <v>106196</v>
      </c>
      <c r="B18" s="227" t="s">
        <v>205</v>
      </c>
      <c r="C18" s="227" t="s">
        <v>198</v>
      </c>
      <c r="D18" s="229" t="n">
        <v>20801.94</v>
      </c>
      <c r="E18" s="230" t="n">
        <f aca="false">+'[2]Jan ext legal'!E18+'[2]Feb ext legal'!E18+'[2]Mar ext legal'!E18+'[2]Apr ext legal'!E18+'[2]May ext legal'!E18+'[2]Jun ext legal'!E18+'[2]Jul ext legal'!E18</f>
        <v>20801.94</v>
      </c>
      <c r="F18" s="231" t="n">
        <f aca="false">+'[2]Jan ext legal'!F18+'[2]Feb ext legal'!F18+'[2]Mar ext legal'!F18+'[2]Apr ext legal'!F18+'[2]May ext legal'!F18+'[2]Jun ext legal'!F18+'[2]Jul ext legal'!F18</f>
        <v>0</v>
      </c>
      <c r="G18" s="230" t="n">
        <f aca="false">+'[2]Jan ext legal'!G18+'[2]Feb ext legal'!G18+'[2]Mar ext legal'!G18+'[2]Apr ext legal'!G18+'[2]May ext legal'!G18+'[2]Jun ext legal'!G18+'[2]Jul ext legal'!G18</f>
        <v>0</v>
      </c>
      <c r="H18" s="231" t="n">
        <f aca="false">+'[2]Jan ext legal'!H18+'[2]Feb ext legal'!H18+'[2]Mar ext legal'!H18+'[2]Apr ext legal'!H18+'[2]May ext legal'!H18+'[2]Jun ext legal'!H18+'[2]Jul ext legal'!H18</f>
        <v>0</v>
      </c>
      <c r="I18" s="230" t="n">
        <f aca="false">+'[2]Jan ext legal'!I18+'[2]Feb ext legal'!I18+'[2]Mar ext legal'!I18+'[2]Apr ext legal'!I18+'[2]May ext legal'!I18+'[2]Jun ext legal'!I18+'[2]Jul ext legal'!I18</f>
        <v>0</v>
      </c>
      <c r="J18" s="231" t="n">
        <f aca="false">+'[2]Jan ext legal'!K18+'[2]Feb ext legal'!K18+'[2]Mar ext legal'!K18+'[2]Apr ext legal'!K18+'[2]May ext legal'!K18+'[2]Jun ext legal'!K18+'[2]Jul ext legal'!K18</f>
        <v>0</v>
      </c>
      <c r="K18" s="231" t="n">
        <f aca="false">+'[2]Jan ext legal'!L18+'[2]Feb ext legal'!L18+'[2]Mar ext legal'!L18+'[2]Apr ext legal'!L18+'[2]May ext legal'!L18+'[2]Jun ext legal'!L18+'[2]Jul ext legal'!L18</f>
        <v>0</v>
      </c>
      <c r="L18" s="231" t="n">
        <f aca="false">+'[2]Jan ext legal'!M18+'[2]Feb ext legal'!M18+'[2]Mar ext legal'!M18+'[2]Apr ext legal'!M18+'[2]May ext legal'!M18+'[2]Jun ext legal'!M18+'[2]Jul ext legal'!M18</f>
        <v>0</v>
      </c>
      <c r="M18" s="232" t="n">
        <f aca="false">+D18/D$73</f>
        <v>0.00177274272471365</v>
      </c>
      <c r="N18" s="232" t="n">
        <f aca="false">+N$4*M18</f>
        <v>15450.6487203941</v>
      </c>
      <c r="O18" s="233"/>
      <c r="P18" s="232" t="n">
        <f aca="false">SUM(D18+N18)</f>
        <v>36252.5887203941</v>
      </c>
      <c r="Q18" s="16"/>
      <c r="R18" s="16"/>
    </row>
    <row r="19" customFormat="false" ht="11.25" hidden="false" customHeight="false" outlineLevel="0" collapsed="false">
      <c r="A19" s="234" t="n">
        <v>106230</v>
      </c>
      <c r="B19" s="16" t="s">
        <v>11</v>
      </c>
      <c r="C19" s="16"/>
      <c r="D19" s="235" t="n">
        <v>1063397.86</v>
      </c>
      <c r="E19" s="19" t="n">
        <f aca="false">+'[2]Jan ext legal'!E19+'[2]Feb ext legal'!E19+'[2]Mar ext legal'!E19+'[2]Apr ext legal'!E19+'[2]May ext legal'!E19+'[2]Jun ext legal'!E19+'[2]Jul ext legal'!E19</f>
        <v>1063397.86</v>
      </c>
      <c r="F19" s="236" t="n">
        <f aca="false">+'[2]Jan ext legal'!F19+'[2]Feb ext legal'!F19+'[2]Mar ext legal'!F19+'[2]Apr ext legal'!F19+'[2]May ext legal'!F19+'[2]Jun ext legal'!F19+'[2]Jul ext legal'!F19</f>
        <v>0</v>
      </c>
      <c r="G19" s="19" t="n">
        <f aca="false">+'[2]Jan ext legal'!G19+'[2]Feb ext legal'!G19+'[2]Mar ext legal'!G19+'[2]Apr ext legal'!G19+'[2]May ext legal'!G19+'[2]Jun ext legal'!G19+'[2]Jul ext legal'!G19</f>
        <v>0</v>
      </c>
      <c r="H19" s="236" t="n">
        <f aca="false">+'[2]Jan ext legal'!H19+'[2]Feb ext legal'!H19+'[2]Mar ext legal'!H19+'[2]Apr ext legal'!H19+'[2]May ext legal'!H19+'[2]Jun ext legal'!H19+'[2]Jul ext legal'!H19</f>
        <v>0</v>
      </c>
      <c r="I19" s="19" t="n">
        <f aca="false">+'[2]Jan ext legal'!I19+'[2]Feb ext legal'!I19+'[2]Mar ext legal'!I19+'[2]Apr ext legal'!I19+'[2]May ext legal'!I19+'[2]Jun ext legal'!I19+'[2]Jul ext legal'!I19</f>
        <v>0</v>
      </c>
      <c r="J19" s="236" t="n">
        <f aca="false">+'[2]Jan ext legal'!K19+'[2]Feb ext legal'!K19+'[2]Mar ext legal'!K19+'[2]Apr ext legal'!K19+'[2]May ext legal'!K19+'[2]Jun ext legal'!K19+'[2]Jul ext legal'!K19</f>
        <v>0</v>
      </c>
      <c r="K19" s="236" t="n">
        <f aca="false">+'[2]Jan ext legal'!L19+'[2]Feb ext legal'!L19+'[2]Mar ext legal'!L19+'[2]Apr ext legal'!L19+'[2]May ext legal'!L19+'[2]Jun ext legal'!L19+'[2]Jul ext legal'!L19</f>
        <v>0</v>
      </c>
      <c r="L19" s="236" t="n">
        <f aca="false">+'[2]Jan ext legal'!M19+'[2]Feb ext legal'!M19+'[2]Mar ext legal'!M19+'[2]Apr ext legal'!M19+'[2]May ext legal'!M19+'[2]Jun ext legal'!M19+'[2]Jul ext legal'!M19</f>
        <v>0</v>
      </c>
      <c r="M19" s="13" t="n">
        <f aca="false">+D19/D$73</f>
        <v>0.0906228370907263</v>
      </c>
      <c r="N19" s="13" t="n">
        <f aca="false">+N$4*M19</f>
        <v>789839.158505353</v>
      </c>
      <c r="O19" s="15"/>
      <c r="P19" s="13" t="n">
        <f aca="false">SUM(D19+N19)</f>
        <v>1853237.01850535</v>
      </c>
      <c r="Q19" s="16"/>
      <c r="R19" s="16"/>
    </row>
    <row r="20" customFormat="false" ht="11.25" hidden="false" customHeight="false" outlineLevel="0" collapsed="false">
      <c r="A20" s="234" t="n">
        <v>106298</v>
      </c>
      <c r="B20" s="16" t="s">
        <v>12</v>
      </c>
      <c r="C20" s="16" t="s">
        <v>206</v>
      </c>
      <c r="D20" s="235" t="n">
        <v>124315.45</v>
      </c>
      <c r="E20" s="19" t="n">
        <f aca="false">+'[2]Jan ext legal'!E20+'[2]Feb ext legal'!E20+'[2]Mar ext legal'!E20+'[2]Apr ext legal'!E20+'[2]May ext legal'!E20+'[2]Jun ext legal'!E20+'[2]Jul ext legal'!E20</f>
        <v>148.63</v>
      </c>
      <c r="F20" s="236" t="n">
        <f aca="false">+'[2]Jan ext legal'!F20+'[2]Feb ext legal'!F20+'[2]Mar ext legal'!F20+'[2]Apr ext legal'!F20+'[2]May ext legal'!F20+'[2]Jun ext legal'!F20+'[2]Jul ext legal'!F20</f>
        <v>0</v>
      </c>
      <c r="G20" s="19" t="n">
        <f aca="false">+'[2]Jan ext legal'!G20+'[2]Feb ext legal'!G20+'[2]Mar ext legal'!G20+'[2]Apr ext legal'!G20+'[2]May ext legal'!G20+'[2]Jun ext legal'!G20+'[2]Jul ext legal'!G20</f>
        <v>108426.73</v>
      </c>
      <c r="H20" s="236" t="n">
        <f aca="false">+'[2]Jan ext legal'!H20+'[2]Feb ext legal'!H20+'[2]Mar ext legal'!H20+'[2]Apr ext legal'!H20+'[2]May ext legal'!H20+'[2]Jun ext legal'!H20+'[2]Jul ext legal'!H20</f>
        <v>0</v>
      </c>
      <c r="I20" s="19" t="n">
        <f aca="false">+'[2]Jan ext legal'!I20+'[2]Feb ext legal'!I20+'[2]Mar ext legal'!I20+'[2]Apr ext legal'!I20+'[2]May ext legal'!I20+'[2]Jun ext legal'!I20+'[2]Jul ext legal'!I20</f>
        <v>0</v>
      </c>
      <c r="J20" s="236" t="n">
        <f aca="false">+'[2]Jan ext legal'!K20+'[2]Feb ext legal'!K20+'[2]Mar ext legal'!K20+'[2]Apr ext legal'!K20+'[2]May ext legal'!K20+'[2]Jun ext legal'!K20+'[2]Jul ext legal'!K20</f>
        <v>15740.09</v>
      </c>
      <c r="K20" s="236" t="n">
        <f aca="false">+'[2]Jan ext legal'!L20+'[2]Feb ext legal'!L20+'[2]Mar ext legal'!L20+'[2]Apr ext legal'!L20+'[2]May ext legal'!L20+'[2]Jun ext legal'!L20+'[2]Jul ext legal'!L20</f>
        <v>0</v>
      </c>
      <c r="L20" s="236" t="n">
        <f aca="false">+'[2]Jan ext legal'!M20+'[2]Feb ext legal'!M20+'[2]Mar ext legal'!M20+'[2]Apr ext legal'!M20+'[2]May ext legal'!M20+'[2]Jun ext legal'!M20+'[2]Jul ext legal'!M20</f>
        <v>0</v>
      </c>
      <c r="M20" s="13" t="n">
        <f aca="false">+D20/D$73</f>
        <v>0.0105941710031374</v>
      </c>
      <c r="N20" s="13" t="n">
        <f aca="false">+N$4*M20</f>
        <v>92335.3470141592</v>
      </c>
      <c r="O20" s="15"/>
      <c r="P20" s="13" t="n">
        <f aca="false">SUM(D20+N20)</f>
        <v>216650.797014159</v>
      </c>
      <c r="Q20" s="16"/>
      <c r="R20" s="16"/>
    </row>
    <row r="21" customFormat="false" ht="11.25" hidden="false" customHeight="false" outlineLevel="0" collapsed="false">
      <c r="A21" s="234" t="n">
        <v>106303</v>
      </c>
      <c r="B21" s="16" t="s">
        <v>13</v>
      </c>
      <c r="C21" s="16" t="s">
        <v>207</v>
      </c>
      <c r="D21" s="235" t="n">
        <v>51352.16</v>
      </c>
      <c r="E21" s="19" t="n">
        <f aca="false">+'[2]Jan ext legal'!E21+'[2]Feb ext legal'!E21+'[2]Mar ext legal'!E21+'[2]Apr ext legal'!E21+'[2]May ext legal'!E21+'[2]Jun ext legal'!E21+'[2]Jul ext legal'!E21</f>
        <v>0</v>
      </c>
      <c r="F21" s="236" t="n">
        <f aca="false">+'[2]Jan ext legal'!F21+'[2]Feb ext legal'!F21+'[2]Mar ext legal'!F21+'[2]Apr ext legal'!F21+'[2]May ext legal'!F21+'[2]Jun ext legal'!F21+'[2]Jul ext legal'!F21</f>
        <v>0</v>
      </c>
      <c r="G21" s="19" t="n">
        <f aca="false">+'[2]Jan ext legal'!G21+'[2]Feb ext legal'!G21+'[2]Mar ext legal'!G21+'[2]Apr ext legal'!G21+'[2]May ext legal'!G21+'[2]Jun ext legal'!G21+'[2]Jul ext legal'!G21</f>
        <v>36468.51</v>
      </c>
      <c r="H21" s="236" t="n">
        <f aca="false">+'[2]Jan ext legal'!H21+'[2]Feb ext legal'!H21+'[2]Mar ext legal'!H21+'[2]Apr ext legal'!H21+'[2]May ext legal'!H21+'[2]Jun ext legal'!H21+'[2]Jul ext legal'!H21</f>
        <v>14883.65</v>
      </c>
      <c r="I21" s="19" t="n">
        <f aca="false">+'[2]Jan ext legal'!I21+'[2]Feb ext legal'!I21+'[2]Mar ext legal'!I21+'[2]Apr ext legal'!I21+'[2]May ext legal'!I21+'[2]Jun ext legal'!I21+'[2]Jul ext legal'!I21</f>
        <v>0</v>
      </c>
      <c r="J21" s="236" t="n">
        <f aca="false">+'[2]Jan ext legal'!K21+'[2]Feb ext legal'!K21+'[2]Mar ext legal'!K21+'[2]Apr ext legal'!K21+'[2]May ext legal'!K21+'[2]Jun ext legal'!K21+'[2]Jul ext legal'!K21</f>
        <v>0</v>
      </c>
      <c r="K21" s="236" t="n">
        <f aca="false">+'[2]Jan ext legal'!L21+'[2]Feb ext legal'!L21+'[2]Mar ext legal'!L21+'[2]Apr ext legal'!L21+'[2]May ext legal'!L21+'[2]Jun ext legal'!L21+'[2]Jul ext legal'!L21</f>
        <v>0</v>
      </c>
      <c r="L21" s="236" t="n">
        <f aca="false">+'[2]Jan ext legal'!M21+'[2]Feb ext legal'!M21+'[2]Mar ext legal'!M21+'[2]Apr ext legal'!M21+'[2]May ext legal'!M21+'[2]Jun ext legal'!M21+'[2]Jul ext legal'!M21</f>
        <v>0</v>
      </c>
      <c r="M21" s="13" t="n">
        <f aca="false">+D21/D$73</f>
        <v>0.00437623452612262</v>
      </c>
      <c r="N21" s="13" t="n">
        <f aca="false">+N$4*M21</f>
        <v>38141.8360592076</v>
      </c>
      <c r="O21" s="15"/>
      <c r="P21" s="13" t="n">
        <f aca="false">SUM(D21+N21)</f>
        <v>89493.9960592076</v>
      </c>
      <c r="Q21" s="16"/>
      <c r="R21" s="16"/>
    </row>
    <row r="22" customFormat="false" ht="11.25" hidden="false" customHeight="false" outlineLevel="0" collapsed="false">
      <c r="A22" s="234" t="n">
        <v>106331</v>
      </c>
      <c r="B22" s="16" t="s">
        <v>14</v>
      </c>
      <c r="C22" s="16"/>
      <c r="D22" s="235" t="n">
        <v>494716.81</v>
      </c>
      <c r="E22" s="19" t="n">
        <f aca="false">+'[2]Jan ext legal'!E22+'[2]Feb ext legal'!E22+'[2]Mar ext legal'!E22+'[2]Apr ext legal'!E22+'[2]May ext legal'!E22+'[2]Jun ext legal'!E22+'[2]Jul ext legal'!E22</f>
        <v>0</v>
      </c>
      <c r="F22" s="236" t="n">
        <f aca="false">+'[2]Jan ext legal'!F22+'[2]Feb ext legal'!F22+'[2]Mar ext legal'!F22+'[2]Apr ext legal'!F22+'[2]May ext legal'!F22+'[2]Jun ext legal'!F22+'[2]Jul ext legal'!F22</f>
        <v>0</v>
      </c>
      <c r="G22" s="19" t="n">
        <f aca="false">+'[2]Jan ext legal'!G22+'[2]Feb ext legal'!G22+'[2]Mar ext legal'!G22+'[2]Apr ext legal'!G22+'[2]May ext legal'!G22+'[2]Jun ext legal'!G22+'[2]Jul ext legal'!G22</f>
        <v>493843.73</v>
      </c>
      <c r="H22" s="236" t="n">
        <f aca="false">+'[2]Jan ext legal'!H22+'[2]Feb ext legal'!H22+'[2]Mar ext legal'!H22+'[2]Apr ext legal'!H22+'[2]May ext legal'!H22+'[2]Jun ext legal'!H22+'[2]Jul ext legal'!H22</f>
        <v>873.08</v>
      </c>
      <c r="I22" s="19" t="n">
        <f aca="false">+'[2]Jan ext legal'!I22+'[2]Feb ext legal'!I22+'[2]Mar ext legal'!I22+'[2]Apr ext legal'!I22+'[2]May ext legal'!I22+'[2]Jun ext legal'!I22+'[2]Jul ext legal'!I22</f>
        <v>0</v>
      </c>
      <c r="J22" s="236" t="n">
        <f aca="false">+'[2]Jan ext legal'!K22+'[2]Feb ext legal'!K22+'[2]Mar ext legal'!K22+'[2]Apr ext legal'!K22+'[2]May ext legal'!K22+'[2]Jun ext legal'!K22+'[2]Jul ext legal'!K22</f>
        <v>0</v>
      </c>
      <c r="K22" s="236" t="n">
        <f aca="false">+'[2]Jan ext legal'!L22+'[2]Feb ext legal'!L22+'[2]Mar ext legal'!L22+'[2]Apr ext legal'!L22+'[2]May ext legal'!L22+'[2]Jun ext legal'!L22+'[2]Jul ext legal'!L22</f>
        <v>0</v>
      </c>
      <c r="L22" s="236" t="n">
        <f aca="false">+'[2]Jan ext legal'!M22+'[2]Feb ext legal'!M22+'[2]Mar ext legal'!M22+'[2]Apr ext legal'!M22+'[2]May ext legal'!M22+'[2]Jun ext legal'!M22+'[2]Jul ext legal'!M22</f>
        <v>0</v>
      </c>
      <c r="M22" s="13" t="n">
        <f aca="false">+D22/D$73</f>
        <v>0.0421597997937233</v>
      </c>
      <c r="N22" s="13" t="n">
        <f aca="false">+N$4*M22</f>
        <v>367451.095781641</v>
      </c>
      <c r="O22" s="15"/>
      <c r="P22" s="13" t="n">
        <f aca="false">SUM(D22+N22)</f>
        <v>862167.905781641</v>
      </c>
      <c r="Q22" s="16"/>
      <c r="R22" s="16"/>
    </row>
    <row r="23" customFormat="false" ht="11.25" hidden="false" customHeight="false" outlineLevel="0" collapsed="false">
      <c r="A23" s="234" t="n">
        <v>106580</v>
      </c>
      <c r="B23" s="16" t="s">
        <v>15</v>
      </c>
      <c r="C23" s="16"/>
      <c r="D23" s="235" t="n">
        <v>0</v>
      </c>
      <c r="E23" s="19" t="n">
        <f aca="false">+'[2]Jan ext legal'!E23+'[2]Feb ext legal'!E23+'[2]Mar ext legal'!E23+'[2]Apr ext legal'!E23+'[2]May ext legal'!E23+'[2]Jun ext legal'!E23+'[2]Jul ext legal'!E23</f>
        <v>0</v>
      </c>
      <c r="F23" s="236" t="n">
        <f aca="false">+'[2]Jan ext legal'!F23+'[2]Feb ext legal'!F23+'[2]Mar ext legal'!F23+'[2]Apr ext legal'!F23+'[2]May ext legal'!F23+'[2]Jun ext legal'!F23+'[2]Jul ext legal'!F23</f>
        <v>0</v>
      </c>
      <c r="G23" s="19" t="n">
        <f aca="false">+'[2]Jan ext legal'!G23+'[2]Feb ext legal'!G23+'[2]Mar ext legal'!G23+'[2]Apr ext legal'!G23+'[2]May ext legal'!G23+'[2]Jun ext legal'!G23+'[2]Jul ext legal'!G23</f>
        <v>0</v>
      </c>
      <c r="H23" s="236" t="n">
        <f aca="false">+'[2]Jan ext legal'!H23+'[2]Feb ext legal'!H23+'[2]Mar ext legal'!H23+'[2]Apr ext legal'!H23+'[2]May ext legal'!H23+'[2]Jun ext legal'!H23+'[2]Jul ext legal'!H23</f>
        <v>0</v>
      </c>
      <c r="I23" s="19" t="n">
        <f aca="false">+'[2]Jan ext legal'!I23+'[2]Feb ext legal'!I23+'[2]Mar ext legal'!I23+'[2]Apr ext legal'!I23+'[2]May ext legal'!I23+'[2]Jun ext legal'!I23+'[2]Jul ext legal'!I23</f>
        <v>0</v>
      </c>
      <c r="J23" s="236" t="n">
        <f aca="false">+'[2]Jan ext legal'!K23+'[2]Feb ext legal'!K23+'[2]Mar ext legal'!K23+'[2]Apr ext legal'!K23+'[2]May ext legal'!K23+'[2]Jun ext legal'!K23+'[2]Jul ext legal'!K23</f>
        <v>0</v>
      </c>
      <c r="K23" s="236" t="n">
        <f aca="false">+'[2]Jan ext legal'!L23+'[2]Feb ext legal'!L23+'[2]Mar ext legal'!L23+'[2]Apr ext legal'!L23+'[2]May ext legal'!L23+'[2]Jun ext legal'!L23+'[2]Jul ext legal'!L23</f>
        <v>0</v>
      </c>
      <c r="L23" s="236" t="n">
        <f aca="false">+'[2]Jan ext legal'!M23+'[2]Feb ext legal'!M23+'[2]Mar ext legal'!M23+'[2]Apr ext legal'!M23+'[2]May ext legal'!M23+'[2]Jun ext legal'!M23+'[2]Jul ext legal'!M23</f>
        <v>0</v>
      </c>
      <c r="M23" s="13" t="n">
        <f aca="false">+D23/D$73</f>
        <v>0</v>
      </c>
      <c r="N23" s="13" t="n">
        <f aca="false">+N$4*M23</f>
        <v>0</v>
      </c>
      <c r="O23" s="15"/>
      <c r="P23" s="13" t="n">
        <f aca="false">SUM(D23+N23)</f>
        <v>0</v>
      </c>
      <c r="Q23" s="16"/>
      <c r="R23" s="16"/>
    </row>
    <row r="24" customFormat="false" ht="11.25" hidden="false" customHeight="false" outlineLevel="0" collapsed="false">
      <c r="A24" s="234" t="n">
        <v>106582</v>
      </c>
      <c r="B24" s="16" t="s">
        <v>16</v>
      </c>
      <c r="C24" s="16" t="s">
        <v>208</v>
      </c>
      <c r="D24" s="235" t="n">
        <v>0</v>
      </c>
      <c r="E24" s="19" t="n">
        <f aca="false">+'[2]Jan ext legal'!E24+'[2]Feb ext legal'!E24+'[2]Mar ext legal'!E24+'[2]Apr ext legal'!E24+'[2]May ext legal'!E24+'[2]Jun ext legal'!E24+'[2]Jul ext legal'!E24</f>
        <v>0</v>
      </c>
      <c r="F24" s="236" t="n">
        <f aca="false">+'[2]Jan ext legal'!F24+'[2]Feb ext legal'!F24+'[2]Mar ext legal'!F24+'[2]Apr ext legal'!F24+'[2]May ext legal'!F24+'[2]Jun ext legal'!F24+'[2]Jul ext legal'!F24</f>
        <v>0</v>
      </c>
      <c r="G24" s="19" t="n">
        <f aca="false">+'[2]Jan ext legal'!G24+'[2]Feb ext legal'!G24+'[2]Mar ext legal'!G24+'[2]Apr ext legal'!G24+'[2]May ext legal'!G24+'[2]Jun ext legal'!G24+'[2]Jul ext legal'!G24</f>
        <v>0</v>
      </c>
      <c r="H24" s="236" t="n">
        <f aca="false">+'[2]Jan ext legal'!H24+'[2]Feb ext legal'!H24+'[2]Mar ext legal'!H24+'[2]Apr ext legal'!H24+'[2]May ext legal'!H24+'[2]Jun ext legal'!H24+'[2]Jul ext legal'!H24</f>
        <v>0</v>
      </c>
      <c r="I24" s="19" t="n">
        <f aca="false">+'[2]Jan ext legal'!I24+'[2]Feb ext legal'!I24+'[2]Mar ext legal'!I24+'[2]Apr ext legal'!I24+'[2]May ext legal'!I24+'[2]Jun ext legal'!I24+'[2]Jul ext legal'!I24</f>
        <v>0</v>
      </c>
      <c r="J24" s="236" t="n">
        <f aca="false">+'[2]Jan ext legal'!K24+'[2]Feb ext legal'!K24+'[2]Mar ext legal'!K24+'[2]Apr ext legal'!K24+'[2]May ext legal'!K24+'[2]Jun ext legal'!K24+'[2]Jul ext legal'!K24</f>
        <v>0</v>
      </c>
      <c r="K24" s="236" t="n">
        <f aca="false">+'[2]Jan ext legal'!L24+'[2]Feb ext legal'!L24+'[2]Mar ext legal'!L24+'[2]Apr ext legal'!L24+'[2]May ext legal'!L24+'[2]Jun ext legal'!L24+'[2]Jul ext legal'!L24</f>
        <v>0</v>
      </c>
      <c r="L24" s="236" t="n">
        <f aca="false">+'[2]Jan ext legal'!M24+'[2]Feb ext legal'!M24+'[2]Mar ext legal'!M24+'[2]Apr ext legal'!M24+'[2]May ext legal'!M24+'[2]Jun ext legal'!M24+'[2]Jul ext legal'!M24</f>
        <v>0</v>
      </c>
      <c r="M24" s="13" t="n">
        <f aca="false">+D24/D$73</f>
        <v>0</v>
      </c>
      <c r="N24" s="13" t="n">
        <f aca="false">+N$4*M24</f>
        <v>0</v>
      </c>
      <c r="O24" s="15"/>
      <c r="P24" s="13" t="n">
        <f aca="false">SUM(D24+N24)</f>
        <v>0</v>
      </c>
      <c r="Q24" s="16"/>
      <c r="R24" s="16"/>
    </row>
    <row r="25" customFormat="false" ht="11.25" hidden="false" customHeight="false" outlineLevel="0" collapsed="false">
      <c r="A25" s="234" t="n">
        <v>106587</v>
      </c>
      <c r="B25" s="16" t="s">
        <v>17</v>
      </c>
      <c r="C25" s="16" t="s">
        <v>209</v>
      </c>
      <c r="D25" s="235" t="n">
        <v>0</v>
      </c>
      <c r="E25" s="19" t="n">
        <f aca="false">+'[2]Jan ext legal'!E25+'[2]Feb ext legal'!E25+'[2]Mar ext legal'!E25+'[2]Apr ext legal'!E25+'[2]May ext legal'!E25+'[2]Jun ext legal'!E25+'[2]Jul ext legal'!E25</f>
        <v>0</v>
      </c>
      <c r="F25" s="236" t="n">
        <f aca="false">+'[2]Jan ext legal'!F25+'[2]Feb ext legal'!F25+'[2]Mar ext legal'!F25+'[2]Apr ext legal'!F25+'[2]May ext legal'!F25+'[2]Jun ext legal'!F25+'[2]Jul ext legal'!F25</f>
        <v>0</v>
      </c>
      <c r="G25" s="19" t="n">
        <f aca="false">+'[2]Jan ext legal'!G25+'[2]Feb ext legal'!G25+'[2]Mar ext legal'!G25+'[2]Apr ext legal'!G25+'[2]May ext legal'!G25+'[2]Jun ext legal'!G25+'[2]Jul ext legal'!G25</f>
        <v>0</v>
      </c>
      <c r="H25" s="236" t="n">
        <f aca="false">+'[2]Jan ext legal'!H25+'[2]Feb ext legal'!H25+'[2]Mar ext legal'!H25+'[2]Apr ext legal'!H25+'[2]May ext legal'!H25+'[2]Jun ext legal'!H25+'[2]Jul ext legal'!H25</f>
        <v>0</v>
      </c>
      <c r="I25" s="19" t="n">
        <f aca="false">+'[2]Jan ext legal'!I25+'[2]Feb ext legal'!I25+'[2]Mar ext legal'!I25+'[2]Apr ext legal'!I25+'[2]May ext legal'!I25+'[2]Jun ext legal'!I25+'[2]Jul ext legal'!I25</f>
        <v>0</v>
      </c>
      <c r="J25" s="236" t="n">
        <f aca="false">+'[2]Jan ext legal'!K25+'[2]Feb ext legal'!K25+'[2]Mar ext legal'!K25+'[2]Apr ext legal'!K25+'[2]May ext legal'!K25+'[2]Jun ext legal'!K25+'[2]Jul ext legal'!K25</f>
        <v>0</v>
      </c>
      <c r="K25" s="236" t="n">
        <f aca="false">+'[2]Jan ext legal'!L25+'[2]Feb ext legal'!L25+'[2]Mar ext legal'!L25+'[2]Apr ext legal'!L25+'[2]May ext legal'!L25+'[2]Jun ext legal'!L25+'[2]Jul ext legal'!L25</f>
        <v>0</v>
      </c>
      <c r="L25" s="236" t="n">
        <f aca="false">+'[2]Jan ext legal'!M25+'[2]Feb ext legal'!M25+'[2]Mar ext legal'!M25+'[2]Apr ext legal'!M25+'[2]May ext legal'!M25+'[2]Jun ext legal'!M25+'[2]Jul ext legal'!M25</f>
        <v>0</v>
      </c>
      <c r="M25" s="13" t="n">
        <f aca="false">+D25/D$73</f>
        <v>0</v>
      </c>
      <c r="N25" s="13" t="n">
        <f aca="false">+N$4*M25</f>
        <v>0</v>
      </c>
      <c r="O25" s="15"/>
      <c r="P25" s="13" t="n">
        <f aca="false">SUM(D25+N25)</f>
        <v>0</v>
      </c>
      <c r="Q25" s="16"/>
      <c r="R25" s="16"/>
    </row>
    <row r="26" customFormat="false" ht="11.25" hidden="false" customHeight="false" outlineLevel="0" collapsed="false">
      <c r="A26" s="234" t="n">
        <v>106588</v>
      </c>
      <c r="B26" s="16" t="s">
        <v>18</v>
      </c>
      <c r="C26" s="16" t="s">
        <v>210</v>
      </c>
      <c r="D26" s="235" t="n">
        <v>0</v>
      </c>
      <c r="E26" s="19" t="n">
        <f aca="false">+'[2]Jan ext legal'!E26+'[2]Feb ext legal'!E26+'[2]Mar ext legal'!E26+'[2]Apr ext legal'!E26+'[2]May ext legal'!E26+'[2]Jun ext legal'!E26+'[2]Jul ext legal'!E26</f>
        <v>0</v>
      </c>
      <c r="F26" s="236" t="n">
        <f aca="false">+'[2]Jan ext legal'!F26+'[2]Feb ext legal'!F26+'[2]Mar ext legal'!F26+'[2]Apr ext legal'!F26+'[2]May ext legal'!F26+'[2]Jun ext legal'!F26+'[2]Jul ext legal'!F26</f>
        <v>0</v>
      </c>
      <c r="G26" s="19" t="n">
        <f aca="false">+'[2]Jan ext legal'!G26+'[2]Feb ext legal'!G26+'[2]Mar ext legal'!G26+'[2]Apr ext legal'!G26+'[2]May ext legal'!G26+'[2]Jun ext legal'!G26+'[2]Jul ext legal'!G26</f>
        <v>0</v>
      </c>
      <c r="H26" s="236" t="n">
        <f aca="false">+'[2]Jan ext legal'!H26+'[2]Feb ext legal'!H26+'[2]Mar ext legal'!H26+'[2]Apr ext legal'!H26+'[2]May ext legal'!H26+'[2]Jun ext legal'!H26+'[2]Jul ext legal'!H26</f>
        <v>0</v>
      </c>
      <c r="I26" s="19" t="n">
        <f aca="false">+'[2]Jan ext legal'!I26+'[2]Feb ext legal'!I26+'[2]Mar ext legal'!I26+'[2]Apr ext legal'!I26+'[2]May ext legal'!I26+'[2]Jun ext legal'!I26+'[2]Jul ext legal'!I26</f>
        <v>0</v>
      </c>
      <c r="J26" s="236" t="n">
        <f aca="false">+'[2]Jan ext legal'!K26+'[2]Feb ext legal'!K26+'[2]Mar ext legal'!K26+'[2]Apr ext legal'!K26+'[2]May ext legal'!K26+'[2]Jun ext legal'!K26+'[2]Jul ext legal'!K26</f>
        <v>0</v>
      </c>
      <c r="K26" s="236" t="n">
        <f aca="false">+'[2]Jan ext legal'!L26+'[2]Feb ext legal'!L26+'[2]Mar ext legal'!L26+'[2]Apr ext legal'!L26+'[2]May ext legal'!L26+'[2]Jun ext legal'!L26+'[2]Jul ext legal'!L26</f>
        <v>0</v>
      </c>
      <c r="L26" s="236" t="n">
        <f aca="false">+'[2]Jan ext legal'!M26+'[2]Feb ext legal'!M26+'[2]Mar ext legal'!M26+'[2]Apr ext legal'!M26+'[2]May ext legal'!M26+'[2]Jun ext legal'!M26+'[2]Jul ext legal'!M26</f>
        <v>0</v>
      </c>
      <c r="M26" s="13" t="n">
        <f aca="false">+D26/D$73</f>
        <v>0</v>
      </c>
      <c r="N26" s="13" t="n">
        <f aca="false">+N$4*M26</f>
        <v>0</v>
      </c>
      <c r="O26" s="15"/>
      <c r="P26" s="13" t="n">
        <f aca="false">SUM(D26+N26)</f>
        <v>0</v>
      </c>
      <c r="Q26" s="16"/>
      <c r="R26" s="16"/>
    </row>
    <row r="27" customFormat="false" ht="11.25" hidden="false" customHeight="false" outlineLevel="0" collapsed="false">
      <c r="A27" s="234" t="n">
        <v>106589</v>
      </c>
      <c r="B27" s="16" t="s">
        <v>19</v>
      </c>
      <c r="C27" s="16"/>
      <c r="D27" s="235" t="n">
        <v>0</v>
      </c>
      <c r="E27" s="19" t="n">
        <f aca="false">+'[2]Jan ext legal'!E27+'[2]Feb ext legal'!E27+'[2]Mar ext legal'!E27+'[2]Apr ext legal'!E27+'[2]May ext legal'!E27+'[2]Jun ext legal'!E27+'[2]Jul ext legal'!E27</f>
        <v>0</v>
      </c>
      <c r="F27" s="236" t="n">
        <f aca="false">+'[2]Jan ext legal'!F27+'[2]Feb ext legal'!F27+'[2]Mar ext legal'!F27+'[2]Apr ext legal'!F27+'[2]May ext legal'!F27+'[2]Jun ext legal'!F27+'[2]Jul ext legal'!F27</f>
        <v>0</v>
      </c>
      <c r="G27" s="19" t="n">
        <f aca="false">+'[2]Jan ext legal'!G27+'[2]Feb ext legal'!G27+'[2]Mar ext legal'!G27+'[2]Apr ext legal'!G27+'[2]May ext legal'!G27+'[2]Jun ext legal'!G27+'[2]Jul ext legal'!G27</f>
        <v>0</v>
      </c>
      <c r="H27" s="236" t="n">
        <f aca="false">+'[2]Jan ext legal'!H27+'[2]Feb ext legal'!H27+'[2]Mar ext legal'!H27+'[2]Apr ext legal'!H27+'[2]May ext legal'!H27+'[2]Jun ext legal'!H27+'[2]Jul ext legal'!H27</f>
        <v>0</v>
      </c>
      <c r="I27" s="19" t="n">
        <f aca="false">+'[2]Jan ext legal'!I27+'[2]Feb ext legal'!I27+'[2]Mar ext legal'!I27+'[2]Apr ext legal'!I27+'[2]May ext legal'!I27+'[2]Jun ext legal'!I27+'[2]Jul ext legal'!I27</f>
        <v>0</v>
      </c>
      <c r="J27" s="236" t="n">
        <f aca="false">+'[2]Jan ext legal'!K27+'[2]Feb ext legal'!K27+'[2]Mar ext legal'!K27+'[2]Apr ext legal'!K27+'[2]May ext legal'!K27+'[2]Jun ext legal'!K27+'[2]Jul ext legal'!K27</f>
        <v>0</v>
      </c>
      <c r="K27" s="236" t="n">
        <f aca="false">+'[2]Jan ext legal'!L27+'[2]Feb ext legal'!L27+'[2]Mar ext legal'!L27+'[2]Apr ext legal'!L27+'[2]May ext legal'!L27+'[2]Jun ext legal'!L27+'[2]Jul ext legal'!L27</f>
        <v>0</v>
      </c>
      <c r="L27" s="236" t="n">
        <f aca="false">+'[2]Jan ext legal'!M27+'[2]Feb ext legal'!M27+'[2]Mar ext legal'!M27+'[2]Apr ext legal'!M27+'[2]May ext legal'!M27+'[2]Jun ext legal'!M27+'[2]Jul ext legal'!M27</f>
        <v>0</v>
      </c>
      <c r="M27" s="13" t="n">
        <f aca="false">+D27/D$73</f>
        <v>0</v>
      </c>
      <c r="N27" s="13" t="n">
        <f aca="false">+N$4*M27</f>
        <v>0</v>
      </c>
      <c r="O27" s="15"/>
      <c r="P27" s="13" t="n">
        <f aca="false">SUM(D27+N27)</f>
        <v>0</v>
      </c>
      <c r="Q27" s="16"/>
      <c r="R27" s="16"/>
    </row>
    <row r="28" customFormat="false" ht="11.25" hidden="false" customHeight="false" outlineLevel="0" collapsed="false">
      <c r="A28" s="234" t="n">
        <v>106590</v>
      </c>
      <c r="B28" s="16" t="s">
        <v>20</v>
      </c>
      <c r="C28" s="16" t="s">
        <v>210</v>
      </c>
      <c r="D28" s="235" t="n">
        <v>0</v>
      </c>
      <c r="E28" s="19" t="n">
        <f aca="false">+'[2]Jan ext legal'!E28+'[2]Feb ext legal'!E28+'[2]Mar ext legal'!E28+'[2]Apr ext legal'!E28+'[2]May ext legal'!E28+'[2]Jun ext legal'!E28+'[2]Jul ext legal'!E28</f>
        <v>0</v>
      </c>
      <c r="F28" s="236" t="n">
        <f aca="false">+'[2]Jan ext legal'!F28+'[2]Feb ext legal'!F28+'[2]Mar ext legal'!F28+'[2]Apr ext legal'!F28+'[2]May ext legal'!F28+'[2]Jun ext legal'!F28+'[2]Jul ext legal'!F28</f>
        <v>0</v>
      </c>
      <c r="G28" s="19" t="n">
        <f aca="false">+'[2]Jan ext legal'!G28+'[2]Feb ext legal'!G28+'[2]Mar ext legal'!G28+'[2]Apr ext legal'!G28+'[2]May ext legal'!G28+'[2]Jun ext legal'!G28+'[2]Jul ext legal'!G28</f>
        <v>0</v>
      </c>
      <c r="H28" s="236" t="n">
        <f aca="false">+'[2]Jan ext legal'!H28+'[2]Feb ext legal'!H28+'[2]Mar ext legal'!H28+'[2]Apr ext legal'!H28+'[2]May ext legal'!H28+'[2]Jun ext legal'!H28+'[2]Jul ext legal'!H28</f>
        <v>0</v>
      </c>
      <c r="I28" s="19" t="n">
        <f aca="false">+'[2]Jan ext legal'!I28+'[2]Feb ext legal'!I28+'[2]Mar ext legal'!I28+'[2]Apr ext legal'!I28+'[2]May ext legal'!I28+'[2]Jun ext legal'!I28+'[2]Jul ext legal'!I28</f>
        <v>0</v>
      </c>
      <c r="J28" s="236" t="n">
        <f aca="false">+'[2]Jan ext legal'!K28+'[2]Feb ext legal'!K28+'[2]Mar ext legal'!K28+'[2]Apr ext legal'!K28+'[2]May ext legal'!K28+'[2]Jun ext legal'!K28+'[2]Jul ext legal'!K28</f>
        <v>0</v>
      </c>
      <c r="K28" s="236" t="n">
        <f aca="false">+'[2]Jan ext legal'!L28+'[2]Feb ext legal'!L28+'[2]Mar ext legal'!L28+'[2]Apr ext legal'!L28+'[2]May ext legal'!L28+'[2]Jun ext legal'!L28+'[2]Jul ext legal'!L28</f>
        <v>0</v>
      </c>
      <c r="L28" s="236" t="n">
        <f aca="false">+'[2]Jan ext legal'!M28+'[2]Feb ext legal'!M28+'[2]Mar ext legal'!M28+'[2]Apr ext legal'!M28+'[2]May ext legal'!M28+'[2]Jun ext legal'!M28+'[2]Jul ext legal'!M28</f>
        <v>0</v>
      </c>
      <c r="M28" s="13" t="n">
        <f aca="false">+D28/D$73</f>
        <v>0</v>
      </c>
      <c r="N28" s="13" t="n">
        <f aca="false">+N$4*M28</f>
        <v>0</v>
      </c>
      <c r="O28" s="15"/>
      <c r="P28" s="13" t="n">
        <f aca="false">SUM(D28+N28)</f>
        <v>0</v>
      </c>
      <c r="Q28" s="16"/>
      <c r="R28" s="16"/>
    </row>
    <row r="29" customFormat="false" ht="11.25" hidden="false" customHeight="false" outlineLevel="0" collapsed="false">
      <c r="A29" s="234" t="n">
        <v>106591</v>
      </c>
      <c r="B29" s="16" t="s">
        <v>21</v>
      </c>
      <c r="C29" s="16" t="s">
        <v>210</v>
      </c>
      <c r="D29" s="235" t="n">
        <v>0</v>
      </c>
      <c r="E29" s="19" t="n">
        <f aca="false">+'[2]Jan ext legal'!E29+'[2]Feb ext legal'!E29+'[2]Mar ext legal'!E29+'[2]Apr ext legal'!E29+'[2]May ext legal'!E29+'[2]Jun ext legal'!E29+'[2]Jul ext legal'!E29</f>
        <v>0</v>
      </c>
      <c r="F29" s="236" t="n">
        <f aca="false">+'[2]Jan ext legal'!F29+'[2]Feb ext legal'!F29+'[2]Mar ext legal'!F29+'[2]Apr ext legal'!F29+'[2]May ext legal'!F29+'[2]Jun ext legal'!F29+'[2]Jul ext legal'!F29</f>
        <v>0</v>
      </c>
      <c r="G29" s="19" t="n">
        <f aca="false">+'[2]Jan ext legal'!G29+'[2]Feb ext legal'!G29+'[2]Mar ext legal'!G29+'[2]Apr ext legal'!G29+'[2]May ext legal'!G29+'[2]Jun ext legal'!G29+'[2]Jul ext legal'!G29</f>
        <v>0</v>
      </c>
      <c r="H29" s="236" t="n">
        <f aca="false">+'[2]Jan ext legal'!H29+'[2]Feb ext legal'!H29+'[2]Mar ext legal'!H29+'[2]Apr ext legal'!H29+'[2]May ext legal'!H29+'[2]Jun ext legal'!H29+'[2]Jul ext legal'!H29</f>
        <v>0</v>
      </c>
      <c r="I29" s="19" t="n">
        <f aca="false">+'[2]Jan ext legal'!I29+'[2]Feb ext legal'!I29+'[2]Mar ext legal'!I29+'[2]Apr ext legal'!I29+'[2]May ext legal'!I29+'[2]Jun ext legal'!I29+'[2]Jul ext legal'!I29</f>
        <v>0</v>
      </c>
      <c r="J29" s="236" t="n">
        <f aca="false">+'[2]Jan ext legal'!K29+'[2]Feb ext legal'!K29+'[2]Mar ext legal'!K29+'[2]Apr ext legal'!K29+'[2]May ext legal'!K29+'[2]Jun ext legal'!K29+'[2]Jul ext legal'!K29</f>
        <v>0</v>
      </c>
      <c r="K29" s="236" t="n">
        <f aca="false">+'[2]Jan ext legal'!L29+'[2]Feb ext legal'!L29+'[2]Mar ext legal'!L29+'[2]Apr ext legal'!L29+'[2]May ext legal'!L29+'[2]Jun ext legal'!L29+'[2]Jul ext legal'!L29</f>
        <v>0</v>
      </c>
      <c r="L29" s="236" t="n">
        <f aca="false">+'[2]Jan ext legal'!M29+'[2]Feb ext legal'!M29+'[2]Mar ext legal'!M29+'[2]Apr ext legal'!M29+'[2]May ext legal'!M29+'[2]Jun ext legal'!M29+'[2]Jul ext legal'!M29</f>
        <v>0</v>
      </c>
      <c r="M29" s="13" t="n">
        <f aca="false">+D29/D$73</f>
        <v>0</v>
      </c>
      <c r="N29" s="13" t="n">
        <f aca="false">+N$4*M29</f>
        <v>0</v>
      </c>
      <c r="O29" s="15"/>
      <c r="P29" s="13" t="n">
        <f aca="false">SUM(D29+N29)</f>
        <v>0</v>
      </c>
      <c r="Q29" s="16"/>
      <c r="R29" s="16"/>
    </row>
    <row r="30" customFormat="false" ht="11.25" hidden="false" customHeight="false" outlineLevel="0" collapsed="false">
      <c r="A30" s="234" t="n">
        <v>106592</v>
      </c>
      <c r="B30" s="16" t="s">
        <v>22</v>
      </c>
      <c r="C30" s="16" t="s">
        <v>210</v>
      </c>
      <c r="D30" s="235" t="n">
        <v>0</v>
      </c>
      <c r="E30" s="19" t="n">
        <f aca="false">+'[2]Jan ext legal'!E30+'[2]Feb ext legal'!E30+'[2]Mar ext legal'!E30+'[2]Apr ext legal'!E30+'[2]May ext legal'!E30+'[2]Jun ext legal'!E30+'[2]Jul ext legal'!E30</f>
        <v>0</v>
      </c>
      <c r="F30" s="236" t="n">
        <f aca="false">+'[2]Jan ext legal'!F30+'[2]Feb ext legal'!F30+'[2]Mar ext legal'!F30+'[2]Apr ext legal'!F30+'[2]May ext legal'!F30+'[2]Jun ext legal'!F30+'[2]Jul ext legal'!F30</f>
        <v>0</v>
      </c>
      <c r="G30" s="19" t="n">
        <f aca="false">+'[2]Jan ext legal'!G30+'[2]Feb ext legal'!G30+'[2]Mar ext legal'!G30+'[2]Apr ext legal'!G30+'[2]May ext legal'!G30+'[2]Jun ext legal'!G30+'[2]Jul ext legal'!G30</f>
        <v>0</v>
      </c>
      <c r="H30" s="236" t="n">
        <f aca="false">+'[2]Jan ext legal'!H30+'[2]Feb ext legal'!H30+'[2]Mar ext legal'!H30+'[2]Apr ext legal'!H30+'[2]May ext legal'!H30+'[2]Jun ext legal'!H30+'[2]Jul ext legal'!H30</f>
        <v>0</v>
      </c>
      <c r="I30" s="19" t="n">
        <f aca="false">+'[2]Jan ext legal'!I30+'[2]Feb ext legal'!I30+'[2]Mar ext legal'!I30+'[2]Apr ext legal'!I30+'[2]May ext legal'!I30+'[2]Jun ext legal'!I30+'[2]Jul ext legal'!I30</f>
        <v>0</v>
      </c>
      <c r="J30" s="236" t="n">
        <f aca="false">+'[2]Jan ext legal'!K30+'[2]Feb ext legal'!K30+'[2]Mar ext legal'!K30+'[2]Apr ext legal'!K30+'[2]May ext legal'!K30+'[2]Jun ext legal'!K30+'[2]Jul ext legal'!K30</f>
        <v>0</v>
      </c>
      <c r="K30" s="236" t="n">
        <f aca="false">+'[2]Jan ext legal'!L30+'[2]Feb ext legal'!L30+'[2]Mar ext legal'!L30+'[2]Apr ext legal'!L30+'[2]May ext legal'!L30+'[2]Jun ext legal'!L30+'[2]Jul ext legal'!L30</f>
        <v>0</v>
      </c>
      <c r="L30" s="236" t="n">
        <f aca="false">+'[2]Jan ext legal'!M30+'[2]Feb ext legal'!M30+'[2]Mar ext legal'!M30+'[2]Apr ext legal'!M30+'[2]May ext legal'!M30+'[2]Jun ext legal'!M30+'[2]Jul ext legal'!M30</f>
        <v>0</v>
      </c>
      <c r="M30" s="13" t="n">
        <f aca="false">+D30/D$73</f>
        <v>0</v>
      </c>
      <c r="N30" s="13" t="n">
        <f aca="false">+N$4*M30</f>
        <v>0</v>
      </c>
      <c r="O30" s="15"/>
      <c r="P30" s="13" t="n">
        <f aca="false">SUM(D30+N30)</f>
        <v>0</v>
      </c>
      <c r="Q30" s="16"/>
      <c r="R30" s="16"/>
    </row>
    <row r="31" customFormat="false" ht="11.25" hidden="false" customHeight="false" outlineLevel="0" collapsed="false">
      <c r="A31" s="234" t="n">
        <v>106593</v>
      </c>
      <c r="B31" s="16" t="s">
        <v>23</v>
      </c>
      <c r="C31" s="16" t="s">
        <v>210</v>
      </c>
      <c r="D31" s="235" t="n">
        <v>0</v>
      </c>
      <c r="E31" s="19" t="n">
        <f aca="false">+'[2]Jan ext legal'!E31+'[2]Feb ext legal'!E31+'[2]Mar ext legal'!E31+'[2]Apr ext legal'!E31+'[2]May ext legal'!E31+'[2]Jun ext legal'!E31+'[2]Jul ext legal'!E31</f>
        <v>0</v>
      </c>
      <c r="F31" s="236" t="n">
        <f aca="false">+'[2]Jan ext legal'!F31+'[2]Feb ext legal'!F31+'[2]Mar ext legal'!F31+'[2]Apr ext legal'!F31+'[2]May ext legal'!F31+'[2]Jun ext legal'!F31+'[2]Jul ext legal'!F31</f>
        <v>0</v>
      </c>
      <c r="G31" s="19" t="n">
        <f aca="false">+'[2]Jan ext legal'!G31+'[2]Feb ext legal'!G31+'[2]Mar ext legal'!G31+'[2]Apr ext legal'!G31+'[2]May ext legal'!G31+'[2]Jun ext legal'!G31+'[2]Jul ext legal'!G31</f>
        <v>0</v>
      </c>
      <c r="H31" s="236" t="n">
        <f aca="false">+'[2]Jan ext legal'!H31+'[2]Feb ext legal'!H31+'[2]Mar ext legal'!H31+'[2]Apr ext legal'!H31+'[2]May ext legal'!H31+'[2]Jun ext legal'!H31+'[2]Jul ext legal'!H31</f>
        <v>0</v>
      </c>
      <c r="I31" s="19" t="n">
        <f aca="false">+'[2]Jan ext legal'!I31+'[2]Feb ext legal'!I31+'[2]Mar ext legal'!I31+'[2]Apr ext legal'!I31+'[2]May ext legal'!I31+'[2]Jun ext legal'!I31+'[2]Jul ext legal'!I31</f>
        <v>0</v>
      </c>
      <c r="J31" s="236" t="n">
        <f aca="false">+'[2]Jan ext legal'!K31+'[2]Feb ext legal'!K31+'[2]Mar ext legal'!K31+'[2]Apr ext legal'!K31+'[2]May ext legal'!K31+'[2]Jun ext legal'!K31+'[2]Jul ext legal'!K31</f>
        <v>0</v>
      </c>
      <c r="K31" s="236" t="n">
        <f aca="false">+'[2]Jan ext legal'!L31+'[2]Feb ext legal'!L31+'[2]Mar ext legal'!L31+'[2]Apr ext legal'!L31+'[2]May ext legal'!L31+'[2]Jun ext legal'!L31+'[2]Jul ext legal'!L31</f>
        <v>0</v>
      </c>
      <c r="L31" s="236" t="n">
        <f aca="false">+'[2]Jan ext legal'!M31+'[2]Feb ext legal'!M31+'[2]Mar ext legal'!M31+'[2]Apr ext legal'!M31+'[2]May ext legal'!M31+'[2]Jun ext legal'!M31+'[2]Jul ext legal'!M31</f>
        <v>0</v>
      </c>
      <c r="M31" s="13" t="n">
        <f aca="false">+D31/D$73</f>
        <v>0</v>
      </c>
      <c r="N31" s="13" t="n">
        <f aca="false">+N$4*M31</f>
        <v>0</v>
      </c>
      <c r="O31" s="15"/>
      <c r="P31" s="13" t="n">
        <f aca="false">SUM(D31+N31)</f>
        <v>0</v>
      </c>
      <c r="Q31" s="16"/>
      <c r="R31" s="16"/>
    </row>
    <row r="32" customFormat="false" ht="11.25" hidden="false" customHeight="false" outlineLevel="0" collapsed="false">
      <c r="A32" s="234" t="n">
        <v>106594</v>
      </c>
      <c r="B32" s="16" t="s">
        <v>24</v>
      </c>
      <c r="C32" s="16" t="s">
        <v>210</v>
      </c>
      <c r="D32" s="235" t="n">
        <v>0</v>
      </c>
      <c r="E32" s="19" t="n">
        <f aca="false">+'[2]Jan ext legal'!E32+'[2]Feb ext legal'!E32+'[2]Mar ext legal'!E32+'[2]Apr ext legal'!E32+'[2]May ext legal'!E32+'[2]Jun ext legal'!E32+'[2]Jul ext legal'!E32</f>
        <v>0</v>
      </c>
      <c r="F32" s="236" t="n">
        <f aca="false">+'[2]Jan ext legal'!F32+'[2]Feb ext legal'!F32+'[2]Mar ext legal'!F32+'[2]Apr ext legal'!F32+'[2]May ext legal'!F32+'[2]Jun ext legal'!F32+'[2]Jul ext legal'!F32</f>
        <v>0</v>
      </c>
      <c r="G32" s="19" t="n">
        <f aca="false">+'[2]Jan ext legal'!G32+'[2]Feb ext legal'!G32+'[2]Mar ext legal'!G32+'[2]Apr ext legal'!G32+'[2]May ext legal'!G32+'[2]Jun ext legal'!G32+'[2]Jul ext legal'!G32</f>
        <v>0</v>
      </c>
      <c r="H32" s="236" t="n">
        <f aca="false">+'[2]Jan ext legal'!H32+'[2]Feb ext legal'!H32+'[2]Mar ext legal'!H32+'[2]Apr ext legal'!H32+'[2]May ext legal'!H32+'[2]Jun ext legal'!H32+'[2]Jul ext legal'!H32</f>
        <v>0</v>
      </c>
      <c r="I32" s="19" t="n">
        <f aca="false">+'[2]Jan ext legal'!I32+'[2]Feb ext legal'!I32+'[2]Mar ext legal'!I32+'[2]Apr ext legal'!I32+'[2]May ext legal'!I32+'[2]Jun ext legal'!I32+'[2]Jul ext legal'!I32</f>
        <v>0</v>
      </c>
      <c r="J32" s="236" t="n">
        <f aca="false">+'[2]Jan ext legal'!K32+'[2]Feb ext legal'!K32+'[2]Mar ext legal'!K32+'[2]Apr ext legal'!K32+'[2]May ext legal'!K32+'[2]Jun ext legal'!K32+'[2]Jul ext legal'!K32</f>
        <v>0</v>
      </c>
      <c r="K32" s="236" t="n">
        <f aca="false">+'[2]Jan ext legal'!L32+'[2]Feb ext legal'!L32+'[2]Mar ext legal'!L32+'[2]Apr ext legal'!L32+'[2]May ext legal'!L32+'[2]Jun ext legal'!L32+'[2]Jul ext legal'!L32</f>
        <v>0</v>
      </c>
      <c r="L32" s="236" t="n">
        <f aca="false">+'[2]Jan ext legal'!M32+'[2]Feb ext legal'!M32+'[2]Mar ext legal'!M32+'[2]Apr ext legal'!M32+'[2]May ext legal'!M32+'[2]Jun ext legal'!M32+'[2]Jul ext legal'!M32</f>
        <v>0</v>
      </c>
      <c r="M32" s="13" t="n">
        <f aca="false">+D32/D$73</f>
        <v>0</v>
      </c>
      <c r="N32" s="13" t="n">
        <f aca="false">+N$4*M32</f>
        <v>0</v>
      </c>
      <c r="O32" s="15"/>
      <c r="P32" s="13" t="n">
        <f aca="false">SUM(D32+N32)</f>
        <v>0</v>
      </c>
      <c r="Q32" s="16"/>
      <c r="R32" s="16"/>
    </row>
    <row r="33" customFormat="false" ht="11.25" hidden="false" customHeight="false" outlineLevel="0" collapsed="false">
      <c r="A33" s="234" t="n">
        <v>106595</v>
      </c>
      <c r="B33" s="16" t="s">
        <v>25</v>
      </c>
      <c r="C33" s="16" t="s">
        <v>210</v>
      </c>
      <c r="D33" s="235" t="n">
        <v>0</v>
      </c>
      <c r="E33" s="19" t="n">
        <f aca="false">+'[2]Jan ext legal'!E33+'[2]Feb ext legal'!E33+'[2]Mar ext legal'!E33+'[2]Apr ext legal'!E33+'[2]May ext legal'!E33+'[2]Jun ext legal'!E33+'[2]Jul ext legal'!E33</f>
        <v>0</v>
      </c>
      <c r="F33" s="236" t="n">
        <f aca="false">+'[2]Jan ext legal'!F33+'[2]Feb ext legal'!F33+'[2]Mar ext legal'!F33+'[2]Apr ext legal'!F33+'[2]May ext legal'!F33+'[2]Jun ext legal'!F33+'[2]Jul ext legal'!F33</f>
        <v>0</v>
      </c>
      <c r="G33" s="19" t="n">
        <f aca="false">+'[2]Jan ext legal'!G33+'[2]Feb ext legal'!G33+'[2]Mar ext legal'!G33+'[2]Apr ext legal'!G33+'[2]May ext legal'!G33+'[2]Jun ext legal'!G33+'[2]Jul ext legal'!G33</f>
        <v>0</v>
      </c>
      <c r="H33" s="236" t="n">
        <f aca="false">+'[2]Jan ext legal'!H33+'[2]Feb ext legal'!H33+'[2]Mar ext legal'!H33+'[2]Apr ext legal'!H33+'[2]May ext legal'!H33+'[2]Jun ext legal'!H33+'[2]Jul ext legal'!H33</f>
        <v>0</v>
      </c>
      <c r="I33" s="19" t="n">
        <f aca="false">+'[2]Jan ext legal'!I33+'[2]Feb ext legal'!I33+'[2]Mar ext legal'!I33+'[2]Apr ext legal'!I33+'[2]May ext legal'!I33+'[2]Jun ext legal'!I33+'[2]Jul ext legal'!I33</f>
        <v>0</v>
      </c>
      <c r="J33" s="236" t="n">
        <f aca="false">+'[2]Jan ext legal'!K33+'[2]Feb ext legal'!K33+'[2]Mar ext legal'!K33+'[2]Apr ext legal'!K33+'[2]May ext legal'!K33+'[2]Jun ext legal'!K33+'[2]Jul ext legal'!K33</f>
        <v>0</v>
      </c>
      <c r="K33" s="236" t="n">
        <f aca="false">+'[2]Jan ext legal'!L33+'[2]Feb ext legal'!L33+'[2]Mar ext legal'!L33+'[2]Apr ext legal'!L33+'[2]May ext legal'!L33+'[2]Jun ext legal'!L33+'[2]Jul ext legal'!L33</f>
        <v>0</v>
      </c>
      <c r="L33" s="236" t="n">
        <f aca="false">+'[2]Jan ext legal'!M33+'[2]Feb ext legal'!M33+'[2]Mar ext legal'!M33+'[2]Apr ext legal'!M33+'[2]May ext legal'!M33+'[2]Jun ext legal'!M33+'[2]Jul ext legal'!M33</f>
        <v>0</v>
      </c>
      <c r="M33" s="13" t="n">
        <f aca="false">+D33/D$73</f>
        <v>0</v>
      </c>
      <c r="N33" s="13" t="n">
        <f aca="false">+N$4*M33</f>
        <v>0</v>
      </c>
      <c r="O33" s="15"/>
      <c r="P33" s="13" t="n">
        <f aca="false">SUM(D33+N33)</f>
        <v>0</v>
      </c>
      <c r="Q33" s="16"/>
      <c r="R33" s="16"/>
    </row>
    <row r="34" customFormat="false" ht="11.25" hidden="false" customHeight="false" outlineLevel="0" collapsed="false">
      <c r="A34" s="234" t="n">
        <v>106597</v>
      </c>
      <c r="B34" s="16" t="s">
        <v>26</v>
      </c>
      <c r="C34" s="16" t="s">
        <v>211</v>
      </c>
      <c r="D34" s="235" t="n">
        <v>0</v>
      </c>
      <c r="E34" s="19" t="n">
        <f aca="false">+'[2]Jan ext legal'!E34+'[2]Feb ext legal'!E34+'[2]Mar ext legal'!E34+'[2]Apr ext legal'!E34+'[2]May ext legal'!E34+'[2]Jun ext legal'!E34+'[2]Jul ext legal'!E34</f>
        <v>0</v>
      </c>
      <c r="F34" s="236" t="n">
        <f aca="false">+'[2]Jan ext legal'!F34+'[2]Feb ext legal'!F34+'[2]Mar ext legal'!F34+'[2]Apr ext legal'!F34+'[2]May ext legal'!F34+'[2]Jun ext legal'!F34+'[2]Jul ext legal'!F34</f>
        <v>0</v>
      </c>
      <c r="G34" s="19" t="n">
        <f aca="false">+'[2]Jan ext legal'!G34+'[2]Feb ext legal'!G34+'[2]Mar ext legal'!G34+'[2]Apr ext legal'!G34+'[2]May ext legal'!G34+'[2]Jun ext legal'!G34+'[2]Jul ext legal'!G34</f>
        <v>0</v>
      </c>
      <c r="H34" s="236" t="n">
        <f aca="false">+'[2]Jan ext legal'!H34+'[2]Feb ext legal'!H34+'[2]Mar ext legal'!H34+'[2]Apr ext legal'!H34+'[2]May ext legal'!H34+'[2]Jun ext legal'!H34+'[2]Jul ext legal'!H34</f>
        <v>0</v>
      </c>
      <c r="I34" s="19" t="n">
        <f aca="false">+'[2]Jan ext legal'!I34+'[2]Feb ext legal'!I34+'[2]Mar ext legal'!I34+'[2]Apr ext legal'!I34+'[2]May ext legal'!I34+'[2]Jun ext legal'!I34+'[2]Jul ext legal'!I34</f>
        <v>0</v>
      </c>
      <c r="J34" s="236" t="n">
        <f aca="false">+'[2]Jan ext legal'!K34+'[2]Feb ext legal'!K34+'[2]Mar ext legal'!K34+'[2]Apr ext legal'!K34+'[2]May ext legal'!K34+'[2]Jun ext legal'!K34+'[2]Jul ext legal'!K34</f>
        <v>0</v>
      </c>
      <c r="K34" s="236" t="n">
        <f aca="false">+'[2]Jan ext legal'!L34+'[2]Feb ext legal'!L34+'[2]Mar ext legal'!L34+'[2]Apr ext legal'!L34+'[2]May ext legal'!L34+'[2]Jun ext legal'!L34+'[2]Jul ext legal'!L34</f>
        <v>0</v>
      </c>
      <c r="L34" s="236" t="n">
        <f aca="false">+'[2]Jan ext legal'!M34+'[2]Feb ext legal'!M34+'[2]Mar ext legal'!M34+'[2]Apr ext legal'!M34+'[2]May ext legal'!M34+'[2]Jun ext legal'!M34+'[2]Jul ext legal'!M34</f>
        <v>0</v>
      </c>
      <c r="M34" s="13" t="n">
        <f aca="false">+D34/D$73</f>
        <v>0</v>
      </c>
      <c r="N34" s="13" t="n">
        <f aca="false">+N$4*M34</f>
        <v>0</v>
      </c>
      <c r="O34" s="15"/>
      <c r="P34" s="13" t="n">
        <f aca="false">SUM(D34+N34)</f>
        <v>0</v>
      </c>
      <c r="Q34" s="16"/>
      <c r="R34" s="16"/>
    </row>
    <row r="35" customFormat="false" ht="11.25" hidden="false" customHeight="false" outlineLevel="0" collapsed="false">
      <c r="A35" s="234" t="n">
        <v>106598</v>
      </c>
      <c r="B35" s="16" t="s">
        <v>27</v>
      </c>
      <c r="C35" s="16" t="s">
        <v>212</v>
      </c>
      <c r="D35" s="235" t="n">
        <v>0</v>
      </c>
      <c r="E35" s="19" t="n">
        <f aca="false">+'[2]Jan ext legal'!E35+'[2]Feb ext legal'!E35+'[2]Mar ext legal'!E35+'[2]Apr ext legal'!E35+'[2]May ext legal'!E35+'[2]Jun ext legal'!E35+'[2]Jul ext legal'!E35</f>
        <v>0</v>
      </c>
      <c r="F35" s="236" t="n">
        <f aca="false">+'[2]Jan ext legal'!F35+'[2]Feb ext legal'!F35+'[2]Mar ext legal'!F35+'[2]Apr ext legal'!F35+'[2]May ext legal'!F35+'[2]Jun ext legal'!F35+'[2]Jul ext legal'!F35</f>
        <v>0</v>
      </c>
      <c r="G35" s="19" t="n">
        <f aca="false">+'[2]Jan ext legal'!G35+'[2]Feb ext legal'!G35+'[2]Mar ext legal'!G35+'[2]Apr ext legal'!G35+'[2]May ext legal'!G35+'[2]Jun ext legal'!G35+'[2]Jul ext legal'!G35</f>
        <v>0</v>
      </c>
      <c r="H35" s="236" t="n">
        <f aca="false">+'[2]Jan ext legal'!H35+'[2]Feb ext legal'!H35+'[2]Mar ext legal'!H35+'[2]Apr ext legal'!H35+'[2]May ext legal'!H35+'[2]Jun ext legal'!H35+'[2]Jul ext legal'!H35</f>
        <v>0</v>
      </c>
      <c r="I35" s="19" t="n">
        <f aca="false">+'[2]Jan ext legal'!I35+'[2]Feb ext legal'!I35+'[2]Mar ext legal'!I35+'[2]Apr ext legal'!I35+'[2]May ext legal'!I35+'[2]Jun ext legal'!I35+'[2]Jul ext legal'!I35</f>
        <v>0</v>
      </c>
      <c r="J35" s="236" t="n">
        <f aca="false">+'[2]Jan ext legal'!K35+'[2]Feb ext legal'!K35+'[2]Mar ext legal'!K35+'[2]Apr ext legal'!K35+'[2]May ext legal'!K35+'[2]Jun ext legal'!K35+'[2]Jul ext legal'!K35</f>
        <v>0</v>
      </c>
      <c r="K35" s="236" t="n">
        <f aca="false">+'[2]Jan ext legal'!L35+'[2]Feb ext legal'!L35+'[2]Mar ext legal'!L35+'[2]Apr ext legal'!L35+'[2]May ext legal'!L35+'[2]Jun ext legal'!L35+'[2]Jul ext legal'!L35</f>
        <v>0</v>
      </c>
      <c r="L35" s="236" t="n">
        <f aca="false">+'[2]Jan ext legal'!M35+'[2]Feb ext legal'!M35+'[2]Mar ext legal'!M35+'[2]Apr ext legal'!M35+'[2]May ext legal'!M35+'[2]Jun ext legal'!M35+'[2]Jul ext legal'!M35</f>
        <v>0</v>
      </c>
      <c r="M35" s="13" t="n">
        <f aca="false">+D35/D$73</f>
        <v>0</v>
      </c>
      <c r="N35" s="13" t="n">
        <f aca="false">+N$4*M35</f>
        <v>0</v>
      </c>
      <c r="O35" s="15"/>
      <c r="P35" s="13" t="n">
        <f aca="false">SUM(D35+N35)</f>
        <v>0</v>
      </c>
      <c r="Q35" s="16"/>
      <c r="R35" s="16"/>
    </row>
    <row r="36" customFormat="false" ht="11.25" hidden="false" customHeight="false" outlineLevel="0" collapsed="false">
      <c r="A36" s="234" t="n">
        <v>106607</v>
      </c>
      <c r="B36" s="16" t="s">
        <v>28</v>
      </c>
      <c r="C36" s="16" t="s">
        <v>210</v>
      </c>
      <c r="D36" s="235" t="n">
        <v>0</v>
      </c>
      <c r="E36" s="19" t="n">
        <f aca="false">+'[2]Jan ext legal'!E36+'[2]Feb ext legal'!E36+'[2]Mar ext legal'!E36+'[2]Apr ext legal'!E36+'[2]May ext legal'!E36+'[2]Jun ext legal'!E36+'[2]Jul ext legal'!E36</f>
        <v>0</v>
      </c>
      <c r="F36" s="236" t="n">
        <f aca="false">+'[2]Jan ext legal'!F36+'[2]Feb ext legal'!F36+'[2]Mar ext legal'!F36+'[2]Apr ext legal'!F36+'[2]May ext legal'!F36+'[2]Jun ext legal'!F36+'[2]Jul ext legal'!F36</f>
        <v>0</v>
      </c>
      <c r="G36" s="19" t="n">
        <f aca="false">+'[2]Jan ext legal'!G36+'[2]Feb ext legal'!G36+'[2]Mar ext legal'!G36+'[2]Apr ext legal'!G36+'[2]May ext legal'!G36+'[2]Jun ext legal'!G36+'[2]Jul ext legal'!G36</f>
        <v>0</v>
      </c>
      <c r="H36" s="236" t="n">
        <f aca="false">+'[2]Jan ext legal'!H36+'[2]Feb ext legal'!H36+'[2]Mar ext legal'!H36+'[2]Apr ext legal'!H36+'[2]May ext legal'!H36+'[2]Jun ext legal'!H36+'[2]Jul ext legal'!H36</f>
        <v>0</v>
      </c>
      <c r="I36" s="19" t="n">
        <f aca="false">+'[2]Jan ext legal'!I36+'[2]Feb ext legal'!I36+'[2]Mar ext legal'!I36+'[2]Apr ext legal'!I36+'[2]May ext legal'!I36+'[2]Jun ext legal'!I36+'[2]Jul ext legal'!I36</f>
        <v>0</v>
      </c>
      <c r="J36" s="236" t="n">
        <f aca="false">+'[2]Jan ext legal'!K36+'[2]Feb ext legal'!K36+'[2]Mar ext legal'!K36+'[2]Apr ext legal'!K36+'[2]May ext legal'!K36+'[2]Jun ext legal'!K36+'[2]Jul ext legal'!K36</f>
        <v>0</v>
      </c>
      <c r="K36" s="236" t="n">
        <f aca="false">+'[2]Jan ext legal'!L36+'[2]Feb ext legal'!L36+'[2]Mar ext legal'!L36+'[2]Apr ext legal'!L36+'[2]May ext legal'!L36+'[2]Jun ext legal'!L36+'[2]Jul ext legal'!L36</f>
        <v>0</v>
      </c>
      <c r="L36" s="236" t="n">
        <f aca="false">+'[2]Jan ext legal'!M36+'[2]Feb ext legal'!M36+'[2]Mar ext legal'!M36+'[2]Apr ext legal'!M36+'[2]May ext legal'!M36+'[2]Jun ext legal'!M36+'[2]Jul ext legal'!M36</f>
        <v>0</v>
      </c>
      <c r="M36" s="13" t="n">
        <f aca="false">+D36/D$73</f>
        <v>0</v>
      </c>
      <c r="N36" s="13" t="n">
        <f aca="false">+N$4*M36</f>
        <v>0</v>
      </c>
      <c r="O36" s="15"/>
      <c r="P36" s="13" t="n">
        <f aca="false">SUM(D36+N36)</f>
        <v>0</v>
      </c>
      <c r="Q36" s="16"/>
      <c r="R36" s="16"/>
    </row>
    <row r="37" customFormat="false" ht="11.25" hidden="false" customHeight="false" outlineLevel="0" collapsed="false">
      <c r="A37" s="234" t="n">
        <v>106608</v>
      </c>
      <c r="B37" s="16" t="s">
        <v>29</v>
      </c>
      <c r="C37" s="16" t="s">
        <v>213</v>
      </c>
      <c r="D37" s="235" t="n">
        <v>0</v>
      </c>
      <c r="E37" s="19" t="n">
        <f aca="false">+'[2]Jan ext legal'!E37+'[2]Feb ext legal'!E37+'[2]Mar ext legal'!E37+'[2]Apr ext legal'!E37+'[2]May ext legal'!E37+'[2]Jun ext legal'!E37+'[2]Jul ext legal'!E37</f>
        <v>0</v>
      </c>
      <c r="F37" s="236" t="n">
        <f aca="false">+'[2]Jan ext legal'!F37+'[2]Feb ext legal'!F37+'[2]Mar ext legal'!F37+'[2]Apr ext legal'!F37+'[2]May ext legal'!F37+'[2]Jun ext legal'!F37+'[2]Jul ext legal'!F37</f>
        <v>0</v>
      </c>
      <c r="G37" s="19" t="n">
        <f aca="false">+'[2]Jan ext legal'!G37+'[2]Feb ext legal'!G37+'[2]Mar ext legal'!G37+'[2]Apr ext legal'!G37+'[2]May ext legal'!G37+'[2]Jun ext legal'!G37+'[2]Jul ext legal'!G37</f>
        <v>0</v>
      </c>
      <c r="H37" s="236" t="n">
        <f aca="false">+'[2]Jan ext legal'!H37+'[2]Feb ext legal'!H37+'[2]Mar ext legal'!H37+'[2]Apr ext legal'!H37+'[2]May ext legal'!H37+'[2]Jun ext legal'!H37+'[2]Jul ext legal'!H37</f>
        <v>0</v>
      </c>
      <c r="I37" s="19" t="n">
        <f aca="false">+'[2]Jan ext legal'!I37+'[2]Feb ext legal'!I37+'[2]Mar ext legal'!I37+'[2]Apr ext legal'!I37+'[2]May ext legal'!I37+'[2]Jun ext legal'!I37+'[2]Jul ext legal'!I37</f>
        <v>0</v>
      </c>
      <c r="J37" s="236" t="n">
        <f aca="false">+'[2]Jan ext legal'!K37+'[2]Feb ext legal'!K37+'[2]Mar ext legal'!K37+'[2]Apr ext legal'!K37+'[2]May ext legal'!K37+'[2]Jun ext legal'!K37+'[2]Jul ext legal'!K37</f>
        <v>0</v>
      </c>
      <c r="K37" s="236" t="n">
        <f aca="false">+'[2]Jan ext legal'!L37+'[2]Feb ext legal'!L37+'[2]Mar ext legal'!L37+'[2]Apr ext legal'!L37+'[2]May ext legal'!L37+'[2]Jun ext legal'!L37+'[2]Jul ext legal'!L37</f>
        <v>0</v>
      </c>
      <c r="L37" s="236" t="n">
        <f aca="false">+'[2]Jan ext legal'!M37+'[2]Feb ext legal'!M37+'[2]Mar ext legal'!M37+'[2]Apr ext legal'!M37+'[2]May ext legal'!M37+'[2]Jun ext legal'!M37+'[2]Jul ext legal'!M37</f>
        <v>0</v>
      </c>
      <c r="M37" s="13" t="n">
        <f aca="false">+D37/D$73</f>
        <v>0</v>
      </c>
      <c r="N37" s="13" t="n">
        <f aca="false">+N$4*M37</f>
        <v>0</v>
      </c>
      <c r="O37" s="15"/>
      <c r="P37" s="13" t="n">
        <f aca="false">SUM(D37+N37)</f>
        <v>0</v>
      </c>
      <c r="Q37" s="16"/>
      <c r="R37" s="16"/>
    </row>
    <row r="38" customFormat="false" ht="11.25" hidden="false" customHeight="false" outlineLevel="0" collapsed="false">
      <c r="A38" s="234" t="n">
        <v>106609</v>
      </c>
      <c r="B38" s="16" t="s">
        <v>30</v>
      </c>
      <c r="C38" s="16" t="s">
        <v>214</v>
      </c>
      <c r="D38" s="235" t="n">
        <v>0</v>
      </c>
      <c r="E38" s="19" t="n">
        <f aca="false">+'[2]Jan ext legal'!E38+'[2]Feb ext legal'!E38+'[2]Mar ext legal'!E38+'[2]Apr ext legal'!E38+'[2]May ext legal'!E38+'[2]Jun ext legal'!E38+'[2]Jul ext legal'!E38</f>
        <v>0</v>
      </c>
      <c r="F38" s="236" t="n">
        <f aca="false">+'[2]Jan ext legal'!F38+'[2]Feb ext legal'!F38+'[2]Mar ext legal'!F38+'[2]Apr ext legal'!F38+'[2]May ext legal'!F38+'[2]Jun ext legal'!F38+'[2]Jul ext legal'!F38</f>
        <v>0</v>
      </c>
      <c r="G38" s="19" t="n">
        <f aca="false">+'[2]Jan ext legal'!G38+'[2]Feb ext legal'!G38+'[2]Mar ext legal'!G38+'[2]Apr ext legal'!G38+'[2]May ext legal'!G38+'[2]Jun ext legal'!G38+'[2]Jul ext legal'!G38</f>
        <v>0</v>
      </c>
      <c r="H38" s="236" t="n">
        <f aca="false">+'[2]Jan ext legal'!H38+'[2]Feb ext legal'!H38+'[2]Mar ext legal'!H38+'[2]Apr ext legal'!H38+'[2]May ext legal'!H38+'[2]Jun ext legal'!H38+'[2]Jul ext legal'!H38</f>
        <v>0</v>
      </c>
      <c r="I38" s="19" t="n">
        <f aca="false">+'[2]Jan ext legal'!I38+'[2]Feb ext legal'!I38+'[2]Mar ext legal'!I38+'[2]Apr ext legal'!I38+'[2]May ext legal'!I38+'[2]Jun ext legal'!I38+'[2]Jul ext legal'!I38</f>
        <v>0</v>
      </c>
      <c r="J38" s="236" t="n">
        <f aca="false">+'[2]Jan ext legal'!K38+'[2]Feb ext legal'!K38+'[2]Mar ext legal'!K38+'[2]Apr ext legal'!K38+'[2]May ext legal'!K38+'[2]Jun ext legal'!K38+'[2]Jul ext legal'!K38</f>
        <v>0</v>
      </c>
      <c r="K38" s="236" t="n">
        <f aca="false">+'[2]Jan ext legal'!L38+'[2]Feb ext legal'!L38+'[2]Mar ext legal'!L38+'[2]Apr ext legal'!L38+'[2]May ext legal'!L38+'[2]Jun ext legal'!L38+'[2]Jul ext legal'!L38</f>
        <v>0</v>
      </c>
      <c r="L38" s="236" t="n">
        <f aca="false">+'[2]Jan ext legal'!M38+'[2]Feb ext legal'!M38+'[2]Mar ext legal'!M38+'[2]Apr ext legal'!M38+'[2]May ext legal'!M38+'[2]Jun ext legal'!M38+'[2]Jul ext legal'!M38</f>
        <v>0</v>
      </c>
      <c r="M38" s="13" t="n">
        <f aca="false">+D38/D$73</f>
        <v>0</v>
      </c>
      <c r="N38" s="13" t="n">
        <f aca="false">+N$4*M38</f>
        <v>0</v>
      </c>
      <c r="O38" s="15"/>
      <c r="P38" s="13" t="n">
        <f aca="false">SUM(D38+N38)</f>
        <v>0</v>
      </c>
      <c r="Q38" s="16"/>
      <c r="R38" s="16"/>
    </row>
    <row r="39" customFormat="false" ht="11.25" hidden="false" customHeight="false" outlineLevel="0" collapsed="false">
      <c r="A39" s="234" t="n">
        <v>106610</v>
      </c>
      <c r="B39" s="16" t="s">
        <v>31</v>
      </c>
      <c r="C39" s="16" t="s">
        <v>215</v>
      </c>
      <c r="D39" s="235" t="n">
        <v>0</v>
      </c>
      <c r="E39" s="19" t="n">
        <f aca="false">+'[2]Jan ext legal'!E39+'[2]Feb ext legal'!E39+'[2]Mar ext legal'!E39+'[2]Apr ext legal'!E39+'[2]May ext legal'!E39+'[2]Jun ext legal'!E39+'[2]Jul ext legal'!E39</f>
        <v>0</v>
      </c>
      <c r="F39" s="236" t="n">
        <f aca="false">+'[2]Jan ext legal'!F39+'[2]Feb ext legal'!F39+'[2]Mar ext legal'!F39+'[2]Apr ext legal'!F39+'[2]May ext legal'!F39+'[2]Jun ext legal'!F39+'[2]Jul ext legal'!F39</f>
        <v>0</v>
      </c>
      <c r="G39" s="19" t="n">
        <f aca="false">+'[2]Jan ext legal'!G39+'[2]Feb ext legal'!G39+'[2]Mar ext legal'!G39+'[2]Apr ext legal'!G39+'[2]May ext legal'!G39+'[2]Jun ext legal'!G39+'[2]Jul ext legal'!G39</f>
        <v>0</v>
      </c>
      <c r="H39" s="236" t="n">
        <f aca="false">+'[2]Jan ext legal'!H39+'[2]Feb ext legal'!H39+'[2]Mar ext legal'!H39+'[2]Apr ext legal'!H39+'[2]May ext legal'!H39+'[2]Jun ext legal'!H39+'[2]Jul ext legal'!H39</f>
        <v>0</v>
      </c>
      <c r="I39" s="19" t="n">
        <f aca="false">+'[2]Jan ext legal'!I39+'[2]Feb ext legal'!I39+'[2]Mar ext legal'!I39+'[2]Apr ext legal'!I39+'[2]May ext legal'!I39+'[2]Jun ext legal'!I39+'[2]Jul ext legal'!I39</f>
        <v>0</v>
      </c>
      <c r="J39" s="236" t="n">
        <f aca="false">+'[2]Jan ext legal'!K39+'[2]Feb ext legal'!K39+'[2]Mar ext legal'!K39+'[2]Apr ext legal'!K39+'[2]May ext legal'!K39+'[2]Jun ext legal'!K39+'[2]Jul ext legal'!K39</f>
        <v>0</v>
      </c>
      <c r="K39" s="236" t="n">
        <f aca="false">+'[2]Jan ext legal'!L39+'[2]Feb ext legal'!L39+'[2]Mar ext legal'!L39+'[2]Apr ext legal'!L39+'[2]May ext legal'!L39+'[2]Jun ext legal'!L39+'[2]Jul ext legal'!L39</f>
        <v>0</v>
      </c>
      <c r="L39" s="236" t="n">
        <f aca="false">+'[2]Jan ext legal'!M39+'[2]Feb ext legal'!M39+'[2]Mar ext legal'!M39+'[2]Apr ext legal'!M39+'[2]May ext legal'!M39+'[2]Jun ext legal'!M39+'[2]Jul ext legal'!M39</f>
        <v>0</v>
      </c>
      <c r="M39" s="13" t="n">
        <f aca="false">+D39/D$73</f>
        <v>0</v>
      </c>
      <c r="N39" s="13" t="n">
        <f aca="false">+N$4*M39</f>
        <v>0</v>
      </c>
      <c r="O39" s="15"/>
      <c r="P39" s="13" t="n">
        <f aca="false">SUM(D39+N39)</f>
        <v>0</v>
      </c>
      <c r="Q39" s="16"/>
      <c r="R39" s="16"/>
    </row>
    <row r="40" customFormat="false" ht="11.25" hidden="false" customHeight="false" outlineLevel="0" collapsed="false">
      <c r="A40" s="234" t="n">
        <v>106611</v>
      </c>
      <c r="B40" s="16" t="s">
        <v>32</v>
      </c>
      <c r="C40" s="16" t="s">
        <v>216</v>
      </c>
      <c r="D40" s="235" t="n">
        <v>0</v>
      </c>
      <c r="E40" s="19" t="n">
        <f aca="false">+'[2]Jan ext legal'!E40+'[2]Feb ext legal'!E40+'[2]Mar ext legal'!E40+'[2]Apr ext legal'!E40+'[2]May ext legal'!E40+'[2]Jun ext legal'!E40+'[2]Jul ext legal'!E40</f>
        <v>0</v>
      </c>
      <c r="F40" s="236" t="n">
        <f aca="false">+'[2]Jan ext legal'!F40+'[2]Feb ext legal'!F40+'[2]Mar ext legal'!F40+'[2]Apr ext legal'!F40+'[2]May ext legal'!F40+'[2]Jun ext legal'!F40+'[2]Jul ext legal'!F40</f>
        <v>0</v>
      </c>
      <c r="G40" s="19" t="n">
        <f aca="false">+'[2]Jan ext legal'!G40+'[2]Feb ext legal'!G40+'[2]Mar ext legal'!G40+'[2]Apr ext legal'!G40+'[2]May ext legal'!G40+'[2]Jun ext legal'!G40+'[2]Jul ext legal'!G40</f>
        <v>0</v>
      </c>
      <c r="H40" s="236" t="n">
        <f aca="false">+'[2]Jan ext legal'!H40+'[2]Feb ext legal'!H40+'[2]Mar ext legal'!H40+'[2]Apr ext legal'!H40+'[2]May ext legal'!H40+'[2]Jun ext legal'!H40+'[2]Jul ext legal'!H40</f>
        <v>0</v>
      </c>
      <c r="I40" s="19" t="n">
        <f aca="false">+'[2]Jan ext legal'!I40+'[2]Feb ext legal'!I40+'[2]Mar ext legal'!I40+'[2]Apr ext legal'!I40+'[2]May ext legal'!I40+'[2]Jun ext legal'!I40+'[2]Jul ext legal'!I40</f>
        <v>0</v>
      </c>
      <c r="J40" s="236" t="n">
        <f aca="false">+'[2]Jan ext legal'!K40+'[2]Feb ext legal'!K40+'[2]Mar ext legal'!K40+'[2]Apr ext legal'!K40+'[2]May ext legal'!K40+'[2]Jun ext legal'!K40+'[2]Jul ext legal'!K40</f>
        <v>0</v>
      </c>
      <c r="K40" s="236" t="n">
        <f aca="false">+'[2]Jan ext legal'!L40+'[2]Feb ext legal'!L40+'[2]Mar ext legal'!L40+'[2]Apr ext legal'!L40+'[2]May ext legal'!L40+'[2]Jun ext legal'!L40+'[2]Jul ext legal'!L40</f>
        <v>0</v>
      </c>
      <c r="L40" s="236" t="n">
        <f aca="false">+'[2]Jan ext legal'!M40+'[2]Feb ext legal'!M40+'[2]Mar ext legal'!M40+'[2]Apr ext legal'!M40+'[2]May ext legal'!M40+'[2]Jun ext legal'!M40+'[2]Jul ext legal'!M40</f>
        <v>0</v>
      </c>
      <c r="M40" s="13" t="n">
        <f aca="false">+D40/D$73</f>
        <v>0</v>
      </c>
      <c r="N40" s="13" t="n">
        <f aca="false">+N$4*M40</f>
        <v>0</v>
      </c>
      <c r="O40" s="15"/>
      <c r="P40" s="13" t="n">
        <f aca="false">SUM(D40+N40)</f>
        <v>0</v>
      </c>
      <c r="Q40" s="16"/>
      <c r="R40" s="16"/>
    </row>
    <row r="41" customFormat="false" ht="11.25" hidden="false" customHeight="false" outlineLevel="0" collapsed="false">
      <c r="A41" s="234" t="n">
        <v>106616</v>
      </c>
      <c r="B41" s="16" t="s">
        <v>33</v>
      </c>
      <c r="C41" s="16" t="s">
        <v>217</v>
      </c>
      <c r="D41" s="235" t="n">
        <v>0</v>
      </c>
      <c r="E41" s="19" t="n">
        <f aca="false">+'[2]Jan ext legal'!E41+'[2]Feb ext legal'!E41+'[2]Mar ext legal'!E41+'[2]Apr ext legal'!E41+'[2]May ext legal'!E41+'[2]Jun ext legal'!E41+'[2]Jul ext legal'!E41</f>
        <v>0</v>
      </c>
      <c r="F41" s="236" t="n">
        <f aca="false">+'[2]Jan ext legal'!F41+'[2]Feb ext legal'!F41+'[2]Mar ext legal'!F41+'[2]Apr ext legal'!F41+'[2]May ext legal'!F41+'[2]Jun ext legal'!F41+'[2]Jul ext legal'!F41</f>
        <v>0</v>
      </c>
      <c r="G41" s="19" t="n">
        <f aca="false">+'[2]Jan ext legal'!G41+'[2]Feb ext legal'!G41+'[2]Mar ext legal'!G41+'[2]Apr ext legal'!G41+'[2]May ext legal'!G41+'[2]Jun ext legal'!G41+'[2]Jul ext legal'!G41</f>
        <v>0</v>
      </c>
      <c r="H41" s="236" t="n">
        <f aca="false">+'[2]Jan ext legal'!H41+'[2]Feb ext legal'!H41+'[2]Mar ext legal'!H41+'[2]Apr ext legal'!H41+'[2]May ext legal'!H41+'[2]Jun ext legal'!H41+'[2]Jul ext legal'!H41</f>
        <v>0</v>
      </c>
      <c r="I41" s="19" t="n">
        <f aca="false">+'[2]Jan ext legal'!I41+'[2]Feb ext legal'!I41+'[2]Mar ext legal'!I41+'[2]Apr ext legal'!I41+'[2]May ext legal'!I41+'[2]Jun ext legal'!I41+'[2]Jul ext legal'!I41</f>
        <v>0</v>
      </c>
      <c r="J41" s="236" t="n">
        <f aca="false">+'[2]Jan ext legal'!K41+'[2]Feb ext legal'!K41+'[2]Mar ext legal'!K41+'[2]Apr ext legal'!K41+'[2]May ext legal'!K41+'[2]Jun ext legal'!K41+'[2]Jul ext legal'!K41</f>
        <v>0</v>
      </c>
      <c r="K41" s="236" t="n">
        <f aca="false">+'[2]Jan ext legal'!L41+'[2]Feb ext legal'!L41+'[2]Mar ext legal'!L41+'[2]Apr ext legal'!L41+'[2]May ext legal'!L41+'[2]Jun ext legal'!L41+'[2]Jul ext legal'!L41</f>
        <v>0</v>
      </c>
      <c r="L41" s="236" t="n">
        <f aca="false">+'[2]Jan ext legal'!M41+'[2]Feb ext legal'!M41+'[2]Mar ext legal'!M41+'[2]Apr ext legal'!M41+'[2]May ext legal'!M41+'[2]Jun ext legal'!M41+'[2]Jul ext legal'!M41</f>
        <v>0</v>
      </c>
      <c r="M41" s="13" t="n">
        <f aca="false">+D41/D$73</f>
        <v>0</v>
      </c>
      <c r="N41" s="13" t="n">
        <f aca="false">+N$4*M41</f>
        <v>0</v>
      </c>
      <c r="O41" s="15"/>
      <c r="P41" s="13" t="n">
        <f aca="false">SUM(D41+N41)</f>
        <v>0</v>
      </c>
      <c r="Q41" s="16"/>
      <c r="R41" s="16"/>
    </row>
    <row r="42" customFormat="false" ht="11.25" hidden="false" customHeight="false" outlineLevel="0" collapsed="false">
      <c r="A42" s="234" t="n">
        <v>106617</v>
      </c>
      <c r="B42" s="16" t="s">
        <v>34</v>
      </c>
      <c r="C42" s="16" t="s">
        <v>218</v>
      </c>
      <c r="D42" s="235" t="n">
        <v>0</v>
      </c>
      <c r="E42" s="19" t="n">
        <f aca="false">+'[2]Jan ext legal'!E42+'[2]Feb ext legal'!E42+'[2]Mar ext legal'!E42+'[2]Apr ext legal'!E42+'[2]May ext legal'!E42+'[2]Jun ext legal'!E42+'[2]Jul ext legal'!E42</f>
        <v>0</v>
      </c>
      <c r="F42" s="236" t="n">
        <f aca="false">+'[2]Jan ext legal'!F42+'[2]Feb ext legal'!F42+'[2]Mar ext legal'!F42+'[2]Apr ext legal'!F42+'[2]May ext legal'!F42+'[2]Jun ext legal'!F42+'[2]Jul ext legal'!F42</f>
        <v>0</v>
      </c>
      <c r="G42" s="19" t="n">
        <f aca="false">+'[2]Jan ext legal'!G42+'[2]Feb ext legal'!G42+'[2]Mar ext legal'!G42+'[2]Apr ext legal'!G42+'[2]May ext legal'!G42+'[2]Jun ext legal'!G42+'[2]Jul ext legal'!G42</f>
        <v>0</v>
      </c>
      <c r="H42" s="236" t="n">
        <f aca="false">+'[2]Jan ext legal'!H42+'[2]Feb ext legal'!H42+'[2]Mar ext legal'!H42+'[2]Apr ext legal'!H42+'[2]May ext legal'!H42+'[2]Jun ext legal'!H42+'[2]Jul ext legal'!H42</f>
        <v>0</v>
      </c>
      <c r="I42" s="19" t="n">
        <f aca="false">+'[2]Jan ext legal'!I42+'[2]Feb ext legal'!I42+'[2]Mar ext legal'!I42+'[2]Apr ext legal'!I42+'[2]May ext legal'!I42+'[2]Jun ext legal'!I42+'[2]Jul ext legal'!I42</f>
        <v>0</v>
      </c>
      <c r="J42" s="236" t="n">
        <f aca="false">+'[2]Jan ext legal'!K42+'[2]Feb ext legal'!K42+'[2]Mar ext legal'!K42+'[2]Apr ext legal'!K42+'[2]May ext legal'!K42+'[2]Jun ext legal'!K42+'[2]Jul ext legal'!K42</f>
        <v>0</v>
      </c>
      <c r="K42" s="236" t="n">
        <f aca="false">+'[2]Jan ext legal'!L42+'[2]Feb ext legal'!L42+'[2]Mar ext legal'!L42+'[2]Apr ext legal'!L42+'[2]May ext legal'!L42+'[2]Jun ext legal'!L42+'[2]Jul ext legal'!L42</f>
        <v>0</v>
      </c>
      <c r="L42" s="236" t="n">
        <f aca="false">+'[2]Jan ext legal'!M42+'[2]Feb ext legal'!M42+'[2]Mar ext legal'!M42+'[2]Apr ext legal'!M42+'[2]May ext legal'!M42+'[2]Jun ext legal'!M42+'[2]Jul ext legal'!M42</f>
        <v>0</v>
      </c>
      <c r="M42" s="13" t="n">
        <f aca="false">+D42/D$73</f>
        <v>0</v>
      </c>
      <c r="N42" s="13" t="n">
        <f aca="false">+N$4*M42</f>
        <v>0</v>
      </c>
      <c r="O42" s="15"/>
      <c r="P42" s="13" t="n">
        <f aca="false">SUM(D42+N42)</f>
        <v>0</v>
      </c>
      <c r="Q42" s="16"/>
      <c r="R42" s="16"/>
    </row>
    <row r="43" customFormat="false" ht="11.25" hidden="false" customHeight="false" outlineLevel="0" collapsed="false">
      <c r="A43" s="237" t="n">
        <v>106790</v>
      </c>
      <c r="B43" s="238" t="s">
        <v>35</v>
      </c>
      <c r="C43" s="16" t="s">
        <v>219</v>
      </c>
      <c r="D43" s="235" t="n">
        <v>380150.15</v>
      </c>
      <c r="E43" s="19" t="n">
        <f aca="false">+'[2]Jan ext legal'!E43+'[2]Feb ext legal'!E43+'[2]Mar ext legal'!E43+'[2]Apr ext legal'!E43+'[2]May ext legal'!E43+'[2]Jun ext legal'!E43+'[2]Jul ext legal'!E43</f>
        <v>380030.15</v>
      </c>
      <c r="F43" s="236" t="n">
        <f aca="false">+'[2]Jan ext legal'!F43+'[2]Feb ext legal'!F43+'[2]Mar ext legal'!F43+'[2]Apr ext legal'!F43+'[2]May ext legal'!F43+'[2]Jun ext legal'!F43+'[2]Jul ext legal'!F43</f>
        <v>0</v>
      </c>
      <c r="G43" s="19" t="n">
        <f aca="false">+'[2]Jan ext legal'!G43+'[2]Feb ext legal'!G43+'[2]Mar ext legal'!G43+'[2]Apr ext legal'!G43+'[2]May ext legal'!G43+'[2]Jun ext legal'!G43+'[2]Jul ext legal'!G43</f>
        <v>120</v>
      </c>
      <c r="H43" s="236" t="n">
        <f aca="false">+'[2]Jan ext legal'!H43+'[2]Feb ext legal'!H43+'[2]Mar ext legal'!H43+'[2]Apr ext legal'!H43+'[2]May ext legal'!H43+'[2]Jun ext legal'!H43+'[2]Jul ext legal'!H43</f>
        <v>0</v>
      </c>
      <c r="I43" s="19" t="n">
        <f aca="false">+'[2]Jan ext legal'!I43+'[2]Feb ext legal'!I43+'[2]Mar ext legal'!I43+'[2]Apr ext legal'!I43+'[2]May ext legal'!I43+'[2]Jun ext legal'!I43+'[2]Jul ext legal'!I43</f>
        <v>0</v>
      </c>
      <c r="J43" s="236" t="n">
        <f aca="false">+'[2]Jan ext legal'!K43+'[2]Feb ext legal'!K43+'[2]Mar ext legal'!K43+'[2]Apr ext legal'!K43+'[2]May ext legal'!K43+'[2]Jun ext legal'!K43+'[2]Jul ext legal'!K43</f>
        <v>0</v>
      </c>
      <c r="K43" s="236" t="n">
        <f aca="false">+'[2]Jan ext legal'!L43+'[2]Feb ext legal'!L43+'[2]Mar ext legal'!L43+'[2]Apr ext legal'!L43+'[2]May ext legal'!L43+'[2]Jun ext legal'!L43+'[2]Jul ext legal'!L43</f>
        <v>0</v>
      </c>
      <c r="L43" s="236" t="n">
        <f aca="false">+'[2]Jan ext legal'!M43+'[2]Feb ext legal'!M43+'[2]Mar ext legal'!M43+'[2]Apr ext legal'!M43+'[2]May ext legal'!M43+'[2]Jun ext legal'!M43+'[2]Jul ext legal'!M43</f>
        <v>0</v>
      </c>
      <c r="M43" s="13" t="n">
        <f aca="false">+D43/D$73</f>
        <v>0.0323964213295155</v>
      </c>
      <c r="N43" s="13" t="n">
        <f aca="false">+N$4*M43</f>
        <v>282356.666188593</v>
      </c>
      <c r="O43" s="15"/>
      <c r="P43" s="13" t="n">
        <f aca="false">SUM(D43+N43)</f>
        <v>662506.816188593</v>
      </c>
      <c r="Q43" s="16"/>
      <c r="R43" s="16"/>
    </row>
    <row r="44" customFormat="false" ht="11.25" hidden="false" customHeight="false" outlineLevel="0" collapsed="false">
      <c r="A44" s="234" t="n">
        <v>106798</v>
      </c>
      <c r="B44" s="16" t="s">
        <v>36</v>
      </c>
      <c r="C44" s="16" t="s">
        <v>220</v>
      </c>
      <c r="D44" s="235" t="n">
        <v>0</v>
      </c>
      <c r="E44" s="19" t="n">
        <f aca="false">+'[2]Jan ext legal'!E44+'[2]Feb ext legal'!E44+'[2]Mar ext legal'!E44+'[2]Apr ext legal'!E44+'[2]May ext legal'!E44+'[2]Jun ext legal'!E44+'[2]Jul ext legal'!E44</f>
        <v>0</v>
      </c>
      <c r="F44" s="236" t="n">
        <f aca="false">+'[2]Jan ext legal'!F44+'[2]Feb ext legal'!F44+'[2]Mar ext legal'!F44+'[2]Apr ext legal'!F44+'[2]May ext legal'!F44+'[2]Jun ext legal'!F44+'[2]Jul ext legal'!F44</f>
        <v>0</v>
      </c>
      <c r="G44" s="19" t="n">
        <f aca="false">+'[2]Jan ext legal'!G44+'[2]Feb ext legal'!G44+'[2]Mar ext legal'!G44+'[2]Apr ext legal'!G44+'[2]May ext legal'!G44+'[2]Jun ext legal'!G44+'[2]Jul ext legal'!G44</f>
        <v>0</v>
      </c>
      <c r="H44" s="236" t="n">
        <f aca="false">+'[2]Jan ext legal'!H44+'[2]Feb ext legal'!H44+'[2]Mar ext legal'!H44+'[2]Apr ext legal'!H44+'[2]May ext legal'!H44+'[2]Jun ext legal'!H44+'[2]Jul ext legal'!H44</f>
        <v>0</v>
      </c>
      <c r="I44" s="19" t="n">
        <f aca="false">+'[2]Jan ext legal'!I44+'[2]Feb ext legal'!I44+'[2]Mar ext legal'!I44+'[2]Apr ext legal'!I44+'[2]May ext legal'!I44+'[2]Jun ext legal'!I44+'[2]Jul ext legal'!I44</f>
        <v>0</v>
      </c>
      <c r="J44" s="236" t="n">
        <f aca="false">+'[2]Jan ext legal'!K44+'[2]Feb ext legal'!K44+'[2]Mar ext legal'!K44+'[2]Apr ext legal'!K44+'[2]May ext legal'!K44+'[2]Jun ext legal'!K44+'[2]Jul ext legal'!K44</f>
        <v>0</v>
      </c>
      <c r="K44" s="236" t="n">
        <f aca="false">+'[2]Jan ext legal'!L44+'[2]Feb ext legal'!L44+'[2]Mar ext legal'!L44+'[2]Apr ext legal'!L44+'[2]May ext legal'!L44+'[2]Jun ext legal'!L44+'[2]Jul ext legal'!L44</f>
        <v>0</v>
      </c>
      <c r="L44" s="236" t="n">
        <f aca="false">+'[2]Jan ext legal'!M44+'[2]Feb ext legal'!M44+'[2]Mar ext legal'!M44+'[2]Apr ext legal'!M44+'[2]May ext legal'!M44+'[2]Jun ext legal'!M44+'[2]Jul ext legal'!M44</f>
        <v>0</v>
      </c>
      <c r="M44" s="13" t="n">
        <f aca="false">+D44/D$73</f>
        <v>0</v>
      </c>
      <c r="N44" s="13" t="n">
        <f aca="false">+N$4*M44</f>
        <v>0</v>
      </c>
      <c r="O44" s="15"/>
      <c r="P44" s="13" t="n">
        <f aca="false">SUM(D44+N44)</f>
        <v>0</v>
      </c>
      <c r="Q44" s="16"/>
      <c r="R44" s="16"/>
    </row>
    <row r="45" customFormat="false" ht="11.25" hidden="false" customHeight="false" outlineLevel="0" collapsed="false">
      <c r="A45" s="234" t="n">
        <v>106802</v>
      </c>
      <c r="B45" s="16" t="s">
        <v>37</v>
      </c>
      <c r="C45" s="16" t="s">
        <v>221</v>
      </c>
      <c r="D45" s="235" t="n">
        <v>1029.82</v>
      </c>
      <c r="E45" s="19" t="n">
        <f aca="false">+'[2]Jan ext legal'!E45+'[2]Feb ext legal'!E45+'[2]Mar ext legal'!E45+'[2]Apr ext legal'!E45+'[2]May ext legal'!E45+'[2]Jun ext legal'!E45+'[2]Jul ext legal'!E45</f>
        <v>1029.82</v>
      </c>
      <c r="F45" s="236" t="n">
        <f aca="false">+'[2]Jan ext legal'!F45+'[2]Feb ext legal'!F45+'[2]Mar ext legal'!F45+'[2]Apr ext legal'!F45+'[2]May ext legal'!F45+'[2]Jun ext legal'!F45+'[2]Jul ext legal'!F45</f>
        <v>0</v>
      </c>
      <c r="G45" s="19" t="n">
        <f aca="false">+'[2]Jan ext legal'!G45+'[2]Feb ext legal'!G45+'[2]Mar ext legal'!G45+'[2]Apr ext legal'!G45+'[2]May ext legal'!G45+'[2]Jun ext legal'!G45+'[2]Jul ext legal'!G45</f>
        <v>0</v>
      </c>
      <c r="H45" s="236" t="n">
        <f aca="false">+'[2]Jan ext legal'!H45+'[2]Feb ext legal'!H45+'[2]Mar ext legal'!H45+'[2]Apr ext legal'!H45+'[2]May ext legal'!H45+'[2]Jun ext legal'!H45+'[2]Jul ext legal'!H45</f>
        <v>0</v>
      </c>
      <c r="I45" s="19" t="n">
        <f aca="false">+'[2]Jan ext legal'!I45+'[2]Feb ext legal'!I45+'[2]Mar ext legal'!I45+'[2]Apr ext legal'!I45+'[2]May ext legal'!I45+'[2]Jun ext legal'!I45+'[2]Jul ext legal'!I45</f>
        <v>0</v>
      </c>
      <c r="J45" s="236" t="n">
        <f aca="false">+'[2]Jan ext legal'!K45+'[2]Feb ext legal'!K45+'[2]Mar ext legal'!K45+'[2]Apr ext legal'!K45+'[2]May ext legal'!K45+'[2]Jun ext legal'!K45+'[2]Jul ext legal'!K45</f>
        <v>0</v>
      </c>
      <c r="K45" s="236" t="n">
        <f aca="false">+'[2]Jan ext legal'!L45+'[2]Feb ext legal'!L45+'[2]Mar ext legal'!L45+'[2]Apr ext legal'!L45+'[2]May ext legal'!L45+'[2]Jun ext legal'!L45+'[2]Jul ext legal'!L45</f>
        <v>0</v>
      </c>
      <c r="L45" s="236" t="n">
        <f aca="false">+'[2]Jan ext legal'!M45+'[2]Feb ext legal'!M45+'[2]Mar ext legal'!M45+'[2]Apr ext legal'!M45+'[2]May ext legal'!M45+'[2]Jun ext legal'!M45+'[2]Jul ext legal'!M45</f>
        <v>0</v>
      </c>
      <c r="M45" s="13" t="n">
        <f aca="false">+D45/D$73</f>
        <v>8.77613296050565E-005</v>
      </c>
      <c r="N45" s="13" t="n">
        <f aca="false">+N$4*M45</f>
        <v>764.899190423406</v>
      </c>
      <c r="O45" s="15"/>
      <c r="P45" s="13" t="n">
        <f aca="false">SUM(D45+N45)</f>
        <v>1794.71919042341</v>
      </c>
      <c r="Q45" s="16"/>
      <c r="R45" s="16"/>
    </row>
    <row r="46" customFormat="false" ht="11.25" hidden="false" customHeight="false" outlineLevel="0" collapsed="false">
      <c r="A46" s="234" t="n">
        <v>106860</v>
      </c>
      <c r="B46" s="16" t="s">
        <v>38</v>
      </c>
      <c r="C46" s="238" t="s">
        <v>222</v>
      </c>
      <c r="D46" s="235" t="n">
        <v>47123.2</v>
      </c>
      <c r="E46" s="19" t="n">
        <f aca="false">+'[2]Jan ext legal'!E46+'[2]Feb ext legal'!E46+'[2]Mar ext legal'!E46+'[2]Apr ext legal'!E46+'[2]May ext legal'!E46+'[2]Jun ext legal'!E46+'[2]Jul ext legal'!E46</f>
        <v>0</v>
      </c>
      <c r="F46" s="236" t="n">
        <f aca="false">+'[2]Jan ext legal'!F46+'[2]Feb ext legal'!F46+'[2]Mar ext legal'!F46+'[2]Apr ext legal'!F46+'[2]May ext legal'!F46+'[2]Jun ext legal'!F46+'[2]Jul ext legal'!F46</f>
        <v>0</v>
      </c>
      <c r="G46" s="19" t="n">
        <f aca="false">+'[2]Jan ext legal'!G46+'[2]Feb ext legal'!G46+'[2]Mar ext legal'!G46+'[2]Apr ext legal'!G46+'[2]May ext legal'!G46+'[2]Jun ext legal'!G46+'[2]Jul ext legal'!G46</f>
        <v>0</v>
      </c>
      <c r="H46" s="236" t="n">
        <f aca="false">+'[2]Jan ext legal'!H46+'[2]Feb ext legal'!H46+'[2]Mar ext legal'!H46+'[2]Apr ext legal'!H46+'[2]May ext legal'!H46+'[2]Jun ext legal'!H46+'[2]Jul ext legal'!H46</f>
        <v>0</v>
      </c>
      <c r="I46" s="19" t="n">
        <f aca="false">+'[2]Jan ext legal'!I46+'[2]Feb ext legal'!I46+'[2]Mar ext legal'!I46+'[2]Apr ext legal'!I46+'[2]May ext legal'!I46+'[2]Jun ext legal'!I46+'[2]Jul ext legal'!I46</f>
        <v>47123.2</v>
      </c>
      <c r="J46" s="236" t="n">
        <f aca="false">+'[2]Jan ext legal'!K46+'[2]Feb ext legal'!K46+'[2]Mar ext legal'!K46+'[2]Apr ext legal'!K46+'[2]May ext legal'!K46+'[2]Jun ext legal'!K46+'[2]Jul ext legal'!K46</f>
        <v>0</v>
      </c>
      <c r="K46" s="236" t="n">
        <f aca="false">+'[2]Jan ext legal'!L46+'[2]Feb ext legal'!L46+'[2]Mar ext legal'!L46+'[2]Apr ext legal'!L46+'[2]May ext legal'!L46+'[2]Jun ext legal'!L46+'[2]Jul ext legal'!L46</f>
        <v>0</v>
      </c>
      <c r="L46" s="236" t="n">
        <f aca="false">+'[2]Jan ext legal'!M46+'[2]Feb ext legal'!M46+'[2]Mar ext legal'!M46+'[2]Apr ext legal'!M46+'[2]May ext legal'!M46+'[2]Jun ext legal'!M46+'[2]Jul ext legal'!M46</f>
        <v>0</v>
      </c>
      <c r="M46" s="13" t="n">
        <f aca="false">+D46/D$73</f>
        <v>0.00401584227073178</v>
      </c>
      <c r="N46" s="13" t="n">
        <f aca="false">+N$4*M46</f>
        <v>35000.7744364649</v>
      </c>
      <c r="O46" s="15"/>
      <c r="P46" s="13" t="n">
        <f aca="false">SUM(D46+N46)</f>
        <v>82123.9744364649</v>
      </c>
      <c r="Q46" s="16"/>
      <c r="R46" s="16"/>
    </row>
    <row r="47" customFormat="false" ht="11.25" hidden="false" customHeight="false" outlineLevel="0" collapsed="false">
      <c r="A47" s="234" t="n">
        <v>107021</v>
      </c>
      <c r="B47" s="16" t="s">
        <v>39</v>
      </c>
      <c r="C47" s="16" t="s">
        <v>223</v>
      </c>
      <c r="D47" s="235" t="n">
        <v>0</v>
      </c>
      <c r="E47" s="19" t="n">
        <f aca="false">+'[2]Jan ext legal'!E47+'[2]Feb ext legal'!E47+'[2]Mar ext legal'!E47+'[2]Apr ext legal'!E47+'[2]May ext legal'!E47+'[2]Jun ext legal'!E47+'[2]Jul ext legal'!E47</f>
        <v>0</v>
      </c>
      <c r="F47" s="236" t="n">
        <f aca="false">+'[2]Jan ext legal'!F47+'[2]Feb ext legal'!F47+'[2]Mar ext legal'!F47+'[2]Apr ext legal'!F47+'[2]May ext legal'!F47+'[2]Jun ext legal'!F47+'[2]Jul ext legal'!F47</f>
        <v>0</v>
      </c>
      <c r="G47" s="19" t="n">
        <f aca="false">+'[2]Jan ext legal'!G47+'[2]Feb ext legal'!G47+'[2]Mar ext legal'!G47+'[2]Apr ext legal'!G47+'[2]May ext legal'!G47+'[2]Jun ext legal'!G47+'[2]Jul ext legal'!G47</f>
        <v>0</v>
      </c>
      <c r="H47" s="236" t="n">
        <f aca="false">+'[2]Jan ext legal'!H47+'[2]Feb ext legal'!H47+'[2]Mar ext legal'!H47+'[2]Apr ext legal'!H47+'[2]May ext legal'!H47+'[2]Jun ext legal'!H47+'[2]Jul ext legal'!H47</f>
        <v>0</v>
      </c>
      <c r="I47" s="19" t="n">
        <f aca="false">+'[2]Jan ext legal'!I47+'[2]Feb ext legal'!I47+'[2]Mar ext legal'!I47+'[2]Apr ext legal'!I47+'[2]May ext legal'!I47+'[2]Jun ext legal'!I47+'[2]Jul ext legal'!I47</f>
        <v>0</v>
      </c>
      <c r="J47" s="236" t="n">
        <f aca="false">+'[2]Jan ext legal'!K47+'[2]Feb ext legal'!K47+'[2]Mar ext legal'!K47+'[2]Apr ext legal'!K47+'[2]May ext legal'!K47+'[2]Jun ext legal'!K47+'[2]Jul ext legal'!K47</f>
        <v>0</v>
      </c>
      <c r="K47" s="236" t="n">
        <f aca="false">+'[2]Jan ext legal'!L47+'[2]Feb ext legal'!L47+'[2]Mar ext legal'!L47+'[2]Apr ext legal'!L47+'[2]May ext legal'!L47+'[2]Jun ext legal'!L47+'[2]Jul ext legal'!L47</f>
        <v>0</v>
      </c>
      <c r="L47" s="236" t="n">
        <f aca="false">+'[2]Jan ext legal'!M47+'[2]Feb ext legal'!M47+'[2]Mar ext legal'!M47+'[2]Apr ext legal'!M47+'[2]May ext legal'!M47+'[2]Jun ext legal'!M47+'[2]Jul ext legal'!M47</f>
        <v>0</v>
      </c>
      <c r="M47" s="13" t="n">
        <f aca="false">+D47/D$73</f>
        <v>0</v>
      </c>
      <c r="N47" s="13" t="n">
        <f aca="false">+N$4*M47</f>
        <v>0</v>
      </c>
      <c r="O47" s="15"/>
      <c r="P47" s="13" t="n">
        <f aca="false">SUM(D47+N47)</f>
        <v>0</v>
      </c>
      <c r="Q47" s="16"/>
      <c r="R47" s="16"/>
    </row>
    <row r="48" customFormat="false" ht="11.25" hidden="false" customHeight="false" outlineLevel="0" collapsed="false">
      <c r="A48" s="234" t="n">
        <v>107022</v>
      </c>
      <c r="B48" s="16" t="s">
        <v>40</v>
      </c>
      <c r="C48" s="16"/>
      <c r="D48" s="235" t="n">
        <v>0</v>
      </c>
      <c r="E48" s="19" t="n">
        <f aca="false">+'[2]Jan ext legal'!E48+'[2]Feb ext legal'!E48+'[2]Mar ext legal'!E48+'[2]Apr ext legal'!E48+'[2]May ext legal'!E48+'[2]Jun ext legal'!E48+'[2]Jul ext legal'!E48</f>
        <v>0</v>
      </c>
      <c r="F48" s="236" t="n">
        <f aca="false">+'[2]Jan ext legal'!F48+'[2]Feb ext legal'!F48+'[2]Mar ext legal'!F48+'[2]Apr ext legal'!F48+'[2]May ext legal'!F48+'[2]Jun ext legal'!F48+'[2]Jul ext legal'!F48</f>
        <v>0</v>
      </c>
      <c r="G48" s="19" t="n">
        <f aca="false">+'[2]Jan ext legal'!G48+'[2]Feb ext legal'!G48+'[2]Mar ext legal'!G48+'[2]Apr ext legal'!G48+'[2]May ext legal'!G48+'[2]Jun ext legal'!G48+'[2]Jul ext legal'!G48</f>
        <v>0</v>
      </c>
      <c r="H48" s="236" t="n">
        <f aca="false">+'[2]Jan ext legal'!H48+'[2]Feb ext legal'!H48+'[2]Mar ext legal'!H48+'[2]Apr ext legal'!H48+'[2]May ext legal'!H48+'[2]Jun ext legal'!H48+'[2]Jul ext legal'!H48</f>
        <v>0</v>
      </c>
      <c r="I48" s="19" t="n">
        <f aca="false">+'[2]Jan ext legal'!I48+'[2]Feb ext legal'!I48+'[2]Mar ext legal'!I48+'[2]Apr ext legal'!I48+'[2]May ext legal'!I48+'[2]Jun ext legal'!I48+'[2]Jul ext legal'!I48</f>
        <v>0</v>
      </c>
      <c r="J48" s="236" t="n">
        <f aca="false">+'[2]Jan ext legal'!K48+'[2]Feb ext legal'!K48+'[2]Mar ext legal'!K48+'[2]Apr ext legal'!K48+'[2]May ext legal'!K48+'[2]Jun ext legal'!K48+'[2]Jul ext legal'!K48</f>
        <v>0</v>
      </c>
      <c r="K48" s="236" t="n">
        <f aca="false">+'[2]Jan ext legal'!L48+'[2]Feb ext legal'!L48+'[2]Mar ext legal'!L48+'[2]Apr ext legal'!L48+'[2]May ext legal'!L48+'[2]Jun ext legal'!L48+'[2]Jul ext legal'!L48</f>
        <v>0</v>
      </c>
      <c r="L48" s="236" t="n">
        <f aca="false">+'[2]Jan ext legal'!M48+'[2]Feb ext legal'!M48+'[2]Mar ext legal'!M48+'[2]Apr ext legal'!M48+'[2]May ext legal'!M48+'[2]Jun ext legal'!M48+'[2]Jul ext legal'!M48</f>
        <v>0</v>
      </c>
      <c r="M48" s="13" t="n">
        <f aca="false">+D48/D$73</f>
        <v>0</v>
      </c>
      <c r="N48" s="13" t="n">
        <f aca="false">+N$4*M48</f>
        <v>0</v>
      </c>
      <c r="O48" s="15"/>
      <c r="P48" s="13" t="n">
        <f aca="false">SUM(D48+N48)</f>
        <v>0</v>
      </c>
      <c r="Q48" s="16"/>
      <c r="R48" s="16"/>
    </row>
    <row r="49" customFormat="false" ht="11.25" hidden="false" customHeight="false" outlineLevel="0" collapsed="false">
      <c r="A49" s="234" t="n">
        <v>107023</v>
      </c>
      <c r="B49" s="16" t="s">
        <v>41</v>
      </c>
      <c r="C49" s="16"/>
      <c r="D49" s="235" t="n">
        <v>0</v>
      </c>
      <c r="E49" s="19" t="n">
        <f aca="false">+'[2]Jan ext legal'!E49+'[2]Feb ext legal'!E49+'[2]Mar ext legal'!E49+'[2]Apr ext legal'!E49+'[2]May ext legal'!E49+'[2]Jun ext legal'!E49+'[2]Jul ext legal'!E49</f>
        <v>0</v>
      </c>
      <c r="F49" s="236" t="n">
        <f aca="false">+'[2]Jan ext legal'!F49+'[2]Feb ext legal'!F49+'[2]Mar ext legal'!F49+'[2]Apr ext legal'!F49+'[2]May ext legal'!F49+'[2]Jun ext legal'!F49+'[2]Jul ext legal'!F49</f>
        <v>0</v>
      </c>
      <c r="G49" s="19" t="n">
        <f aca="false">+'[2]Jan ext legal'!G49+'[2]Feb ext legal'!G49+'[2]Mar ext legal'!G49+'[2]Apr ext legal'!G49+'[2]May ext legal'!G49+'[2]Jun ext legal'!G49+'[2]Jul ext legal'!G49</f>
        <v>0</v>
      </c>
      <c r="H49" s="236" t="n">
        <f aca="false">+'[2]Jan ext legal'!H49+'[2]Feb ext legal'!H49+'[2]Mar ext legal'!H49+'[2]Apr ext legal'!H49+'[2]May ext legal'!H49+'[2]Jun ext legal'!H49+'[2]Jul ext legal'!H49</f>
        <v>0</v>
      </c>
      <c r="I49" s="19" t="n">
        <f aca="false">+'[2]Jan ext legal'!I49+'[2]Feb ext legal'!I49+'[2]Mar ext legal'!I49+'[2]Apr ext legal'!I49+'[2]May ext legal'!I49+'[2]Jun ext legal'!I49+'[2]Jul ext legal'!I49</f>
        <v>0</v>
      </c>
      <c r="J49" s="236" t="n">
        <f aca="false">+'[2]Jan ext legal'!K49+'[2]Feb ext legal'!K49+'[2]Mar ext legal'!K49+'[2]Apr ext legal'!K49+'[2]May ext legal'!K49+'[2]Jun ext legal'!K49+'[2]Jul ext legal'!K49</f>
        <v>0</v>
      </c>
      <c r="K49" s="236" t="n">
        <f aca="false">+'[2]Jan ext legal'!L49+'[2]Feb ext legal'!L49+'[2]Mar ext legal'!L49+'[2]Apr ext legal'!L49+'[2]May ext legal'!L49+'[2]Jun ext legal'!L49+'[2]Jul ext legal'!L49</f>
        <v>0</v>
      </c>
      <c r="L49" s="236" t="n">
        <f aca="false">+'[2]Jan ext legal'!M49+'[2]Feb ext legal'!M49+'[2]Mar ext legal'!M49+'[2]Apr ext legal'!M49+'[2]May ext legal'!M49+'[2]Jun ext legal'!M49+'[2]Jul ext legal'!M49</f>
        <v>0</v>
      </c>
      <c r="M49" s="13" t="n">
        <f aca="false">+D49/D$73</f>
        <v>0</v>
      </c>
      <c r="N49" s="13" t="n">
        <f aca="false">+N$4*M49</f>
        <v>0</v>
      </c>
      <c r="O49" s="15"/>
      <c r="P49" s="13" t="n">
        <f aca="false">SUM(D49+N49)</f>
        <v>0</v>
      </c>
      <c r="Q49" s="16"/>
      <c r="R49" s="16"/>
    </row>
    <row r="50" customFormat="false" ht="11.25" hidden="false" customHeight="false" outlineLevel="0" collapsed="false">
      <c r="A50" s="234" t="n">
        <v>107024</v>
      </c>
      <c r="B50" s="16" t="s">
        <v>42</v>
      </c>
      <c r="C50" s="16" t="s">
        <v>210</v>
      </c>
      <c r="D50" s="235" t="n">
        <v>0</v>
      </c>
      <c r="E50" s="19" t="n">
        <f aca="false">+'[2]Jan ext legal'!E50+'[2]Feb ext legal'!E50+'[2]Mar ext legal'!E50+'[2]Apr ext legal'!E50+'[2]May ext legal'!E50+'[2]Jun ext legal'!E50+'[2]Jul ext legal'!E50</f>
        <v>0</v>
      </c>
      <c r="F50" s="236" t="n">
        <f aca="false">+'[2]Jan ext legal'!F50+'[2]Feb ext legal'!F50+'[2]Mar ext legal'!F50+'[2]Apr ext legal'!F50+'[2]May ext legal'!F50+'[2]Jun ext legal'!F50+'[2]Jul ext legal'!F50</f>
        <v>0</v>
      </c>
      <c r="G50" s="19" t="n">
        <f aca="false">+'[2]Jan ext legal'!G50+'[2]Feb ext legal'!G50+'[2]Mar ext legal'!G50+'[2]Apr ext legal'!G50+'[2]May ext legal'!G50+'[2]Jun ext legal'!G50+'[2]Jul ext legal'!G50</f>
        <v>0</v>
      </c>
      <c r="H50" s="236" t="n">
        <f aca="false">+'[2]Jan ext legal'!H50+'[2]Feb ext legal'!H50+'[2]Mar ext legal'!H50+'[2]Apr ext legal'!H50+'[2]May ext legal'!H50+'[2]Jun ext legal'!H50+'[2]Jul ext legal'!H50</f>
        <v>0</v>
      </c>
      <c r="I50" s="19" t="n">
        <f aca="false">+'[2]Jan ext legal'!I50+'[2]Feb ext legal'!I50+'[2]Mar ext legal'!I50+'[2]Apr ext legal'!I50+'[2]May ext legal'!I50+'[2]Jun ext legal'!I50+'[2]Jul ext legal'!I50</f>
        <v>0</v>
      </c>
      <c r="J50" s="236" t="n">
        <f aca="false">+'[2]Jan ext legal'!K50+'[2]Feb ext legal'!K50+'[2]Mar ext legal'!K50+'[2]Apr ext legal'!K50+'[2]May ext legal'!K50+'[2]Jun ext legal'!K50+'[2]Jul ext legal'!K50</f>
        <v>0</v>
      </c>
      <c r="K50" s="236" t="n">
        <f aca="false">+'[2]Jan ext legal'!L50+'[2]Feb ext legal'!L50+'[2]Mar ext legal'!L50+'[2]Apr ext legal'!L50+'[2]May ext legal'!L50+'[2]Jun ext legal'!L50+'[2]Jul ext legal'!L50</f>
        <v>0</v>
      </c>
      <c r="L50" s="236" t="n">
        <f aca="false">+'[2]Jan ext legal'!M50+'[2]Feb ext legal'!M50+'[2]Mar ext legal'!M50+'[2]Apr ext legal'!M50+'[2]May ext legal'!M50+'[2]Jun ext legal'!M50+'[2]Jul ext legal'!M50</f>
        <v>0</v>
      </c>
      <c r="M50" s="13" t="n">
        <f aca="false">+D50/D$73</f>
        <v>0</v>
      </c>
      <c r="N50" s="13" t="n">
        <f aca="false">+N$4*M50</f>
        <v>0</v>
      </c>
      <c r="O50" s="15"/>
      <c r="P50" s="13" t="n">
        <f aca="false">SUM(D50+N50)</f>
        <v>0</v>
      </c>
      <c r="Q50" s="16"/>
      <c r="R50" s="16"/>
    </row>
    <row r="51" customFormat="false" ht="11.25" hidden="false" customHeight="false" outlineLevel="0" collapsed="false">
      <c r="A51" s="234" t="n">
        <v>107040</v>
      </c>
      <c r="B51" s="16" t="s">
        <v>43</v>
      </c>
      <c r="C51" s="16" t="s">
        <v>210</v>
      </c>
      <c r="D51" s="235" t="n">
        <v>152847.69</v>
      </c>
      <c r="E51" s="19" t="n">
        <f aca="false">+'[2]Jan ext legal'!E51+'[2]Feb ext legal'!E51+'[2]Mar ext legal'!E51+'[2]Apr ext legal'!E51+'[2]May ext legal'!E51+'[2]Jun ext legal'!E51+'[2]Jul ext legal'!E51</f>
        <v>0</v>
      </c>
      <c r="F51" s="236" t="n">
        <f aca="false">+'[2]Jan ext legal'!F51+'[2]Feb ext legal'!F51+'[2]Mar ext legal'!F51+'[2]Apr ext legal'!F51+'[2]May ext legal'!F51+'[2]Jun ext legal'!F51+'[2]Jul ext legal'!F51</f>
        <v>138407.27</v>
      </c>
      <c r="G51" s="19" t="n">
        <f aca="false">+'[2]Jan ext legal'!G51+'[2]Feb ext legal'!G51+'[2]Mar ext legal'!G51+'[2]Apr ext legal'!G51+'[2]May ext legal'!G51+'[2]Jun ext legal'!G51+'[2]Jul ext legal'!G51</f>
        <v>12406.24</v>
      </c>
      <c r="H51" s="236" t="n">
        <f aca="false">+'[2]Jan ext legal'!H51+'[2]Feb ext legal'!H51+'[2]Mar ext legal'!H51+'[2]Apr ext legal'!H51+'[2]May ext legal'!H51+'[2]Jun ext legal'!H51+'[2]Jul ext legal'!H51</f>
        <v>2034.18</v>
      </c>
      <c r="I51" s="19" t="n">
        <f aca="false">+'[2]Jan ext legal'!I51+'[2]Feb ext legal'!I51+'[2]Mar ext legal'!I51+'[2]Apr ext legal'!I51+'[2]May ext legal'!I51+'[2]Jun ext legal'!I51+'[2]Jul ext legal'!I51</f>
        <v>0</v>
      </c>
      <c r="J51" s="236" t="n">
        <f aca="false">+'[2]Jan ext legal'!K51+'[2]Feb ext legal'!K51+'[2]Mar ext legal'!K51+'[2]Apr ext legal'!K51+'[2]May ext legal'!K51+'[2]Jun ext legal'!K51+'[2]Jul ext legal'!K51</f>
        <v>0</v>
      </c>
      <c r="K51" s="236" t="n">
        <f aca="false">+'[2]Jan ext legal'!L51+'[2]Feb ext legal'!L51+'[2]Mar ext legal'!L51+'[2]Apr ext legal'!L51+'[2]May ext legal'!L51+'[2]Jun ext legal'!L51+'[2]Jul ext legal'!L51</f>
        <v>0</v>
      </c>
      <c r="L51" s="236" t="n">
        <f aca="false">+'[2]Jan ext legal'!M51+'[2]Feb ext legal'!M51+'[2]Mar ext legal'!M51+'[2]Apr ext legal'!M51+'[2]May ext legal'!M51+'[2]Jun ext legal'!M51+'[2]Jul ext legal'!M51</f>
        <v>0</v>
      </c>
      <c r="M51" s="13" t="n">
        <f aca="false">+D51/D$73</f>
        <v>0.0130256904133358</v>
      </c>
      <c r="N51" s="13" t="n">
        <f aca="false">+N$4*M51</f>
        <v>113527.678952718</v>
      </c>
      <c r="O51" s="15"/>
      <c r="P51" s="13" t="n">
        <f aca="false">SUM(D51+N51)</f>
        <v>266375.368952718</v>
      </c>
      <c r="Q51" s="16"/>
      <c r="R51" s="16"/>
    </row>
    <row r="52" customFormat="false" ht="11.25" hidden="false" customHeight="false" outlineLevel="0" collapsed="false">
      <c r="A52" s="234" t="n">
        <v>107295</v>
      </c>
      <c r="B52" s="16" t="s">
        <v>44</v>
      </c>
      <c r="C52" s="16" t="s">
        <v>224</v>
      </c>
      <c r="D52" s="235" t="n">
        <v>1530330.51</v>
      </c>
      <c r="E52" s="19" t="n">
        <f aca="false">+'[2]Jan ext legal'!E52+'[2]Feb ext legal'!E52+'[2]Mar ext legal'!E52+'[2]Apr ext legal'!E52+'[2]May ext legal'!E52+'[2]Jun ext legal'!E52+'[2]Jul ext legal'!E52</f>
        <v>0</v>
      </c>
      <c r="F52" s="236" t="n">
        <f aca="false">+'[2]Jan ext legal'!F52+'[2]Feb ext legal'!F52+'[2]Mar ext legal'!F52+'[2]Apr ext legal'!F52+'[2]May ext legal'!F52+'[2]Jun ext legal'!F52+'[2]Jul ext legal'!F52</f>
        <v>1530330.51</v>
      </c>
      <c r="G52" s="19" t="n">
        <f aca="false">+'[2]Jan ext legal'!G52+'[2]Feb ext legal'!G52+'[2]Mar ext legal'!G52+'[2]Apr ext legal'!G52+'[2]May ext legal'!G52+'[2]Jun ext legal'!G52+'[2]Jul ext legal'!G52</f>
        <v>0</v>
      </c>
      <c r="H52" s="236" t="n">
        <f aca="false">+'[2]Jan ext legal'!H52+'[2]Feb ext legal'!H52+'[2]Mar ext legal'!H52+'[2]Apr ext legal'!H52+'[2]May ext legal'!H52+'[2]Jun ext legal'!H52+'[2]Jul ext legal'!H52</f>
        <v>0</v>
      </c>
      <c r="I52" s="19" t="n">
        <f aca="false">+'[2]Jan ext legal'!I52+'[2]Feb ext legal'!I52+'[2]Mar ext legal'!I52+'[2]Apr ext legal'!I52+'[2]May ext legal'!I52+'[2]Jun ext legal'!I52+'[2]Jul ext legal'!I52</f>
        <v>0</v>
      </c>
      <c r="J52" s="236" t="n">
        <f aca="false">+'[2]Jan ext legal'!K52+'[2]Feb ext legal'!K52+'[2]Mar ext legal'!K52+'[2]Apr ext legal'!K52+'[2]May ext legal'!K52+'[2]Jun ext legal'!K52+'[2]Jul ext legal'!K52</f>
        <v>0</v>
      </c>
      <c r="K52" s="236" t="n">
        <f aca="false">+'[2]Jan ext legal'!L52+'[2]Feb ext legal'!L52+'[2]Mar ext legal'!L52+'[2]Apr ext legal'!L52+'[2]May ext legal'!L52+'[2]Jun ext legal'!L52+'[2]Jul ext legal'!L52</f>
        <v>0</v>
      </c>
      <c r="L52" s="236" t="n">
        <f aca="false">+'[2]Jan ext legal'!M52+'[2]Feb ext legal'!M52+'[2]Mar ext legal'!M52+'[2]Apr ext legal'!M52+'[2]May ext legal'!M52+'[2]Jun ext legal'!M52+'[2]Jul ext legal'!M52</f>
        <v>0</v>
      </c>
      <c r="M52" s="13" t="n">
        <f aca="false">+D52/D$73</f>
        <v>0.130414868902123</v>
      </c>
      <c r="N52" s="13" t="n">
        <f aca="false">+N$4*M52</f>
        <v>1136653.55904841</v>
      </c>
      <c r="O52" s="15"/>
      <c r="P52" s="13" t="n">
        <f aca="false">SUM(D52+N52)</f>
        <v>2666984.06904841</v>
      </c>
      <c r="Q52" s="16"/>
      <c r="R52" s="16"/>
    </row>
    <row r="53" customFormat="false" ht="11.25" hidden="false" customHeight="false" outlineLevel="0" collapsed="false">
      <c r="A53" s="234" t="n">
        <v>107297</v>
      </c>
      <c r="B53" s="16" t="s">
        <v>45</v>
      </c>
      <c r="C53" s="16" t="s">
        <v>224</v>
      </c>
      <c r="D53" s="235" t="n">
        <v>155684.71</v>
      </c>
      <c r="E53" s="19" t="n">
        <f aca="false">+'[2]Jan ext legal'!E53+'[2]Feb ext legal'!E53+'[2]Mar ext legal'!E53+'[2]Apr ext legal'!E53+'[2]May ext legal'!E53+'[2]Jun ext legal'!E53+'[2]Jul ext legal'!E53</f>
        <v>0</v>
      </c>
      <c r="F53" s="236" t="n">
        <f aca="false">+'[2]Jan ext legal'!F53+'[2]Feb ext legal'!F53+'[2]Mar ext legal'!F53+'[2]Apr ext legal'!F53+'[2]May ext legal'!F53+'[2]Jun ext legal'!F53+'[2]Jul ext legal'!F53</f>
        <v>0</v>
      </c>
      <c r="G53" s="19" t="n">
        <f aca="false">+'[2]Jan ext legal'!G53+'[2]Feb ext legal'!G53+'[2]Mar ext legal'!G53+'[2]Apr ext legal'!G53+'[2]May ext legal'!G53+'[2]Jun ext legal'!G53+'[2]Jul ext legal'!G53</f>
        <v>155684.71</v>
      </c>
      <c r="H53" s="236" t="n">
        <f aca="false">+'[2]Jan ext legal'!H53+'[2]Feb ext legal'!H53+'[2]Mar ext legal'!H53+'[2]Apr ext legal'!H53+'[2]May ext legal'!H53+'[2]Jun ext legal'!H53+'[2]Jul ext legal'!H53</f>
        <v>0</v>
      </c>
      <c r="I53" s="19" t="n">
        <f aca="false">+'[2]Jan ext legal'!I53+'[2]Feb ext legal'!I53+'[2]Mar ext legal'!I53+'[2]Apr ext legal'!I53+'[2]May ext legal'!I53+'[2]Jun ext legal'!I53+'[2]Jul ext legal'!I53</f>
        <v>0</v>
      </c>
      <c r="J53" s="236" t="n">
        <f aca="false">+'[2]Jan ext legal'!K53+'[2]Feb ext legal'!K53+'[2]Mar ext legal'!K53+'[2]Apr ext legal'!K53+'[2]May ext legal'!K53+'[2]Jun ext legal'!K53+'[2]Jul ext legal'!K53</f>
        <v>0</v>
      </c>
      <c r="K53" s="236" t="n">
        <f aca="false">+'[2]Jan ext legal'!L53+'[2]Feb ext legal'!L53+'[2]Mar ext legal'!L53+'[2]Apr ext legal'!L53+'[2]May ext legal'!L53+'[2]Jun ext legal'!L53+'[2]Jul ext legal'!L53</f>
        <v>0</v>
      </c>
      <c r="L53" s="236" t="n">
        <f aca="false">+'[2]Jan ext legal'!M53+'[2]Feb ext legal'!M53+'[2]Mar ext legal'!M53+'[2]Apr ext legal'!M53+'[2]May ext legal'!M53+'[2]Jun ext legal'!M53+'[2]Jul ext legal'!M53</f>
        <v>0</v>
      </c>
      <c r="M53" s="13" t="n">
        <f aca="false">+D53/D$73</f>
        <v>0.0132674614483867</v>
      </c>
      <c r="N53" s="13" t="n">
        <f aca="false">+N$4*M53</f>
        <v>115634.876619509</v>
      </c>
      <c r="O53" s="15"/>
      <c r="P53" s="13" t="n">
        <f aca="false">SUM(D53+N53)</f>
        <v>271319.586619509</v>
      </c>
      <c r="Q53" s="16"/>
      <c r="R53" s="16"/>
    </row>
    <row r="54" customFormat="false" ht="11.25" hidden="false" customHeight="false" outlineLevel="0" collapsed="false">
      <c r="A54" s="234" t="n">
        <v>107300</v>
      </c>
      <c r="B54" s="16" t="s">
        <v>46</v>
      </c>
      <c r="C54" s="16" t="s">
        <v>225</v>
      </c>
      <c r="D54" s="235" t="n">
        <v>3537639.31</v>
      </c>
      <c r="E54" s="19" t="n">
        <f aca="false">+'[2]Jan ext legal'!E54+'[2]Feb ext legal'!E54+'[2]Mar ext legal'!E54+'[2]Apr ext legal'!E54+'[2]May ext legal'!E54+'[2]Jun ext legal'!E54+'[2]Jul ext legal'!E54</f>
        <v>0</v>
      </c>
      <c r="F54" s="236" t="n">
        <f aca="false">+'[2]Jan ext legal'!F54+'[2]Feb ext legal'!F54+'[2]Mar ext legal'!F54+'[2]Apr ext legal'!F54+'[2]May ext legal'!F54+'[2]Jun ext legal'!F54+'[2]Jul ext legal'!F54</f>
        <v>0</v>
      </c>
      <c r="G54" s="19" t="n">
        <f aca="false">+'[2]Jan ext legal'!G54+'[2]Feb ext legal'!G54+'[2]Mar ext legal'!G54+'[2]Apr ext legal'!G54+'[2]May ext legal'!G54+'[2]Jun ext legal'!G54+'[2]Jul ext legal'!G54</f>
        <v>2512375.51</v>
      </c>
      <c r="H54" s="236" t="n">
        <f aca="false">+'[2]Jan ext legal'!H54+'[2]Feb ext legal'!H54+'[2]Mar ext legal'!H54+'[2]Apr ext legal'!H54+'[2]May ext legal'!H54+'[2]Jun ext legal'!H54+'[2]Jul ext legal'!H54</f>
        <v>52697.09</v>
      </c>
      <c r="I54" s="19" t="n">
        <f aca="false">+'[2]Jan ext legal'!I54+'[2]Feb ext legal'!I54+'[2]Mar ext legal'!I54+'[2]Apr ext legal'!I54+'[2]May ext legal'!I54+'[2]Jun ext legal'!I54+'[2]Jul ext legal'!I54</f>
        <v>0</v>
      </c>
      <c r="J54" s="236" t="n">
        <f aca="false">+'[2]Jan ext legal'!K54+'[2]Feb ext legal'!K54+'[2]Mar ext legal'!K54+'[2]Apr ext legal'!K54+'[2]May ext legal'!K54+'[2]Jun ext legal'!K54+'[2]Jul ext legal'!K54</f>
        <v>0</v>
      </c>
      <c r="K54" s="236" t="n">
        <f aca="false">+'[2]Jan ext legal'!L54+'[2]Feb ext legal'!L54+'[2]Mar ext legal'!L54+'[2]Apr ext legal'!L54+'[2]May ext legal'!L54+'[2]Jun ext legal'!L54+'[2]Jul ext legal'!L54</f>
        <v>972566.71</v>
      </c>
      <c r="L54" s="236" t="n">
        <f aca="false">+'[2]Jan ext legal'!M54+'[2]Feb ext legal'!M54+'[2]Mar ext legal'!M54+'[2]Apr ext legal'!M54+'[2]May ext legal'!M54+'[2]Jun ext legal'!M54+'[2]Jul ext legal'!M54</f>
        <v>0</v>
      </c>
      <c r="M54" s="13" t="n">
        <f aca="false">+D54/D$73</f>
        <v>0.301477859731521</v>
      </c>
      <c r="N54" s="13" t="n">
        <f aca="false">+N$4*M54</f>
        <v>2627582.9215096</v>
      </c>
      <c r="O54" s="15"/>
      <c r="P54" s="13" t="n">
        <f aca="false">SUM(D54+N54)</f>
        <v>6165222.2315096</v>
      </c>
      <c r="Q54" s="16"/>
      <c r="R54" s="16"/>
    </row>
    <row r="55" customFormat="false" ht="11.25" hidden="false" customHeight="false" outlineLevel="0" collapsed="false">
      <c r="A55" s="234" t="n">
        <v>107310</v>
      </c>
      <c r="B55" s="16" t="s">
        <v>47</v>
      </c>
      <c r="C55" s="16"/>
      <c r="D55" s="235" t="n">
        <v>107738.37</v>
      </c>
      <c r="E55" s="19" t="n">
        <f aca="false">+'[2]Jan ext legal'!E55+'[2]Feb ext legal'!E55+'[2]Mar ext legal'!E55+'[2]Apr ext legal'!E55+'[2]May ext legal'!E55+'[2]Jun ext legal'!E55+'[2]Jul ext legal'!E55</f>
        <v>0</v>
      </c>
      <c r="F55" s="236" t="n">
        <f aca="false">+'[2]Jan ext legal'!F55+'[2]Feb ext legal'!F55+'[2]Mar ext legal'!F55+'[2]Apr ext legal'!F55+'[2]May ext legal'!F55+'[2]Jun ext legal'!F55+'[2]Jul ext legal'!F55</f>
        <v>0</v>
      </c>
      <c r="G55" s="19" t="n">
        <f aca="false">+'[2]Jan ext legal'!G55+'[2]Feb ext legal'!G55+'[2]Mar ext legal'!G55+'[2]Apr ext legal'!G55+'[2]May ext legal'!G55+'[2]Jun ext legal'!G55+'[2]Jul ext legal'!G55</f>
        <v>2325</v>
      </c>
      <c r="H55" s="236" t="n">
        <f aca="false">+'[2]Jan ext legal'!H55+'[2]Feb ext legal'!H55+'[2]Mar ext legal'!H55+'[2]Apr ext legal'!H55+'[2]May ext legal'!H55+'[2]Jun ext legal'!H55+'[2]Jul ext legal'!H55</f>
        <v>9752.2</v>
      </c>
      <c r="I55" s="19" t="n">
        <f aca="false">+'[2]Jan ext legal'!I55+'[2]Feb ext legal'!I55+'[2]Mar ext legal'!I55+'[2]Apr ext legal'!I55+'[2]May ext legal'!I55+'[2]Jun ext legal'!I55+'[2]Jul ext legal'!I55</f>
        <v>0</v>
      </c>
      <c r="J55" s="236" t="n">
        <v>0</v>
      </c>
      <c r="K55" s="236" t="n">
        <f aca="false">+'[2]Jan ext legal'!L55+'[2]Feb ext legal'!L55+'[2]Mar ext legal'!L55+'[2]Apr ext legal'!L55+'[2]May ext legal'!L55+'[2]Jun ext legal'!L55+'[2]Jul ext legal'!L55</f>
        <v>95661.17</v>
      </c>
      <c r="L55" s="236" t="n">
        <f aca="false">+'[2]Jan ext legal'!M55+'[2]Feb ext legal'!M55+'[2]Mar ext legal'!M55+'[2]Apr ext legal'!M55+'[2]May ext legal'!M55+'[2]Jun ext legal'!M55+'[2]Jul ext legal'!M55</f>
        <v>0</v>
      </c>
      <c r="M55" s="13" t="n">
        <f aca="false">+D55/D$73</f>
        <v>0.00918147113153904</v>
      </c>
      <c r="N55" s="13" t="n">
        <f aca="false">+N$4*M55</f>
        <v>80022.7146399734</v>
      </c>
      <c r="O55" s="15"/>
      <c r="P55" s="13" t="n">
        <f aca="false">SUM(D55+N55)</f>
        <v>187761.084639973</v>
      </c>
      <c r="Q55" s="16"/>
      <c r="R55" s="16"/>
    </row>
    <row r="56" customFormat="false" ht="11.25" hidden="false" customHeight="false" outlineLevel="0" collapsed="false">
      <c r="A56" s="234" t="n">
        <v>107312</v>
      </c>
      <c r="B56" s="16" t="s">
        <v>48</v>
      </c>
      <c r="C56" s="16" t="s">
        <v>226</v>
      </c>
      <c r="D56" s="235" t="n">
        <v>7952.61</v>
      </c>
      <c r="E56" s="19" t="n">
        <f aca="false">+'[2]Jan ext legal'!E56+'[2]Feb ext legal'!E56+'[2]Mar ext legal'!E56+'[2]Apr ext legal'!E56+'[2]May ext legal'!E56+'[2]Jun ext legal'!E56+'[2]Jul ext legal'!E56</f>
        <v>7952.61</v>
      </c>
      <c r="F56" s="236" t="n">
        <f aca="false">+'[2]Jan ext legal'!F56+'[2]Feb ext legal'!F56+'[2]Mar ext legal'!F56+'[2]Apr ext legal'!F56+'[2]May ext legal'!F56+'[2]Jun ext legal'!F56+'[2]Jul ext legal'!F56</f>
        <v>0</v>
      </c>
      <c r="G56" s="19" t="n">
        <f aca="false">+'[2]Jan ext legal'!G56+'[2]Feb ext legal'!G56+'[2]Mar ext legal'!G56+'[2]Apr ext legal'!G56+'[2]May ext legal'!G56+'[2]Jun ext legal'!G56+'[2]Jul ext legal'!G56</f>
        <v>0</v>
      </c>
      <c r="H56" s="236" t="n">
        <f aca="false">+'[2]Jan ext legal'!H56+'[2]Feb ext legal'!H56+'[2]Mar ext legal'!H56+'[2]Apr ext legal'!H56+'[2]May ext legal'!H56+'[2]Jun ext legal'!H56+'[2]Jul ext legal'!H56</f>
        <v>0</v>
      </c>
      <c r="I56" s="19" t="n">
        <f aca="false">+'[2]Jan ext legal'!I56+'[2]Feb ext legal'!I56+'[2]Mar ext legal'!I56+'[2]Apr ext legal'!I56+'[2]May ext legal'!I56+'[2]Jun ext legal'!I56+'[2]Jul ext legal'!I56</f>
        <v>0</v>
      </c>
      <c r="J56" s="236" t="n">
        <f aca="false">+'[2]Jan ext legal'!K56+'[2]Feb ext legal'!K56+'[2]Mar ext legal'!K56+'[2]Apr ext legal'!K56+'[2]May ext legal'!K56+'[2]Jun ext legal'!K56+'[2]Jul ext legal'!K56</f>
        <v>0</v>
      </c>
      <c r="K56" s="236" t="n">
        <f aca="false">+'[2]Jan ext legal'!L56+'[2]Feb ext legal'!L56+'[2]Mar ext legal'!L56+'[2]Apr ext legal'!L56+'[2]May ext legal'!L56+'[2]Jun ext legal'!L56+'[2]Jul ext legal'!L56</f>
        <v>0</v>
      </c>
      <c r="L56" s="236" t="n">
        <f aca="false">+'[2]Jan ext legal'!M56+'[2]Feb ext legal'!M56+'[2]Mar ext legal'!M56+'[2]Apr ext legal'!M56+'[2]May ext legal'!M56+'[2]Jun ext legal'!M56+'[2]Jul ext legal'!M56</f>
        <v>0</v>
      </c>
      <c r="M56" s="13" t="n">
        <f aca="false">+D56/D$73</f>
        <v>0.000677721958624292</v>
      </c>
      <c r="N56" s="13" t="n">
        <f aca="false">+N$4*M56</f>
        <v>5906.80405386677</v>
      </c>
      <c r="O56" s="15"/>
      <c r="P56" s="13" t="n">
        <f aca="false">SUM(D56+N56)</f>
        <v>13859.4140538668</v>
      </c>
      <c r="Q56" s="16"/>
      <c r="R56" s="16"/>
    </row>
    <row r="57" customFormat="false" ht="11.25" hidden="false" customHeight="false" outlineLevel="0" collapsed="false">
      <c r="A57" s="234" t="n">
        <v>107319</v>
      </c>
      <c r="B57" s="16" t="s">
        <v>49</v>
      </c>
      <c r="C57" s="16"/>
      <c r="D57" s="235" t="n">
        <v>48408.78</v>
      </c>
      <c r="E57" s="19" t="n">
        <f aca="false">+'[2]Jan ext legal'!E57+'[2]Feb ext legal'!E57+'[2]Mar ext legal'!E57+'[2]Apr ext legal'!E57+'[2]May ext legal'!E57+'[2]Jun ext legal'!E57+'[2]Jul ext legal'!E57</f>
        <v>329.94</v>
      </c>
      <c r="F57" s="236" t="n">
        <f aca="false">+'[2]Jan ext legal'!F57+'[2]Feb ext legal'!F57+'[2]Mar ext legal'!F57+'[2]Apr ext legal'!F57+'[2]May ext legal'!F57+'[2]Jun ext legal'!F57+'[2]Jul ext legal'!F57</f>
        <v>48078.84</v>
      </c>
      <c r="G57" s="19" t="n">
        <f aca="false">+'[2]Jan ext legal'!G57+'[2]Feb ext legal'!G57+'[2]Mar ext legal'!G57+'[2]Apr ext legal'!G57+'[2]May ext legal'!G57+'[2]Jun ext legal'!G57+'[2]Jul ext legal'!G57</f>
        <v>0</v>
      </c>
      <c r="H57" s="236" t="n">
        <f aca="false">+'[2]Jan ext legal'!H57+'[2]Feb ext legal'!H57+'[2]Mar ext legal'!H57+'[2]Apr ext legal'!H57+'[2]May ext legal'!H57+'[2]Jun ext legal'!H57+'[2]Jul ext legal'!H57</f>
        <v>0</v>
      </c>
      <c r="I57" s="19" t="n">
        <f aca="false">+'[2]Jan ext legal'!I57+'[2]Feb ext legal'!I57+'[2]Mar ext legal'!I57+'[2]Apr ext legal'!I57+'[2]May ext legal'!I57+'[2]Jun ext legal'!I57+'[2]Jul ext legal'!I57</f>
        <v>0</v>
      </c>
      <c r="J57" s="236" t="n">
        <f aca="false">+'[2]Jan ext legal'!K57+'[2]Feb ext legal'!K57+'[2]Mar ext legal'!K57+'[2]Apr ext legal'!K57+'[2]May ext legal'!K57+'[2]Jun ext legal'!K57+'[2]Jul ext legal'!K57</f>
        <v>0</v>
      </c>
      <c r="K57" s="236" t="n">
        <f aca="false">+'[2]Jan ext legal'!L57+'[2]Feb ext legal'!L57+'[2]Mar ext legal'!L57+'[2]Apr ext legal'!L57+'[2]May ext legal'!L57+'[2]Jun ext legal'!L57+'[2]Jul ext legal'!L57</f>
        <v>0</v>
      </c>
      <c r="L57" s="236" t="n">
        <f aca="false">+'[2]Jan ext legal'!M57+'[2]Feb ext legal'!M57+'[2]Mar ext legal'!M57+'[2]Apr ext legal'!M57+'[2]May ext legal'!M57+'[2]Jun ext legal'!M57+'[2]Jul ext legal'!M57</f>
        <v>0</v>
      </c>
      <c r="M57" s="13" t="n">
        <f aca="false">+D57/D$73</f>
        <v>0.00412539948472419</v>
      </c>
      <c r="N57" s="13" t="n">
        <f aca="false">+N$4*M57</f>
        <v>35955.6394626097</v>
      </c>
      <c r="O57" s="15"/>
      <c r="P57" s="13" t="n">
        <f aca="false">SUM(D57+N57)</f>
        <v>84364.4194626097</v>
      </c>
      <c r="Q57" s="16"/>
      <c r="R57" s="16"/>
    </row>
    <row r="58" customFormat="false" ht="11.25" hidden="false" customHeight="false" outlineLevel="0" collapsed="false">
      <c r="A58" s="234" t="n">
        <v>107322</v>
      </c>
      <c r="B58" s="16" t="s">
        <v>50</v>
      </c>
      <c r="C58" s="16" t="s">
        <v>227</v>
      </c>
      <c r="D58" s="235" t="n">
        <v>0</v>
      </c>
      <c r="E58" s="19" t="n">
        <f aca="false">+'[2]Jan ext legal'!E58+'[2]Feb ext legal'!E58+'[2]Mar ext legal'!E58+'[2]Apr ext legal'!E58+'[2]May ext legal'!E58+'[2]Jun ext legal'!E58+'[2]Jul ext legal'!E58</f>
        <v>0</v>
      </c>
      <c r="F58" s="236" t="n">
        <f aca="false">+'[2]Jan ext legal'!F58+'[2]Feb ext legal'!F58+'[2]Mar ext legal'!F58+'[2]Apr ext legal'!F58+'[2]May ext legal'!F58+'[2]Jun ext legal'!F58+'[2]Jul ext legal'!F58</f>
        <v>0</v>
      </c>
      <c r="G58" s="19" t="n">
        <f aca="false">+'[2]Jan ext legal'!G58+'[2]Feb ext legal'!G58+'[2]Mar ext legal'!G58+'[2]Apr ext legal'!G58+'[2]May ext legal'!G58+'[2]Jun ext legal'!G58+'[2]Jul ext legal'!G58</f>
        <v>0</v>
      </c>
      <c r="H58" s="236" t="n">
        <f aca="false">+'[2]Jan ext legal'!H58+'[2]Feb ext legal'!H58+'[2]Mar ext legal'!H58+'[2]Apr ext legal'!H58+'[2]May ext legal'!H58+'[2]Jun ext legal'!H58+'[2]Jul ext legal'!H58</f>
        <v>0</v>
      </c>
      <c r="I58" s="19" t="n">
        <f aca="false">+'[2]Jan ext legal'!I58+'[2]Feb ext legal'!I58+'[2]Mar ext legal'!I58+'[2]Apr ext legal'!I58+'[2]May ext legal'!I58+'[2]Jun ext legal'!I58+'[2]Jul ext legal'!I58</f>
        <v>0</v>
      </c>
      <c r="J58" s="236" t="n">
        <f aca="false">+'[2]Jan ext legal'!K58+'[2]Feb ext legal'!K58+'[2]Mar ext legal'!K58+'[2]Apr ext legal'!K58+'[2]May ext legal'!K58+'[2]Jun ext legal'!K58+'[2]Jul ext legal'!K58</f>
        <v>0</v>
      </c>
      <c r="K58" s="236" t="n">
        <f aca="false">+'[2]Jan ext legal'!L58+'[2]Feb ext legal'!L58+'[2]Mar ext legal'!L58+'[2]Apr ext legal'!L58+'[2]May ext legal'!L58+'[2]Jun ext legal'!L58+'[2]Jul ext legal'!L58</f>
        <v>0</v>
      </c>
      <c r="L58" s="236" t="n">
        <f aca="false">+'[2]Jan ext legal'!M58+'[2]Feb ext legal'!M58+'[2]Mar ext legal'!M58+'[2]Apr ext legal'!M58+'[2]May ext legal'!M58+'[2]Jun ext legal'!M58+'[2]Jul ext legal'!M58</f>
        <v>0</v>
      </c>
      <c r="M58" s="13" t="n">
        <f aca="false">+D58/D$73</f>
        <v>0</v>
      </c>
      <c r="N58" s="13" t="n">
        <f aca="false">+N$4*M58</f>
        <v>0</v>
      </c>
      <c r="O58" s="15"/>
      <c r="P58" s="13" t="n">
        <f aca="false">SUM(D58+N58)</f>
        <v>0</v>
      </c>
      <c r="Q58" s="16"/>
      <c r="R58" s="16"/>
    </row>
    <row r="59" customFormat="false" ht="11.25" hidden="false" customHeight="false" outlineLevel="0" collapsed="false">
      <c r="A59" s="234" t="n">
        <v>107323</v>
      </c>
      <c r="B59" s="16" t="s">
        <v>51</v>
      </c>
      <c r="C59" s="16"/>
      <c r="D59" s="235" t="n">
        <v>0</v>
      </c>
      <c r="E59" s="19" t="n">
        <f aca="false">+'[2]Jan ext legal'!E59+'[2]Feb ext legal'!E59+'[2]Mar ext legal'!E59+'[2]Apr ext legal'!E59+'[2]May ext legal'!E59+'[2]Jun ext legal'!E59+'[2]Jul ext legal'!E59</f>
        <v>0</v>
      </c>
      <c r="F59" s="236"/>
      <c r="G59" s="19" t="n">
        <f aca="false">+'[2]Jan ext legal'!G59+'[2]Feb ext legal'!G59+'[2]Mar ext legal'!G59+'[2]Apr ext legal'!G59+'[2]May ext legal'!G59+'[2]Jun ext legal'!G59+'[2]Jul ext legal'!G59</f>
        <v>0</v>
      </c>
      <c r="H59" s="236" t="n">
        <f aca="false">+'[2]Jan ext legal'!H59+'[2]Feb ext legal'!H59+'[2]Mar ext legal'!H59+'[2]Apr ext legal'!H59+'[2]May ext legal'!H59+'[2]Jun ext legal'!H59+'[2]Jul ext legal'!H59</f>
        <v>0</v>
      </c>
      <c r="I59" s="19" t="n">
        <f aca="false">+'[2]Jan ext legal'!I59+'[2]Feb ext legal'!I59+'[2]Mar ext legal'!I59+'[2]Apr ext legal'!I59+'[2]May ext legal'!I59+'[2]Jun ext legal'!I59+'[2]Jul ext legal'!I59</f>
        <v>0</v>
      </c>
      <c r="J59" s="236" t="n">
        <f aca="false">+'[2]Jan ext legal'!K59+'[2]Feb ext legal'!K59+'[2]Mar ext legal'!K59+'[2]Apr ext legal'!K59+'[2]May ext legal'!K59+'[2]Jun ext legal'!K59+'[2]Jul ext legal'!K59</f>
        <v>0</v>
      </c>
      <c r="K59" s="236" t="n">
        <f aca="false">+'[2]Jan ext legal'!L59+'[2]Feb ext legal'!L59+'[2]Mar ext legal'!L59+'[2]Apr ext legal'!L59+'[2]May ext legal'!L59+'[2]Jun ext legal'!L59+'[2]Jul ext legal'!L59</f>
        <v>0</v>
      </c>
      <c r="L59" s="236" t="n">
        <f aca="false">+'[2]Jan ext legal'!M59+'[2]Feb ext legal'!M59+'[2]Mar ext legal'!M59+'[2]Apr ext legal'!M59+'[2]May ext legal'!M59+'[2]Jun ext legal'!M59+'[2]Jul ext legal'!M59</f>
        <v>0</v>
      </c>
      <c r="M59" s="13" t="n">
        <f aca="false">+D59/D$73</f>
        <v>0</v>
      </c>
      <c r="N59" s="13" t="n">
        <f aca="false">+N$4*M59</f>
        <v>0</v>
      </c>
      <c r="O59" s="15"/>
      <c r="P59" s="13" t="n">
        <f aca="false">SUM(D59+N59)</f>
        <v>0</v>
      </c>
      <c r="Q59" s="16"/>
      <c r="R59" s="16"/>
    </row>
    <row r="60" customFormat="false" ht="11.25" hidden="false" customHeight="false" outlineLevel="0" collapsed="false">
      <c r="A60" s="234" t="n">
        <v>107443</v>
      </c>
      <c r="B60" s="16" t="s">
        <v>52</v>
      </c>
      <c r="C60" s="16"/>
      <c r="D60" s="235" t="n">
        <v>53125.36</v>
      </c>
      <c r="E60" s="19" t="n">
        <f aca="false">+'[2]Jan ext legal'!E60+'[2]Feb ext legal'!E60+'[2]Mar ext legal'!E60+'[2]Apr ext legal'!E60+'[2]May ext legal'!E60+'[2]Jun ext legal'!E60+'[2]Jul ext legal'!E60</f>
        <v>0</v>
      </c>
      <c r="F60" s="236" t="n">
        <f aca="false">+'[2]Jan ext legal'!F60+'[2]Feb ext legal'!F60+'[2]Mar ext legal'!F60+'[2]Apr ext legal'!F60+'[2]May ext legal'!F60+'[2]Jun ext legal'!F60+'[2]Jul ext legal'!F60</f>
        <v>0</v>
      </c>
      <c r="G60" s="19" t="n">
        <f aca="false">+'[2]Jan ext legal'!G60+'[2]Feb ext legal'!G60+'[2]Mar ext legal'!G60+'[2]Apr ext legal'!G60+'[2]May ext legal'!G60+'[2]Jun ext legal'!G60+'[2]Jul ext legal'!G60</f>
        <v>53125.36</v>
      </c>
      <c r="H60" s="236" t="n">
        <f aca="false">+'[2]Jan ext legal'!H60+'[2]Feb ext legal'!H60+'[2]Mar ext legal'!H60+'[2]Apr ext legal'!H60+'[2]May ext legal'!H60+'[2]Jun ext legal'!H60+'[2]Jul ext legal'!H60</f>
        <v>0</v>
      </c>
      <c r="I60" s="19" t="n">
        <f aca="false">+'[2]Jan ext legal'!I60+'[2]Feb ext legal'!I60+'[2]Mar ext legal'!I60+'[2]Apr ext legal'!I60+'[2]May ext legal'!I60+'[2]Jun ext legal'!I60+'[2]Jul ext legal'!I60</f>
        <v>0</v>
      </c>
      <c r="J60" s="236" t="n">
        <f aca="false">+'[2]Jan ext legal'!K60+'[2]Feb ext legal'!K60+'[2]Mar ext legal'!K60+'[2]Apr ext legal'!K60+'[2]May ext legal'!K60+'[2]Jun ext legal'!K60+'[2]Jul ext legal'!K60</f>
        <v>0</v>
      </c>
      <c r="K60" s="236" t="n">
        <f aca="false">+'[2]Jan ext legal'!L60+'[2]Feb ext legal'!L60+'[2]Mar ext legal'!L60+'[2]Apr ext legal'!L60+'[2]May ext legal'!L60+'[2]Jun ext legal'!L60+'[2]Jul ext legal'!L60</f>
        <v>0</v>
      </c>
      <c r="L60" s="236" t="n">
        <f aca="false">+'[2]Jan ext legal'!M60+'[2]Feb ext legal'!M60+'[2]Mar ext legal'!M60+'[2]Apr ext legal'!M60+'[2]May ext legal'!M60+'[2]Jun ext legal'!M60+'[2]Jul ext legal'!M60</f>
        <v>0</v>
      </c>
      <c r="M60" s="13" t="n">
        <f aca="false">+D60/D$73</f>
        <v>0.00452734674928365</v>
      </c>
      <c r="N60" s="13" t="n">
        <f aca="false">+N$4*M60</f>
        <v>39458.8810228506</v>
      </c>
      <c r="O60" s="15"/>
      <c r="P60" s="13" t="n">
        <f aca="false">SUM(D60+N60)</f>
        <v>92584.2410228506</v>
      </c>
      <c r="Q60" s="16"/>
      <c r="R60" s="16"/>
    </row>
    <row r="61" customFormat="false" ht="11.25" hidden="false" customHeight="false" outlineLevel="0" collapsed="false">
      <c r="A61" s="234" t="n">
        <v>107444</v>
      </c>
      <c r="B61" s="16" t="s">
        <v>53</v>
      </c>
      <c r="C61" s="16"/>
      <c r="D61" s="235" t="n">
        <v>65073.91</v>
      </c>
      <c r="E61" s="19" t="n">
        <f aca="false">+'[2]Jan ext legal'!E61+'[2]Feb ext legal'!E61+'[2]Mar ext legal'!E61+'[2]Apr ext legal'!E61+'[2]May ext legal'!E61+'[2]Jun ext legal'!E61+'[2]Jul ext legal'!E61</f>
        <v>63374.39</v>
      </c>
      <c r="F61" s="236" t="n">
        <f aca="false">+'[2]Jan ext legal'!F61+'[2]Feb ext legal'!F61+'[2]Mar ext legal'!F61+'[2]Apr ext legal'!F61+'[2]May ext legal'!F61+'[2]Jun ext legal'!F61+'[2]Jul ext legal'!F61</f>
        <v>0</v>
      </c>
      <c r="G61" s="19" t="n">
        <f aca="false">+'[2]Jan ext legal'!G61+'[2]Feb ext legal'!G61+'[2]Mar ext legal'!G61+'[2]Apr ext legal'!G61+'[2]May ext legal'!G61+'[2]Jun ext legal'!G61+'[2]Jul ext legal'!G61</f>
        <v>0</v>
      </c>
      <c r="H61" s="236" t="n">
        <f aca="false">+'[2]Jan ext legal'!H61+'[2]Feb ext legal'!H61+'[2]Mar ext legal'!H61+'[2]Apr ext legal'!H61+'[2]May ext legal'!H61+'[2]Jun ext legal'!H61+'[2]Jul ext legal'!H61</f>
        <v>0</v>
      </c>
      <c r="I61" s="19" t="n">
        <f aca="false">+'[2]Jan ext legal'!I61+'[2]Feb ext legal'!I61+'[2]Mar ext legal'!I61+'[2]Apr ext legal'!I61+'[2]May ext legal'!I61+'[2]Jun ext legal'!I61+'[2]Jul ext legal'!I61</f>
        <v>1699.52</v>
      </c>
      <c r="J61" s="236" t="n">
        <f aca="false">+'[2]Jan ext legal'!K61+'[2]Feb ext legal'!K61+'[2]Mar ext legal'!K61+'[2]Apr ext legal'!K61+'[2]May ext legal'!K61+'[2]Jun ext legal'!K61+'[2]Jul ext legal'!K61</f>
        <v>0</v>
      </c>
      <c r="K61" s="236" t="n">
        <f aca="false">+'[2]Jan ext legal'!L61+'[2]Feb ext legal'!L61+'[2]Mar ext legal'!L61+'[2]Apr ext legal'!L61+'[2]May ext legal'!L61+'[2]Jun ext legal'!L61+'[2]Jul ext legal'!L61</f>
        <v>0</v>
      </c>
      <c r="L61" s="236" t="n">
        <f aca="false">+'[2]Jan ext legal'!M61+'[2]Feb ext legal'!M61+'[2]Mar ext legal'!M61+'[2]Apr ext legal'!M61+'[2]May ext legal'!M61+'[2]Jun ext legal'!M61+'[2]Jul ext legal'!M61</f>
        <v>0</v>
      </c>
      <c r="M61" s="13" t="n">
        <f aca="false">+D61/D$73</f>
        <v>0.00554560298323958</v>
      </c>
      <c r="N61" s="13" t="n">
        <f aca="false">+N$4*M61</f>
        <v>48333.6710072494</v>
      </c>
      <c r="O61" s="15"/>
      <c r="P61" s="13" t="n">
        <f aca="false">SUM(D61+N61)</f>
        <v>113407.581007249</v>
      </c>
      <c r="Q61" s="16"/>
      <c r="R61" s="16"/>
    </row>
    <row r="62" customFormat="false" ht="11.25" hidden="false" customHeight="false" outlineLevel="0" collapsed="false">
      <c r="A62" s="234" t="n">
        <v>107446</v>
      </c>
      <c r="B62" s="16" t="s">
        <v>54</v>
      </c>
      <c r="C62" s="16"/>
      <c r="D62" s="235" t="n">
        <v>754729.8</v>
      </c>
      <c r="E62" s="19" t="n">
        <f aca="false">+'[2]Jan ext legal'!E62+'[2]Feb ext legal'!E62+'[2]Mar ext legal'!E62+'[2]Apr ext legal'!E62+'[2]May ext legal'!E62+'[2]Jun ext legal'!E62+'[2]Jul ext legal'!E62</f>
        <v>0</v>
      </c>
      <c r="F62" s="236" t="n">
        <f aca="false">+'[2]Jan ext legal'!F62+'[2]Feb ext legal'!F62+'[2]Mar ext legal'!F62+'[2]Apr ext legal'!F62+'[2]May ext legal'!F62+'[2]Jun ext legal'!F62+'[2]Jul ext legal'!F62</f>
        <v>754729.8</v>
      </c>
      <c r="G62" s="19" t="n">
        <f aca="false">+'[2]Jan ext legal'!G62+'[2]Feb ext legal'!G62+'[2]Mar ext legal'!G62+'[2]Apr ext legal'!G62+'[2]May ext legal'!G62+'[2]Jun ext legal'!G62+'[2]Jul ext legal'!G62</f>
        <v>0</v>
      </c>
      <c r="H62" s="236" t="n">
        <f aca="false">+'[2]Jan ext legal'!H62+'[2]Feb ext legal'!H62+'[2]Mar ext legal'!H62+'[2]Apr ext legal'!H62+'[2]May ext legal'!H62+'[2]Jun ext legal'!H62+'[2]Jul ext legal'!H62</f>
        <v>0</v>
      </c>
      <c r="I62" s="19" t="n">
        <f aca="false">+'[2]Jan ext legal'!I62+'[2]Feb ext legal'!I62+'[2]Mar ext legal'!I62+'[2]Apr ext legal'!I62+'[2]May ext legal'!I62+'[2]Jun ext legal'!I62+'[2]Jul ext legal'!I62</f>
        <v>0</v>
      </c>
      <c r="J62" s="236" t="n">
        <f aca="false">+'[2]Jan ext legal'!K62+'[2]Feb ext legal'!K62+'[2]Mar ext legal'!K62+'[2]Apr ext legal'!K62+'[2]May ext legal'!K62+'[2]Jun ext legal'!K62+'[2]Jul ext legal'!K62</f>
        <v>0</v>
      </c>
      <c r="K62" s="236" t="n">
        <f aca="false">+'[2]Jan ext legal'!L62+'[2]Feb ext legal'!L62+'[2]Mar ext legal'!L62+'[2]Apr ext legal'!L62+'[2]May ext legal'!L62+'[2]Jun ext legal'!L62+'[2]Jul ext legal'!L62</f>
        <v>0</v>
      </c>
      <c r="L62" s="236" t="n">
        <f aca="false">+'[2]Jan ext legal'!M62+'[2]Feb ext legal'!M62+'[2]Mar ext legal'!M62+'[2]Apr ext legal'!M62+'[2]May ext legal'!M62+'[2]Jun ext legal'!M62+'[2]Jul ext legal'!M62</f>
        <v>0</v>
      </c>
      <c r="M62" s="13" t="n">
        <f aca="false">+D62/D$73</f>
        <v>0.0643181242746872</v>
      </c>
      <c r="N62" s="13" t="n">
        <f aca="false">+N$4*M62</f>
        <v>560575.841417354</v>
      </c>
      <c r="O62" s="15"/>
      <c r="P62" s="13" t="n">
        <f aca="false">SUM(D62+N62)</f>
        <v>1315305.64141735</v>
      </c>
      <c r="Q62" s="16"/>
      <c r="R62" s="16"/>
    </row>
    <row r="63" customFormat="false" ht="11.25" hidden="false" customHeight="false" outlineLevel="0" collapsed="false">
      <c r="A63" s="234" t="n">
        <v>107447</v>
      </c>
      <c r="B63" s="16" t="s">
        <v>55</v>
      </c>
      <c r="C63" s="16"/>
      <c r="D63" s="235" t="n">
        <v>31742.32</v>
      </c>
      <c r="E63" s="19" t="n">
        <f aca="false">+'[2]Jan ext legal'!E63+'[2]Feb ext legal'!E63+'[2]Mar ext legal'!E63+'[2]Apr ext legal'!E63+'[2]May ext legal'!E63+'[2]Jun ext legal'!E63+'[2]Jul ext legal'!E63</f>
        <v>0</v>
      </c>
      <c r="F63" s="236" t="n">
        <f aca="false">+'[2]Jan ext legal'!F63+'[2]Feb ext legal'!F63+'[2]Mar ext legal'!F63+'[2]Apr ext legal'!F63+'[2]May ext legal'!F63+'[2]Jun ext legal'!F63+'[2]Jul ext legal'!F63</f>
        <v>0</v>
      </c>
      <c r="G63" s="19" t="n">
        <f aca="false">+'[2]Jan ext legal'!G63+'[2]Feb ext legal'!G63+'[2]Mar ext legal'!G63+'[2]Apr ext legal'!G63+'[2]May ext legal'!G63+'[2]Jun ext legal'!G63+'[2]Jul ext legal'!G63</f>
        <v>0</v>
      </c>
      <c r="H63" s="236" t="n">
        <f aca="false">+'[2]Jan ext legal'!H63+'[2]Feb ext legal'!H63+'[2]Mar ext legal'!H63+'[2]Apr ext legal'!H63+'[2]May ext legal'!H63+'[2]Jun ext legal'!H63+'[2]Jul ext legal'!H63</f>
        <v>0</v>
      </c>
      <c r="I63" s="19" t="n">
        <f aca="false">+'[2]Jan ext legal'!I63+'[2]Feb ext legal'!I63+'[2]Mar ext legal'!I63+'[2]Apr ext legal'!I63+'[2]May ext legal'!I63+'[2]Jun ext legal'!I63+'[2]Jul ext legal'!I63</f>
        <v>0</v>
      </c>
      <c r="J63" s="236" t="n">
        <f aca="false">+'[2]Jan ext legal'!K63+'[2]Feb ext legal'!K63+'[2]Mar ext legal'!K63+'[2]Apr ext legal'!K63+'[2]May ext legal'!K63+'[2]Jun ext legal'!K63+'[2]Jul ext legal'!K63</f>
        <v>0</v>
      </c>
      <c r="K63" s="236" t="n">
        <f aca="false">+'[2]Jan ext legal'!L63+'[2]Feb ext legal'!L63+'[2]Mar ext legal'!L63+'[2]Apr ext legal'!L63+'[2]May ext legal'!L63+'[2]Jun ext legal'!L63+'[2]Jul ext legal'!L63</f>
        <v>31742.32</v>
      </c>
      <c r="L63" s="236" t="n">
        <f aca="false">+'[2]Jan ext legal'!M63+'[2]Feb ext legal'!M63+'[2]Mar ext legal'!M63+'[2]Apr ext legal'!M63+'[2]May ext legal'!M63+'[2]Jun ext legal'!M63+'[2]Jul ext legal'!M63</f>
        <v>0</v>
      </c>
      <c r="M63" s="13" t="n">
        <f aca="false">+D63/D$73</f>
        <v>0.00270508264351943</v>
      </c>
      <c r="N63" s="13" t="n">
        <f aca="false">+N$4*M63</f>
        <v>23576.6200599723</v>
      </c>
      <c r="O63" s="15"/>
      <c r="P63" s="13" t="n">
        <f aca="false">SUM(D63+N63)</f>
        <v>55318.9400599723</v>
      </c>
      <c r="Q63" s="16"/>
      <c r="R63" s="16"/>
    </row>
    <row r="64" customFormat="false" ht="11.25" hidden="false" customHeight="false" outlineLevel="0" collapsed="false">
      <c r="A64" s="234" t="n">
        <v>107449</v>
      </c>
      <c r="B64" s="16" t="s">
        <v>56</v>
      </c>
      <c r="C64" s="16"/>
      <c r="D64" s="235" t="n">
        <v>3834.58</v>
      </c>
      <c r="E64" s="19" t="n">
        <f aca="false">+'[2]Jan ext legal'!E64+'[2]Feb ext legal'!E64+'[2]Mar ext legal'!E64+'[2]Apr ext legal'!E64+'[2]May ext legal'!E64+'[2]Jun ext legal'!E64+'[2]Jul ext legal'!E64</f>
        <v>0</v>
      </c>
      <c r="F64" s="236" t="n">
        <f aca="false">+'[2]Jan ext legal'!F64+'[2]Feb ext legal'!F64+'[2]Mar ext legal'!F64+'[2]Apr ext legal'!F64+'[2]May ext legal'!F64+'[2]Jun ext legal'!F64+'[2]Jul ext legal'!F64</f>
        <v>0</v>
      </c>
      <c r="G64" s="19" t="n">
        <f aca="false">+'[2]Jan ext legal'!G64+'[2]Feb ext legal'!G64+'[2]Mar ext legal'!G64+'[2]Apr ext legal'!G64+'[2]May ext legal'!G64+'[2]Jun ext legal'!G64+'[2]Jul ext legal'!G64</f>
        <v>0</v>
      </c>
      <c r="H64" s="236" t="n">
        <f aca="false">+'[2]Jan ext legal'!H64+'[2]Feb ext legal'!H64+'[2]Mar ext legal'!H64+'[2]Apr ext legal'!H64+'[2]May ext legal'!H64+'[2]Jun ext legal'!H64+'[2]Jul ext legal'!H64</f>
        <v>3834.58</v>
      </c>
      <c r="I64" s="19" t="n">
        <f aca="false">+'[2]Jan ext legal'!I64+'[2]Feb ext legal'!I64+'[2]Mar ext legal'!I64+'[2]Apr ext legal'!I64+'[2]May ext legal'!I64+'[2]Jun ext legal'!I64+'[2]Jul ext legal'!I64</f>
        <v>0</v>
      </c>
      <c r="J64" s="236" t="n">
        <f aca="false">+'[2]Jan ext legal'!K64+'[2]Feb ext legal'!K64+'[2]Mar ext legal'!K64+'[2]Apr ext legal'!K64+'[2]May ext legal'!K64+'[2]Jun ext legal'!K64+'[2]Jul ext legal'!K64</f>
        <v>0</v>
      </c>
      <c r="K64" s="236" t="n">
        <f aca="false">+'[2]Jan ext legal'!L64+'[2]Feb ext legal'!L64+'[2]Mar ext legal'!L64+'[2]Apr ext legal'!L64+'[2]May ext legal'!L64+'[2]Jun ext legal'!L64+'[2]Jul ext legal'!L64</f>
        <v>0</v>
      </c>
      <c r="L64" s="236" t="n">
        <f aca="false">+'[2]Jan ext legal'!M64+'[2]Feb ext legal'!M64+'[2]Mar ext legal'!M64+'[2]Apr ext legal'!M64+'[2]May ext legal'!M64+'[2]Jun ext legal'!M64+'[2]Jul ext legal'!M64</f>
        <v>0</v>
      </c>
      <c r="M64" s="13" t="n">
        <f aca="false">+D64/D$73</f>
        <v>0.000326783165288067</v>
      </c>
      <c r="N64" s="13" t="n">
        <f aca="false">+N$4*M64</f>
        <v>2848.13573014098</v>
      </c>
      <c r="O64" s="15"/>
      <c r="P64" s="13" t="n">
        <f aca="false">SUM(D64+N64)</f>
        <v>6682.71573014098</v>
      </c>
      <c r="Q64" s="16"/>
      <c r="R64" s="16"/>
    </row>
    <row r="65" customFormat="false" ht="11.25" hidden="false" customHeight="false" outlineLevel="0" collapsed="false">
      <c r="A65" s="234" t="n">
        <v>107452</v>
      </c>
      <c r="B65" s="16" t="s">
        <v>57</v>
      </c>
      <c r="C65" s="16" t="s">
        <v>228</v>
      </c>
      <c r="D65" s="235" t="n">
        <v>0</v>
      </c>
      <c r="E65" s="19" t="n">
        <f aca="false">+'[2]Jan ext legal'!E65+'[2]Feb ext legal'!E65+'[2]Mar ext legal'!E65+'[2]Apr ext legal'!E65+'[2]May ext legal'!E65+'[2]Jun ext legal'!E65+'[2]Jul ext legal'!E65</f>
        <v>0</v>
      </c>
      <c r="F65" s="236" t="n">
        <f aca="false">+'[2]Jan ext legal'!F65+'[2]Feb ext legal'!F65+'[2]Mar ext legal'!F65+'[2]Apr ext legal'!F65+'[2]May ext legal'!F65+'[2]Jun ext legal'!F65+'[2]Jul ext legal'!F65</f>
        <v>0</v>
      </c>
      <c r="G65" s="19" t="n">
        <f aca="false">+'[2]Jan ext legal'!G65+'[2]Feb ext legal'!G65+'[2]Mar ext legal'!G65+'[2]Apr ext legal'!G65+'[2]May ext legal'!G65+'[2]Jun ext legal'!G65+'[2]Jul ext legal'!G65</f>
        <v>0</v>
      </c>
      <c r="H65" s="236" t="n">
        <f aca="false">+'[2]Jan ext legal'!H65+'[2]Feb ext legal'!H65+'[2]Mar ext legal'!H65+'[2]Apr ext legal'!H65+'[2]May ext legal'!H65+'[2]Jun ext legal'!H65+'[2]Jul ext legal'!H65</f>
        <v>0</v>
      </c>
      <c r="I65" s="19" t="n">
        <f aca="false">+'[2]Jan ext legal'!I65+'[2]Feb ext legal'!I65+'[2]Mar ext legal'!I65+'[2]Apr ext legal'!I65+'[2]May ext legal'!I65+'[2]Jun ext legal'!I65+'[2]Jul ext legal'!I65</f>
        <v>0</v>
      </c>
      <c r="J65" s="236" t="n">
        <f aca="false">+'[2]Jan ext legal'!K65+'[2]Feb ext legal'!K65+'[2]Mar ext legal'!K65+'[2]Apr ext legal'!K65+'[2]May ext legal'!K65+'[2]Jun ext legal'!K65+'[2]Jul ext legal'!K65</f>
        <v>0</v>
      </c>
      <c r="K65" s="236" t="n">
        <f aca="false">+'[2]Jan ext legal'!L65+'[2]Feb ext legal'!L65+'[2]Mar ext legal'!L65+'[2]Apr ext legal'!L65+'[2]May ext legal'!L65+'[2]Jun ext legal'!L65+'[2]Jul ext legal'!L65</f>
        <v>0</v>
      </c>
      <c r="L65" s="236" t="n">
        <f aca="false">+'[2]Jan ext legal'!M65+'[2]Feb ext legal'!M65+'[2]Mar ext legal'!M65+'[2]Apr ext legal'!M65+'[2]May ext legal'!M65+'[2]Jun ext legal'!M65+'[2]Jul ext legal'!M65</f>
        <v>0</v>
      </c>
      <c r="M65" s="13" t="n">
        <f aca="false">+D65/D$73</f>
        <v>0</v>
      </c>
      <c r="N65" s="13" t="n">
        <f aca="false">+N$4*M65</f>
        <v>0</v>
      </c>
      <c r="O65" s="15"/>
      <c r="P65" s="13" t="n">
        <f aca="false">SUM(D65+N65)</f>
        <v>0</v>
      </c>
      <c r="Q65" s="16"/>
      <c r="R65" s="16"/>
    </row>
    <row r="66" customFormat="false" ht="11.25" hidden="false" customHeight="false" outlineLevel="0" collapsed="false">
      <c r="A66" s="226" t="n">
        <v>120484</v>
      </c>
      <c r="B66" s="227" t="s">
        <v>229</v>
      </c>
      <c r="C66" s="227"/>
      <c r="D66" s="229" t="n">
        <v>1457909.08</v>
      </c>
      <c r="E66" s="230" t="n">
        <f aca="false">+'[2]Jan ext legal'!E66+'[2]Feb ext legal'!E66+'[2]Mar ext legal'!E66+'[2]Apr ext legal'!E66+'[2]May ext legal'!E66+'[2]Jun ext legal'!E66+'[2]Jul ext legal'!E66</f>
        <v>91203.41</v>
      </c>
      <c r="F66" s="231" t="n">
        <f aca="false">+'[2]Jan ext legal'!F66+'[2]Feb ext legal'!F66+'[2]Mar ext legal'!F66+'[2]Apr ext legal'!F66+'[2]May ext legal'!F66+'[2]Jun ext legal'!F66+'[2]Jul ext legal'!F66</f>
        <v>0</v>
      </c>
      <c r="G66" s="230" t="n">
        <f aca="false">+'[2]Jan ext legal'!G66+'[2]Feb ext legal'!G66+'[2]Mar ext legal'!G66+'[2]Apr ext legal'!G66+'[2]May ext legal'!G66+'[2]Jun ext legal'!G66+'[2]Jul ext legal'!G66</f>
        <v>534904.54</v>
      </c>
      <c r="H66" s="231" t="n">
        <f aca="false">+'[2]Jan ext legal'!H66+'[2]Feb ext legal'!H66+'[2]Mar ext legal'!H66+'[2]Apr ext legal'!H66+'[2]May ext legal'!H66+'[2]Jun ext legal'!H66+'[2]Jul ext legal'!H66</f>
        <v>117396.73</v>
      </c>
      <c r="I66" s="230" t="n">
        <f aca="false">+'[2]Jan ext legal'!I66+'[2]Feb ext legal'!I66+'[2]Mar ext legal'!I66+'[2]Apr ext legal'!I66+'[2]May ext legal'!I66+'[2]Jun ext legal'!I66+'[2]Jul ext legal'!I66</f>
        <v>713941.5</v>
      </c>
      <c r="J66" s="231" t="n">
        <f aca="false">+'[2]Jan ext legal'!K66+'[2]Feb ext legal'!K66+'[2]Mar ext legal'!K66+'[2]Apr ext legal'!K66+'[2]May ext legal'!K66+'[2]Jun ext legal'!K66+'[2]Jul ext legal'!K66</f>
        <v>462.9</v>
      </c>
      <c r="K66" s="231" t="n">
        <f aca="false">+'[2]Jan ext legal'!L66+'[2]Feb ext legal'!L66+'[2]Mar ext legal'!L66+'[2]Apr ext legal'!L66+'[2]May ext legal'!L66+'[2]Jun ext legal'!L66+'[2]Jul ext legal'!L66</f>
        <v>0</v>
      </c>
      <c r="L66" s="231" t="n">
        <f aca="false">+'[2]Jan ext legal'!M66+'[2]Feb ext legal'!M66+'[2]Mar ext legal'!M66+'[2]Apr ext legal'!M66+'[2]May ext legal'!M66+'[2]Jun ext legal'!M66+'[2]Jul ext legal'!M66</f>
        <v>0</v>
      </c>
      <c r="M66" s="232" t="n">
        <f aca="false">+D66/D$73</f>
        <v>0.124243109770722</v>
      </c>
      <c r="N66" s="232" t="n">
        <f aca="false">+N$4*M66</f>
        <v>1082862.51481126</v>
      </c>
      <c r="O66" s="233"/>
      <c r="P66" s="232" t="n">
        <f aca="false">SUM(D66+N66)</f>
        <v>2540771.59481126</v>
      </c>
      <c r="Q66" s="16"/>
      <c r="R66" s="16"/>
    </row>
    <row r="67" customFormat="false" ht="11.25" hidden="false" customHeight="false" outlineLevel="0" collapsed="false">
      <c r="A67" s="226" t="n">
        <v>121125</v>
      </c>
      <c r="B67" s="227" t="s">
        <v>230</v>
      </c>
      <c r="C67" s="227"/>
      <c r="D67" s="229" t="n">
        <v>108674.32</v>
      </c>
      <c r="E67" s="230" t="n">
        <f aca="false">+'[2]Jan ext legal'!E67+'[2]Feb ext legal'!E67+'[2]Mar ext legal'!E67+'[2]Apr ext legal'!E67+'[2]May ext legal'!E67+'[2]Jun ext legal'!E67+'[2]Jul ext legal'!E67</f>
        <v>108674.32</v>
      </c>
      <c r="F67" s="231" t="n">
        <f aca="false">+'[2]Jan ext legal'!F67+'[2]Feb ext legal'!F67+'[2]Mar ext legal'!F67+'[2]Apr ext legal'!F67+'[2]May ext legal'!F67+'[2]Jun ext legal'!F67+'[2]Jul ext legal'!F67</f>
        <v>0</v>
      </c>
      <c r="G67" s="230" t="n">
        <f aca="false">+'[2]Jan ext legal'!G67+'[2]Feb ext legal'!G67+'[2]Mar ext legal'!G67+'[2]Apr ext legal'!G67+'[2]May ext legal'!G67+'[2]Jun ext legal'!G67+'[2]Jul ext legal'!G67</f>
        <v>0</v>
      </c>
      <c r="H67" s="231" t="n">
        <f aca="false">+'[2]Jan ext legal'!H67+'[2]Feb ext legal'!H67+'[2]Mar ext legal'!H67+'[2]Apr ext legal'!H67+'[2]May ext legal'!H67+'[2]Jun ext legal'!H67+'[2]Jul ext legal'!H67</f>
        <v>0</v>
      </c>
      <c r="I67" s="230" t="n">
        <f aca="false">+'[2]Jan ext legal'!I67+'[2]Feb ext legal'!I67+'[2]Mar ext legal'!I67+'[2]Apr ext legal'!I67+'[2]May ext legal'!I67+'[2]Jun ext legal'!I67+'[2]Jul ext legal'!I67</f>
        <v>0</v>
      </c>
      <c r="J67" s="231" t="n">
        <f aca="false">+'[2]Jan ext legal'!K67+'[2]Feb ext legal'!K67+'[2]Mar ext legal'!K67+'[2]Apr ext legal'!K67+'[2]May ext legal'!K67+'[2]Jun ext legal'!K67+'[2]Jul ext legal'!K67</f>
        <v>0</v>
      </c>
      <c r="K67" s="231" t="n">
        <f aca="false">+'[2]Jan ext legal'!L67+'[2]Feb ext legal'!L67+'[2]Mar ext legal'!L67+'[2]Apr ext legal'!L67+'[2]May ext legal'!L67+'[2]Jun ext legal'!L67+'[2]Jul ext legal'!L67</f>
        <v>0</v>
      </c>
      <c r="L67" s="231" t="n">
        <f aca="false">+'[2]Jan ext legal'!M67+'[2]Feb ext legal'!M67+'[2]Mar ext legal'!M67+'[2]Apr ext legal'!M67+'[2]May ext legal'!M67+'[2]Jun ext legal'!M67+'[2]Jul ext legal'!M67</f>
        <v>0</v>
      </c>
      <c r="M67" s="232" t="n">
        <f aca="false">+D67/D$73</f>
        <v>0.00926123285343593</v>
      </c>
      <c r="N67" s="232" t="n">
        <f aca="false">+N$4*M67</f>
        <v>80717.8918527647</v>
      </c>
      <c r="O67" s="233"/>
      <c r="P67" s="232" t="n">
        <f aca="false">SUM(D67+N67)</f>
        <v>189392.211852765</v>
      </c>
      <c r="Q67" s="16"/>
      <c r="R67" s="16"/>
    </row>
    <row r="68" customFormat="false" ht="11.25" hidden="false" customHeight="false" outlineLevel="0" collapsed="false">
      <c r="A68" s="226" t="n">
        <v>140167</v>
      </c>
      <c r="B68" s="227" t="s">
        <v>231</v>
      </c>
      <c r="C68" s="227"/>
      <c r="D68" s="229" t="n">
        <v>202208.31</v>
      </c>
      <c r="E68" s="230" t="n">
        <f aca="false">+'[2]Jan ext legal'!E69+'[2]Feb ext legal'!E69+'[2]Mar ext legal'!E69+'[2]Apr ext legal'!E69+'[2]May ext legal'!E69+'[2]Jun ext legal'!E69+'[2]Jul ext legal'!E69</f>
        <v>139054.61</v>
      </c>
      <c r="F68" s="231" t="n">
        <f aca="false">+'[2]Jan ext legal'!F69+'[2]Feb ext legal'!F69+'[2]Mar ext legal'!F69+'[2]Apr ext legal'!F69+'[2]May ext legal'!F69+'[2]Jun ext legal'!F69+'[2]Jul ext legal'!F69</f>
        <v>0</v>
      </c>
      <c r="G68" s="230" t="n">
        <f aca="false">+'[2]Jan ext legal'!G69+'[2]Feb ext legal'!G69+'[2]Mar ext legal'!G69+'[2]Apr ext legal'!G69+'[2]May ext legal'!G69+'[2]Jun ext legal'!G69+'[2]Jul ext legal'!G69</f>
        <v>0</v>
      </c>
      <c r="H68" s="231" t="n">
        <f aca="false">+'[2]Jan ext legal'!H69+'[2]Feb ext legal'!H69+'[2]Mar ext legal'!H69+'[2]Apr ext legal'!H69+'[2]May ext legal'!H69+'[2]Jun ext legal'!H69+'[2]Jul ext legal'!H69</f>
        <v>63153.7</v>
      </c>
      <c r="I68" s="230" t="n">
        <f aca="false">+'[2]Jan ext legal'!I69+'[2]Feb ext legal'!I69+'[2]Mar ext legal'!I69+'[2]Apr ext legal'!I69+'[2]May ext legal'!I69+'[2]Jun ext legal'!I69+'[2]Jul ext legal'!I69</f>
        <v>0</v>
      </c>
      <c r="J68" s="231" t="n">
        <f aca="false">+'[2]Jan ext legal'!K69+'[2]Feb ext legal'!K69+'[2]Mar ext legal'!K69+'[2]Apr ext legal'!K69+'[2]May ext legal'!K69+'[2]Jun ext legal'!K69+'[2]Jul ext legal'!K69</f>
        <v>0</v>
      </c>
      <c r="K68" s="231" t="n">
        <f aca="false">+'[2]Jan ext legal'!L69+'[2]Feb ext legal'!L69+'[2]Mar ext legal'!L69+'[2]Apr ext legal'!L69+'[2]May ext legal'!L69+'[2]Jun ext legal'!L69+'[2]Jul ext legal'!L69</f>
        <v>0</v>
      </c>
      <c r="L68" s="231" t="n">
        <f aca="false">+'[2]Jan ext legal'!M69+'[2]Feb ext legal'!M69+'[2]Mar ext legal'!M69+'[2]Apr ext legal'!M69+'[2]May ext legal'!M69+'[2]Jun ext legal'!M69+'[2]Jul ext legal'!M69</f>
        <v>0</v>
      </c>
      <c r="M68" s="232" t="n">
        <f aca="false">+D68/D$73</f>
        <v>0.0172322057668247</v>
      </c>
      <c r="N68" s="232" t="n">
        <f aca="false">+N$4*M68</f>
        <v>150190.297931566</v>
      </c>
      <c r="O68" s="233"/>
      <c r="P68" s="232" t="n">
        <f aca="false">SUM(D68+N68)</f>
        <v>352398.607931566</v>
      </c>
      <c r="Q68" s="16"/>
      <c r="R68" s="16"/>
    </row>
    <row r="69" customFormat="false" ht="11.25" hidden="false" customHeight="false" outlineLevel="0" collapsed="false">
      <c r="A69" s="226" t="n">
        <v>140399</v>
      </c>
      <c r="B69" s="227" t="s">
        <v>232</v>
      </c>
      <c r="C69" s="227"/>
      <c r="D69" s="229" t="n">
        <v>0</v>
      </c>
      <c r="E69" s="230" t="n">
        <f aca="false">+'[2]Jan ext legal'!E70+'[2]Feb ext legal'!E70+'[2]Mar ext legal'!E70+'[2]Apr ext legal'!E70+'[2]May ext legal'!E70+'[2]Jun ext legal'!E70+'[2]Jul ext legal'!E70</f>
        <v>135528.46</v>
      </c>
      <c r="F69" s="231" t="n">
        <f aca="false">+'[2]Jan ext legal'!F70+'[2]Feb ext legal'!F70+'[2]Mar ext legal'!F70+'[2]Apr ext legal'!F70+'[2]May ext legal'!F70+'[2]Jun ext legal'!F70+'[2]Jul ext legal'!F70</f>
        <v>21759.96</v>
      </c>
      <c r="G69" s="230" t="n">
        <f aca="false">+'[2]Jan ext legal'!G70+'[2]Feb ext legal'!G70+'[2]Mar ext legal'!G70+'[2]Apr ext legal'!G70+'[2]May ext legal'!G70+'[2]Jun ext legal'!G70+'[2]Jul ext legal'!G70</f>
        <v>0</v>
      </c>
      <c r="H69" s="231" t="n">
        <f aca="false">+'[2]Jan ext legal'!H70+'[2]Feb ext legal'!H70+'[2]Mar ext legal'!H70+'[2]Apr ext legal'!H70+'[2]May ext legal'!H70+'[2]Jun ext legal'!H70+'[2]Jul ext legal'!H70</f>
        <v>0</v>
      </c>
      <c r="I69" s="230" t="n">
        <f aca="false">+'[2]Jan ext legal'!I70+'[2]Feb ext legal'!I70+'[2]Mar ext legal'!I70+'[2]Apr ext legal'!I70+'[2]May ext legal'!I70+'[2]Jun ext legal'!I70+'[2]Jul ext legal'!I70</f>
        <v>0</v>
      </c>
      <c r="J69" s="231" t="n">
        <f aca="false">+'[2]Jan ext legal'!K70+'[2]Feb ext legal'!K70+'[2]Mar ext legal'!K70+'[2]Apr ext legal'!K70+'[2]May ext legal'!K70+'[2]Jun ext legal'!K70+'[2]Jul ext legal'!K70</f>
        <v>0</v>
      </c>
      <c r="K69" s="231" t="n">
        <f aca="false">+'[2]Jan ext legal'!L70+'[2]Feb ext legal'!L70+'[2]Mar ext legal'!L70+'[2]Apr ext legal'!L70+'[2]May ext legal'!L70+'[2]Jun ext legal'!L70+'[2]Jul ext legal'!L70</f>
        <v>0</v>
      </c>
      <c r="L69" s="231" t="n">
        <f aca="false">+'[2]Jan ext legal'!M70+'[2]Feb ext legal'!M70+'[2]Mar ext legal'!M70+'[2]Apr ext legal'!M70+'[2]May ext legal'!M70+'[2]Jun ext legal'!M70+'[2]Jul ext legal'!M70</f>
        <v>0</v>
      </c>
      <c r="M69" s="232" t="n">
        <f aca="false">+D69/D$73</f>
        <v>0</v>
      </c>
      <c r="N69" s="232" t="n">
        <f aca="false">+N$4*M69</f>
        <v>0</v>
      </c>
      <c r="O69" s="233"/>
      <c r="P69" s="232" t="n">
        <f aca="false">SUM(D69+N69)</f>
        <v>0</v>
      </c>
      <c r="Q69" s="16"/>
      <c r="R69" s="16"/>
    </row>
    <row r="70" customFormat="false" ht="11.25" hidden="false" customHeight="false" outlineLevel="0" collapsed="false">
      <c r="A70" s="226" t="n">
        <v>140402</v>
      </c>
      <c r="B70" s="227" t="s">
        <v>233</v>
      </c>
      <c r="C70" s="227" t="s">
        <v>234</v>
      </c>
      <c r="D70" s="229" t="n">
        <v>0</v>
      </c>
      <c r="E70" s="230" t="n">
        <f aca="false">+'[2]Jan ext legal'!E71+'[2]Feb ext legal'!E71+'[2]Mar ext legal'!E71+'[2]Apr ext legal'!E71+'[2]May ext legal'!E71+'[2]Jun ext legal'!E71+'[2]Jul ext legal'!E71</f>
        <v>183695.57</v>
      </c>
      <c r="F70" s="231" t="n">
        <f aca="false">+'[2]Jan ext legal'!F71+'[2]Feb ext legal'!F71+'[2]Mar ext legal'!F71+'[2]Apr ext legal'!F71+'[2]May ext legal'!F71+'[2]Jun ext legal'!F71+'[2]Jul ext legal'!F71</f>
        <v>0</v>
      </c>
      <c r="G70" s="230" t="n">
        <f aca="false">+'[2]Jan ext legal'!G71+'[2]Feb ext legal'!G71+'[2]Mar ext legal'!G71+'[2]Apr ext legal'!G71+'[2]May ext legal'!G71+'[2]Jun ext legal'!G71+'[2]Jul ext legal'!G71</f>
        <v>1999010.1</v>
      </c>
      <c r="H70" s="231" t="n">
        <f aca="false">+'[2]Jan ext legal'!H71+'[2]Feb ext legal'!H71+'[2]Mar ext legal'!H71+'[2]Apr ext legal'!H71+'[2]May ext legal'!H71+'[2]Jun ext legal'!H71+'[2]Jul ext legal'!H71</f>
        <v>0</v>
      </c>
      <c r="I70" s="230" t="n">
        <f aca="false">+'[2]Jan ext legal'!I71+'[2]Feb ext legal'!I71+'[2]Mar ext legal'!I71+'[2]Apr ext legal'!I71+'[2]May ext legal'!I71+'[2]Jun ext legal'!I71+'[2]Jul ext legal'!I71</f>
        <v>0</v>
      </c>
      <c r="J70" s="231" t="n">
        <f aca="false">+'[2]Jan ext legal'!K71+'[2]Feb ext legal'!K71+'[2]Mar ext legal'!K71+'[2]Apr ext legal'!K71+'[2]May ext legal'!K71+'[2]Jun ext legal'!K71+'[2]Jul ext legal'!K71</f>
        <v>0</v>
      </c>
      <c r="K70" s="231" t="n">
        <f aca="false">+'[2]Jan ext legal'!L71+'[2]Feb ext legal'!L71+'[2]Mar ext legal'!L71+'[2]Apr ext legal'!L71+'[2]May ext legal'!L71+'[2]Jun ext legal'!L71+'[2]Jul ext legal'!L71</f>
        <v>0</v>
      </c>
      <c r="L70" s="231" t="n">
        <f aca="false">+'[2]Jan ext legal'!M71+'[2]Feb ext legal'!M71+'[2]Mar ext legal'!M71+'[2]Apr ext legal'!M71+'[2]May ext legal'!M71+'[2]Jun ext legal'!M71+'[2]Jul ext legal'!M71</f>
        <v>0</v>
      </c>
      <c r="M70" s="232" t="n">
        <f aca="false">+D70/D$73</f>
        <v>0</v>
      </c>
      <c r="N70" s="232" t="n">
        <f aca="false">+N$4*M70</f>
        <v>0</v>
      </c>
      <c r="O70" s="233"/>
      <c r="P70" s="232" t="n">
        <f aca="false">SUM(D70+N70)</f>
        <v>0</v>
      </c>
      <c r="Q70" s="16"/>
      <c r="R70" s="16"/>
    </row>
    <row r="71" customFormat="false" ht="11.25" hidden="false" customHeight="false" outlineLevel="0" collapsed="false">
      <c r="A71" s="234" t="n">
        <v>150164</v>
      </c>
      <c r="B71" s="16" t="s">
        <v>58</v>
      </c>
      <c r="C71" s="227"/>
      <c r="D71" s="235" t="n">
        <v>335.25</v>
      </c>
      <c r="E71" s="19" t="n">
        <f aca="false">+'[2]Jan ext legal'!E72+'[2]Feb ext legal'!E72+'[2]Mar ext legal'!E72+'[2]Apr ext legal'!E72+'[2]May ext legal'!E72+'[2]Jun ext legal'!E72+'[2]Jul ext legal'!E72</f>
        <v>335.25</v>
      </c>
      <c r="F71" s="236" t="n">
        <f aca="false">+'[2]Jan ext legal'!F72+'[2]Feb ext legal'!F72+'[2]Mar ext legal'!F72+'[2]Apr ext legal'!F72+'[2]May ext legal'!F72+'[2]Jun ext legal'!F72+'[2]Jul ext legal'!F72</f>
        <v>0</v>
      </c>
      <c r="G71" s="19" t="n">
        <f aca="false">+'[2]Jan ext legal'!G72+'[2]Feb ext legal'!G72+'[2]Mar ext legal'!G72+'[2]Apr ext legal'!G72+'[2]May ext legal'!G72+'[2]Jun ext legal'!G72+'[2]Jul ext legal'!G72</f>
        <v>0</v>
      </c>
      <c r="H71" s="236" t="n">
        <f aca="false">+'[2]Jan ext legal'!H72+'[2]Feb ext legal'!H72+'[2]Mar ext legal'!H72+'[2]Apr ext legal'!H72+'[2]May ext legal'!H72+'[2]Jun ext legal'!H72+'[2]Jul ext legal'!H72</f>
        <v>0</v>
      </c>
      <c r="I71" s="19" t="n">
        <f aca="false">+'[2]Jan ext legal'!I72+'[2]Feb ext legal'!I72+'[2]Mar ext legal'!I72+'[2]Apr ext legal'!I72+'[2]May ext legal'!I72+'[2]Jun ext legal'!I72+'[2]Jul ext legal'!I72</f>
        <v>0</v>
      </c>
      <c r="J71" s="236" t="n">
        <f aca="false">+'[2]Jan ext legal'!K72+'[2]Feb ext legal'!K72+'[2]Mar ext legal'!K72+'[2]Apr ext legal'!K72+'[2]May ext legal'!K72+'[2]Jun ext legal'!K72+'[2]Jul ext legal'!K72</f>
        <v>0</v>
      </c>
      <c r="K71" s="236" t="n">
        <f aca="false">+'[2]Jan ext legal'!L72+'[2]Feb ext legal'!L72+'[2]Mar ext legal'!L72+'[2]Apr ext legal'!L72+'[2]May ext legal'!L72+'[2]Jun ext legal'!L72+'[2]Jul ext legal'!L72</f>
        <v>0</v>
      </c>
      <c r="L71" s="236" t="n">
        <f aca="false">+'[2]Jan ext legal'!M72+'[2]Feb ext legal'!M72+'[2]Mar ext legal'!M72+'[2]Apr ext legal'!M72+'[2]May ext legal'!M72+'[2]Jun ext legal'!M72+'[2]Jul ext legal'!M72</f>
        <v>0</v>
      </c>
      <c r="M71" s="13" t="n">
        <f aca="false">+D71/D$73</f>
        <v>2.85700275291752E-005</v>
      </c>
      <c r="N71" s="13" t="n">
        <f aca="false">+N$4*M71</f>
        <v>249.007062971633</v>
      </c>
      <c r="O71" s="15"/>
      <c r="P71" s="13" t="n">
        <f aca="false">SUM(D71+N71)</f>
        <v>584.257062971633</v>
      </c>
      <c r="Q71" s="16"/>
      <c r="R71" s="16"/>
    </row>
    <row r="72" customFormat="false" ht="12" hidden="false" customHeight="false" outlineLevel="0" collapsed="false">
      <c r="A72" s="239" t="n">
        <v>150249</v>
      </c>
      <c r="B72" s="240" t="s">
        <v>235</v>
      </c>
      <c r="C72" s="227" t="s">
        <v>198</v>
      </c>
      <c r="D72" s="229" t="n">
        <v>142503.8</v>
      </c>
      <c r="E72" s="230" t="n">
        <f aca="false">+'[2]Jan ext legal'!E73+'[2]Feb ext legal'!E73+'[2]Mar ext legal'!E73+'[2]Apr ext legal'!E73+'[2]May ext legal'!E73+'[2]Jun ext legal'!E73+'[2]Jul ext legal'!E73</f>
        <v>2990.73</v>
      </c>
      <c r="F72" s="231" t="n">
        <f aca="false">+'[2]Jan ext legal'!F73+'[2]Feb ext legal'!F73+'[2]Mar ext legal'!F73+'[2]Apr ext legal'!F73+'[2]May ext legal'!F73+'[2]Jun ext legal'!F73+'[2]Jul ext legal'!F73</f>
        <v>139513.07</v>
      </c>
      <c r="G72" s="230" t="n">
        <f aca="false">+'[2]Jan ext legal'!G73+'[2]Feb ext legal'!G73+'[2]Mar ext legal'!G73+'[2]Apr ext legal'!G73+'[2]May ext legal'!G73+'[2]Jun ext legal'!G73+'[2]Jul ext legal'!G73</f>
        <v>0</v>
      </c>
      <c r="H72" s="241" t="n">
        <f aca="false">+'[2]Jan ext legal'!H73+'[2]Feb ext legal'!H73+'[2]Mar ext legal'!H73+'[2]Apr ext legal'!H73+'[2]May ext legal'!H73+'[2]Jun ext legal'!H73+'[2]Jul ext legal'!H73</f>
        <v>0</v>
      </c>
      <c r="I72" s="230" t="n">
        <f aca="false">+'[2]Jan ext legal'!I73+'[2]Feb ext legal'!I73+'[2]Mar ext legal'!I73+'[2]Apr ext legal'!I73+'[2]May ext legal'!I73+'[2]Jun ext legal'!I73+'[2]Jul ext legal'!I73</f>
        <v>0</v>
      </c>
      <c r="J72" s="231" t="n">
        <f aca="false">+'[2]Jan ext legal'!K73+'[2]Feb ext legal'!K73+'[2]Mar ext legal'!K73+'[2]Apr ext legal'!K73+'[2]May ext legal'!K73+'[2]Jun ext legal'!K73+'[2]Jul ext legal'!K73</f>
        <v>0</v>
      </c>
      <c r="K72" s="241" t="n">
        <f aca="false">+'[2]Jan ext legal'!L73+'[2]Feb ext legal'!L73+'[2]Mar ext legal'!L73+'[2]Apr ext legal'!L73+'[2]May ext legal'!L73+'[2]Jun ext legal'!L73+'[2]Jul ext legal'!L73</f>
        <v>0</v>
      </c>
      <c r="L72" s="241" t="n">
        <f aca="false">+'[2]Jan ext legal'!M73+'[2]Feb ext legal'!M73+'[2]Mar ext legal'!M73+'[2]Apr ext legal'!M73+'[2]May ext legal'!M73+'[2]Jun ext legal'!M73+'[2]Jul ext legal'!M73</f>
        <v>0</v>
      </c>
      <c r="M72" s="232" t="n">
        <f aca="false">+D72/D$73</f>
        <v>0.0121441834124148</v>
      </c>
      <c r="N72" s="232" t="n">
        <f aca="false">+N$4*M72</f>
        <v>105844.750783884</v>
      </c>
      <c r="O72" s="233"/>
      <c r="P72" s="232" t="n">
        <f aca="false">SUM(D72+N72)</f>
        <v>248348.550783884</v>
      </c>
      <c r="Q72" s="16"/>
      <c r="R72" s="16"/>
    </row>
    <row r="73" customFormat="false" ht="13.5" hidden="false" customHeight="false" outlineLevel="0" collapsed="false">
      <c r="B73" s="31"/>
      <c r="C73" s="31"/>
      <c r="D73" s="242" t="n">
        <f aca="false">SUM(D6:D72)</f>
        <v>11734325.41</v>
      </c>
      <c r="E73" s="243" t="n">
        <f aca="false">SUM(E6:E72)</f>
        <v>3003906.59</v>
      </c>
      <c r="F73" s="244" t="n">
        <f aca="false">SUM(F6:F72)</f>
        <v>2650347.85</v>
      </c>
      <c r="G73" s="245" t="n">
        <f aca="false">SUM(G6:G72)</f>
        <v>6149658.28</v>
      </c>
      <c r="H73" s="244" t="n">
        <f aca="false">SUM(H6:H72)</f>
        <v>282290.55</v>
      </c>
      <c r="I73" s="246" t="n">
        <f aca="false">SUM(I6:I72)</f>
        <v>944280.11</v>
      </c>
      <c r="J73" s="244" t="n">
        <f aca="false">SUM(J6:J72)</f>
        <v>48058.65</v>
      </c>
      <c r="K73" s="244" t="n">
        <f aca="false">SUM(K6:K72)</f>
        <v>1128832.97</v>
      </c>
      <c r="L73" s="244" t="n">
        <f aca="false">SUM(L6:L72)</f>
        <v>7792.82</v>
      </c>
      <c r="M73" s="242" t="n">
        <f aca="false">+D73/D$73</f>
        <v>1</v>
      </c>
      <c r="N73" s="242" t="n">
        <f aca="false">SUM(N6:N72)</f>
        <v>8715674.59</v>
      </c>
      <c r="O73" s="27"/>
      <c r="P73" s="242" t="n">
        <f aca="false">SUM(P6:P72)</f>
        <v>20450000</v>
      </c>
    </row>
    <row r="74" customFormat="false" ht="11.25" hidden="false" customHeight="false" outlineLevel="0" collapsed="false">
      <c r="A74" s="226"/>
      <c r="B74" s="227" t="s">
        <v>236</v>
      </c>
      <c r="C74" s="227" t="s">
        <v>198</v>
      </c>
      <c r="D74" s="247" t="n">
        <f aca="false">5000000/12*7</f>
        <v>2916666.66666667</v>
      </c>
      <c r="E74" s="247" t="n">
        <v>0</v>
      </c>
      <c r="F74" s="248" t="n">
        <f aca="false">+'[2]Jan ext legal'!F76+'[2]Feb ext legal'!F76+'[2]Mar ext legal'!F76+'[2]Apr ext legal'!F76+'[2]May ext legal'!F76+'[2]Jun ext legal'!F76+'[2]Jul ext legal'!F76</f>
        <v>0</v>
      </c>
      <c r="G74" s="247" t="n">
        <f aca="false">+'[2]Jan ext legal'!G76+'[2]Feb ext legal'!G76+'[2]Mar ext legal'!G76+'[2]Apr ext legal'!G76+'[2]May ext legal'!G76+'[2]Jun ext legal'!G76+'[2]Jul ext legal'!G76</f>
        <v>0</v>
      </c>
      <c r="H74" s="248" t="n">
        <f aca="false">+'[2]Jan ext legal'!H76+'[2]Feb ext legal'!H76+'[2]Mar ext legal'!H76+'[2]Apr ext legal'!H76+'[2]May ext legal'!H76+'[2]Jun ext legal'!H76+'[2]Jul ext legal'!H76</f>
        <v>0</v>
      </c>
      <c r="I74" s="247" t="n">
        <f aca="false">+'[2]Jan ext legal'!I76+'[2]Feb ext legal'!I76+'[2]Mar ext legal'!I76+'[2]Apr ext legal'!I76+'[2]May ext legal'!I76+'[2]Jun ext legal'!I76+'[2]Jul ext legal'!I76</f>
        <v>0</v>
      </c>
      <c r="J74" s="248" t="n">
        <f aca="false">+'[2]Jan ext legal'!K76+'[2]Feb ext legal'!K76+'[2]Mar ext legal'!K76+'[2]Apr ext legal'!K76+'[2]May ext legal'!K76+'[2]Jun ext legal'!K76+'[2]Jul ext legal'!K76</f>
        <v>0</v>
      </c>
      <c r="K74" s="248" t="n">
        <f aca="false">+'[2]Jan ext legal'!L76+'[2]Feb ext legal'!L76+'[2]Mar ext legal'!L76+'[2]Apr ext legal'!L76+'[2]May ext legal'!L76+'[2]Jun ext legal'!L76+'[2]Jul ext legal'!L76</f>
        <v>0</v>
      </c>
      <c r="L74" s="248" t="n">
        <f aca="false">+'[2]Jan ext legal'!M76+'[2]Feb ext legal'!M76+'[2]Mar ext legal'!M76+'[2]Apr ext legal'!M76+'[2]May ext legal'!M76+'[2]Jun ext legal'!M76+'[2]Jul ext legal'!M76</f>
        <v>0</v>
      </c>
      <c r="M74" s="249"/>
      <c r="N74" s="247" t="n">
        <f aca="false">5000000/12*5</f>
        <v>2083333.33333333</v>
      </c>
      <c r="O74" s="227"/>
      <c r="P74" s="230" t="n">
        <f aca="false">SUM(D74:N74)</f>
        <v>5000000</v>
      </c>
      <c r="Q74" s="16" t="s">
        <v>172</v>
      </c>
      <c r="R74" s="250" t="s">
        <v>237</v>
      </c>
    </row>
    <row r="75" customFormat="false" ht="11.25" hidden="false" customHeight="false" outlineLevel="0" collapsed="false">
      <c r="A75" s="226" t="n">
        <v>104151</v>
      </c>
      <c r="B75" s="227" t="s">
        <v>238</v>
      </c>
      <c r="C75" s="227" t="s">
        <v>239</v>
      </c>
      <c r="D75" s="247" t="n">
        <f aca="false">5000000/12*7</f>
        <v>2916666.66666667</v>
      </c>
      <c r="E75" s="247" t="n">
        <f aca="false">+'[2]Jan ext legal'!E75+'[2]Feb ext legal'!E75+'[2]Mar ext legal'!E75+'[2]Apr ext legal'!E75+'[2]May ext legal'!E75+'[2]Jun ext legal'!E75+'[2]Jul ext legal'!E75</f>
        <v>0</v>
      </c>
      <c r="F75" s="248" t="n">
        <f aca="false">+'[2]Jan ext legal'!F75+'[2]Feb ext legal'!F75+'[2]Mar ext legal'!F75+'[2]Apr ext legal'!F75+'[2]May ext legal'!F75+'[2]Jun ext legal'!F75+'[2]Jul ext legal'!F75</f>
        <v>0</v>
      </c>
      <c r="G75" s="247" t="n">
        <f aca="false">+'[2]Jan ext legal'!G75+'[2]Feb ext legal'!G75+'[2]Mar ext legal'!G75+'[2]Apr ext legal'!G75+'[2]May ext legal'!G75+'[2]Jun ext legal'!G75+'[2]Jul ext legal'!G75</f>
        <v>0</v>
      </c>
      <c r="H75" s="248" t="n">
        <f aca="false">+'[2]Jan ext legal'!H75+'[2]Feb ext legal'!H75+'[2]Mar ext legal'!H75+'[2]Apr ext legal'!H75+'[2]May ext legal'!H75+'[2]Jun ext legal'!H75+'[2]Jul ext legal'!H75</f>
        <v>0</v>
      </c>
      <c r="I75" s="247" t="n">
        <f aca="false">+'[2]Jan ext legal'!I75+'[2]Feb ext legal'!I75+'[2]Mar ext legal'!I75+'[2]Apr ext legal'!I75+'[2]May ext legal'!I75+'[2]Jun ext legal'!I75+'[2]Jul ext legal'!I75</f>
        <v>0</v>
      </c>
      <c r="J75" s="248" t="n">
        <f aca="false">+'[2]Jan ext legal'!K75+'[2]Feb ext legal'!K75+'[2]Mar ext legal'!K75+'[2]Apr ext legal'!K75+'[2]May ext legal'!K75+'[2]Jun ext legal'!K75+'[2]Jul ext legal'!K75</f>
        <v>0</v>
      </c>
      <c r="K75" s="248" t="n">
        <f aca="false">+'[2]Jan ext legal'!L75+'[2]Feb ext legal'!L75+'[2]Mar ext legal'!L75+'[2]Apr ext legal'!L75+'[2]May ext legal'!L75+'[2]Jun ext legal'!L75+'[2]Jul ext legal'!L75</f>
        <v>0</v>
      </c>
      <c r="L75" s="248" t="n">
        <f aca="false">+'[2]Jan ext legal'!M75+'[2]Feb ext legal'!M75+'[2]Mar ext legal'!M75+'[2]Apr ext legal'!M75+'[2]May ext legal'!M75+'[2]Jun ext legal'!M75+'[2]Jul ext legal'!M75</f>
        <v>0</v>
      </c>
      <c r="M75" s="249"/>
      <c r="N75" s="247" t="n">
        <f aca="false">5000000/12*5</f>
        <v>2083333.33333333</v>
      </c>
      <c r="O75" s="227"/>
      <c r="P75" s="230" t="n">
        <f aca="false">SUM(D75:N75)</f>
        <v>5000000</v>
      </c>
      <c r="Q75" s="16" t="s">
        <v>177</v>
      </c>
      <c r="R75" s="250" t="s">
        <v>237</v>
      </c>
    </row>
    <row r="76" customFormat="false" ht="12" hidden="false" customHeight="false" outlineLevel="0" collapsed="false">
      <c r="A76" s="226" t="s">
        <v>240</v>
      </c>
      <c r="B76" s="227" t="s">
        <v>241</v>
      </c>
      <c r="C76" s="227"/>
      <c r="D76" s="247" t="n">
        <f aca="false">650000/12*7</f>
        <v>379166.666666667</v>
      </c>
      <c r="E76" s="247"/>
      <c r="F76" s="248"/>
      <c r="G76" s="247"/>
      <c r="H76" s="248"/>
      <c r="I76" s="247"/>
      <c r="J76" s="248"/>
      <c r="K76" s="248"/>
      <c r="L76" s="248"/>
      <c r="M76" s="249"/>
      <c r="N76" s="247" t="n">
        <f aca="false">650000/12*5</f>
        <v>270833.333333333</v>
      </c>
      <c r="O76" s="227"/>
      <c r="P76" s="230" t="n">
        <f aca="false">SUM(D76:N76)</f>
        <v>650000</v>
      </c>
      <c r="Q76" s="16" t="s">
        <v>170</v>
      </c>
      <c r="R76" s="250"/>
    </row>
    <row r="77" customFormat="false" ht="12.75" hidden="false" customHeight="false" outlineLevel="0" collapsed="false">
      <c r="B77" s="251" t="s">
        <v>61</v>
      </c>
      <c r="C77" s="252"/>
      <c r="D77" s="253" t="n">
        <f aca="false">+D6+D8+D9+D10+D11+D17+D18+D66+D67+D68+D69+D70+D72+D74+D75+D76</f>
        <v>9221739.55</v>
      </c>
      <c r="E77" s="252"/>
      <c r="F77" s="252"/>
      <c r="G77" s="252"/>
      <c r="H77" s="252"/>
      <c r="I77" s="252"/>
      <c r="J77" s="252"/>
      <c r="K77" s="252"/>
      <c r="L77" s="252"/>
      <c r="M77" s="252"/>
      <c r="N77" s="253" t="n">
        <f aca="false">+N6+N8+N9+N10+N11+N17+N18+N66+N67+N68+N69+N70+N72+N74+N75+N76</f>
        <v>6672613.80200918</v>
      </c>
      <c r="O77" s="252"/>
      <c r="P77" s="254" t="n">
        <f aca="false">+P6+P8+P9+P10+P11+P17+P18+P66+P67+P68+P69+P70+P72+P74+P75+P76</f>
        <v>15894353.3520092</v>
      </c>
    </row>
    <row r="78" customFormat="false" ht="13.5" hidden="false" customHeight="false" outlineLevel="0" collapsed="false">
      <c r="B78" s="255" t="s">
        <v>62</v>
      </c>
      <c r="C78" s="256"/>
      <c r="D78" s="257" t="n">
        <f aca="false">D13+D14+D15+D16+SUM(D19:D65)+D71</f>
        <v>8725085.86</v>
      </c>
      <c r="E78" s="256"/>
      <c r="F78" s="256"/>
      <c r="G78" s="256"/>
      <c r="H78" s="256"/>
      <c r="I78" s="256"/>
      <c r="J78" s="256"/>
      <c r="K78" s="256"/>
      <c r="L78" s="256"/>
      <c r="M78" s="256"/>
      <c r="N78" s="257" t="n">
        <f aca="false">N13+N14+N15+N16+SUM(N19:N65)+N71</f>
        <v>6480560.78799082</v>
      </c>
      <c r="O78" s="258"/>
      <c r="P78" s="259" t="n">
        <f aca="false">+P7+P12+P13+P14+P15+P16+SUM(P19:P65)+P71</f>
        <v>15205646.6479908</v>
      </c>
    </row>
    <row r="79" customFormat="false" ht="12.75" hidden="false" customHeight="false" outlineLevel="0" collapsed="false">
      <c r="B79" s="0" t="s">
        <v>148</v>
      </c>
      <c r="D79" s="260" t="n">
        <f aca="false">SUM(D77:D78)</f>
        <v>17946825.41</v>
      </c>
      <c r="E79" s="174"/>
      <c r="F79" s="174"/>
      <c r="G79" s="174"/>
      <c r="H79" s="174"/>
      <c r="I79" s="174"/>
      <c r="J79" s="174"/>
      <c r="K79" s="174"/>
      <c r="L79" s="174"/>
      <c r="M79" s="174"/>
      <c r="N79" s="260" t="n">
        <f aca="false">SUM(N77:N78)</f>
        <v>13153174.59</v>
      </c>
      <c r="P79" s="260" t="n">
        <f aca="false">SUM(P77:P78)</f>
        <v>31100000</v>
      </c>
    </row>
    <row r="80" customFormat="false" ht="12.75" hidden="false" customHeight="false" outlineLevel="0" collapsed="false">
      <c r="A80" s="30" t="s">
        <v>242</v>
      </c>
      <c r="C80" s="31"/>
      <c r="E80" s="261"/>
      <c r="F80" s="261"/>
      <c r="H80" s="261"/>
      <c r="J80" s="261"/>
      <c r="M80" s="0" t="s">
        <v>148</v>
      </c>
      <c r="P80" s="29" t="n">
        <f aca="false">+P79-P73-P74-P75-P76</f>
        <v>0</v>
      </c>
    </row>
    <row r="81" customFormat="false" ht="12.75" hidden="false" customHeight="false" outlineLevel="0" collapsed="false">
      <c r="A81" s="32" t="n">
        <f aca="false">D73</f>
        <v>11734325.41</v>
      </c>
      <c r="B81" s="33" t="s">
        <v>60</v>
      </c>
      <c r="C81" s="31"/>
      <c r="D81" s="34"/>
      <c r="E81" s="261"/>
      <c r="F81" s="261"/>
      <c r="H81" s="261"/>
      <c r="J81" s="261"/>
      <c r="N81" s="34"/>
      <c r="P81" s="34"/>
    </row>
    <row r="82" customFormat="false" ht="12.75" hidden="false" customHeight="false" outlineLevel="0" collapsed="false">
      <c r="A82" s="16" t="s">
        <v>243</v>
      </c>
      <c r="C82" s="31"/>
      <c r="D82" s="34"/>
      <c r="E82" s="261"/>
      <c r="F82" s="261"/>
      <c r="H82" s="261"/>
      <c r="J82" s="261"/>
      <c r="N82" s="34"/>
      <c r="P82" s="34"/>
    </row>
    <row r="83" customFormat="false" ht="12.75" hidden="false" customHeight="false" outlineLevel="0" collapsed="false">
      <c r="A83" s="16" t="s">
        <v>244</v>
      </c>
      <c r="B83" s="31"/>
      <c r="C83" s="31"/>
    </row>
    <row r="84" customFormat="false" ht="12.75" hidden="false" customHeight="false" outlineLevel="0" collapsed="false">
      <c r="A84" s="16" t="s">
        <v>245</v>
      </c>
    </row>
    <row r="85" customFormat="false" ht="12.75" hidden="false" customHeight="false" outlineLevel="0" collapsed="false">
      <c r="A85" s="16" t="str">
        <f aca="true">CELL("filename",A1)</f>
        <v>'file:///mnt/12tb/@roms/datasets/enron/EDRM Enron Email Data Set v2 XML/filtered-attachments/xls/2002_Legal_9.20.xls'#$2002 Plan-external legal</v>
      </c>
    </row>
  </sheetData>
  <printOptions headings="false" gridLines="false" gridLinesSet="true" horizontalCentered="true" verticalCentered="false"/>
  <pageMargins left="0.747916666666667" right="0" top="0.984027777777778" bottom="0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&amp;L&amp;7&amp;D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2001-09-08T17:54:35Z</dcterms:created>
  <dc:creator>lguillia</dc:creator>
  <dc:description/>
  <dc:language>en-US</dc:language>
  <cp:lastModifiedBy>mhaedic</cp:lastModifiedBy>
  <cp:lastPrinted>2001-09-20T17:43:54Z</cp:lastPrinted>
  <dcterms:modified xsi:type="dcterms:W3CDTF">2001-09-20T17:44:05Z</dcterms:modified>
  <cp:revision>0</cp:revision>
  <dc:subject/>
  <dc:title/>
</cp:coreProperties>
</file>