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ther" sheetId="1" state="visible" r:id="rId3"/>
    <sheet name="IT &amp; Pooling" sheetId="2" state="visible" r:id="rId4"/>
    <sheet name="CES IT" sheetId="3" state="visible" r:id="rId5"/>
    <sheet name="East Capacity" sheetId="4" state="visible" r:id="rId6"/>
    <sheet name="May Matrix" sheetId="5" state="visible" r:id="rId7"/>
    <sheet name="Rates" sheetId="6" state="visible" r:id="rId8"/>
    <sheet name="Notes" sheetId="7" state="visible" r:id="rId9"/>
    <sheet name="Offseason Rate" sheetId="8" state="visible" r:id="rId10"/>
    <sheet name="Special Rates" sheetId="9" state="visible" r:id="rId11"/>
    <sheet name="Basis" sheetId="10" state="visible" r:id="rId12"/>
  </sheets>
  <definedNames>
    <definedName function="false" hidden="false" localSheetId="9" name="_xlnm.Print_Area" vbProcedure="false">Basis!$A$33:$I$42</definedName>
    <definedName function="false" hidden="false" localSheetId="3" name="_xlnm.Print_Area" vbProcedure="false">'East Capacity'!$12:$29</definedName>
    <definedName function="false" hidden="false" localSheetId="4" name="_xlnm.Print_Area" vbProcedure="false">'May Matrix'!$A$3:$L$74</definedName>
    <definedName function="false" hidden="false" localSheetId="5" name="_xlnm.Print_Area" vbProcedure="false">Rates!$S$1:$X$72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Backhaul from Z6 to 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126</xdr:row>
                <xdr:rowOff>7</xdr:rowOff>
              </xdr:from>
              <xdr:to>
                <xdr:col>7</xdr:col>
                <xdr:colOff>43</xdr:colOff>
                <xdr:row>132</xdr:row>
                <xdr:rowOff>5</xdr:rowOff>
              </xdr:to>
            </anchor>
          </commentPr>
        </mc:Choice>
        <mc:Fallback/>
      </mc:AlternateContent>
    </comment>
    <comment ref="B133" authorId="0">
      <text>
        <r>
          <rPr>
            <b val="true"/>
            <sz val="8"/>
            <color rgb="FF000000"/>
            <rFont val="Tahoma"/>
            <family val="0"/>
          </rPr>
          <t xml:space="preserve">cgerman</t>
        </r>
        <r>
          <rPr>
            <sz val="8"/>
            <color rgb="FF000000"/>
            <rFont val="Tahoma"/>
            <family val="0"/>
          </rPr>
          <t xml:space="preserve">l 
Forward haul Z6-Z6, Backhaul Z6-Z4, forward haul in Z4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12</xdr:colOff>
                <xdr:row>128</xdr:row>
                <xdr:rowOff>16</xdr:rowOff>
              </xdr:from>
              <xdr:to>
                <xdr:col>7</xdr:col>
                <xdr:colOff>39</xdr:colOff>
                <xdr:row>134</xdr:row>
                <xdr:rowOff>14</xdr:rowOff>
              </xdr:to>
            </anchor>
          </commentPr>
        </mc:Choice>
        <mc:Fallback/>
      </mc:AlternateContent>
    </comment>
    <comment ref="E8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Emporia Zone 5, Meter 941
Fuel includes forward hauls in Zone 5 &amp; Zone 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81</xdr:row>
                <xdr:rowOff>7</xdr:rowOff>
              </xdr:from>
              <xdr:to>
                <xdr:col>12</xdr:col>
                <xdr:colOff>25</xdr:colOff>
                <xdr:row>87</xdr:row>
                <xdr:rowOff>16</xdr:rowOff>
              </xdr:to>
            </anchor>
          </commentPr>
        </mc:Choice>
        <mc:Fallback/>
      </mc:AlternateContent>
    </comment>
    <comment ref="E8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86</xdr:row>
                <xdr:rowOff>7</xdr:rowOff>
              </xdr:from>
              <xdr:to>
                <xdr:col>12</xdr:col>
                <xdr:colOff>25</xdr:colOff>
                <xdr:row>92</xdr:row>
                <xdr:rowOff>17</xdr:rowOff>
              </xdr:to>
            </anchor>
          </commentPr>
        </mc:Choice>
        <mc:Fallback/>
      </mc:AlternateContent>
    </comment>
    <comment ref="E9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Leidy meter 6161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91</xdr:row>
                <xdr:rowOff>7</xdr:rowOff>
              </xdr:from>
              <xdr:to>
                <xdr:col>12</xdr:col>
                <xdr:colOff>25</xdr:colOff>
                <xdr:row>97</xdr:row>
                <xdr:rowOff>17</xdr:rowOff>
              </xdr:to>
            </anchor>
          </commentPr>
        </mc:Choice>
        <mc:Fallback/>
      </mc:AlternateContent>
    </comment>
    <comment ref="E9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FT St 210 meter 9170 to Doyle meter 3162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96</xdr:row>
                <xdr:rowOff>7</xdr:rowOff>
              </xdr:from>
              <xdr:to>
                <xdr:col>12</xdr:col>
                <xdr:colOff>25</xdr:colOff>
                <xdr:row>102</xdr:row>
                <xdr:rowOff>17</xdr:rowOff>
              </xdr:to>
            </anchor>
          </commentPr>
        </mc:Choice>
        <mc:Fallback/>
      </mc:AlternateContent>
    </comment>
    <comment ref="Q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GSR Volumetric Surcharge:
$0.0004 per dth to zn 1,2,&amp;3
$0.0002 per dth to production area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10</xdr:row>
                <xdr:rowOff>7</xdr:rowOff>
              </xdr:from>
              <xdr:to>
                <xdr:col>19</xdr:col>
                <xdr:colOff>50</xdr:colOff>
                <xdr:row>14</xdr:row>
                <xdr:rowOff>13</xdr:rowOff>
              </xdr:to>
            </anchor>
          </commentPr>
        </mc:Choice>
        <mc:Fallback/>
      </mc:AlternateContent>
    </comment>
    <comment ref="R12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Storage Cost Reconciliation Mechanism:
$0.004 per Dth transported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10</xdr:row>
                <xdr:rowOff>7</xdr:rowOff>
              </xdr:from>
              <xdr:to>
                <xdr:col>19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<sst xmlns="http://schemas.openxmlformats.org/spreadsheetml/2006/main" count="3186" uniqueCount="790">
  <si>
    <t xml:space="preserve">St 65</t>
  </si>
  <si>
    <t xml:space="preserve">St 85</t>
  </si>
  <si>
    <t xml:space="preserve">Transco</t>
  </si>
  <si>
    <t xml:space="preserve">(3-4) FT</t>
  </si>
  <si>
    <t xml:space="preserve">(3-5)</t>
  </si>
  <si>
    <t xml:space="preserve">(4-4) it</t>
  </si>
  <si>
    <t xml:space="preserve">comm</t>
  </si>
  <si>
    <t xml:space="preserve">s/c</t>
  </si>
  <si>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</si>
  <si>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</si>
  <si>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</si>
  <si>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</si>
  <si>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</si>
  <si>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</si>
  <si>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</si>
  <si>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</si>
  <si>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</si>
  <si>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</si>
  <si>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</si>
  <si>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</si>
  <si>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</si>
  <si>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</si>
  <si>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</si>
  <si>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</si>
  <si>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</si>
  <si>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</si>
  <si>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</si>
  <si>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</si>
  <si>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</si>
  <si>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</si>
  <si>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</si>
  <si>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</si>
  <si>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Chandeleur</t>
  </si>
  <si>
    <t xml:space="preserve">CI-30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</si>
  <si>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</si>
  <si>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</si>
  <si>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</si>
  <si>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</si>
  <si>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</si>
  <si>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</si>
  <si>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</si>
  <si>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</si>
  <si>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</si>
  <si>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</si>
  <si>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</si>
  <si>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</si>
  <si>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</si>
  <si>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</si>
  <si>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</si>
  <si>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</si>
  <si>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</si>
  <si>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</si>
  <si>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</si>
  <si>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</si>
  <si>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</si>
  <si>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</si>
  <si>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</si>
  <si>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</si>
  <si>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</si>
  <si>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</si>
  <si>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</si>
  <si>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</si>
  <si>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8T001N</t>
  </si>
  <si>
    <t xml:space="preserve">8T001S</t>
  </si>
  <si>
    <t xml:space="preserve">8G001N</t>
  </si>
  <si>
    <t xml:space="preserve">8G001S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</si>
  <si>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</si>
  <si>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</si>
  <si>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</si>
  <si>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</si>
  <si>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</si>
  <si>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</si>
  <si>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H02262</t>
  </si>
  <si>
    <t xml:space="preserve">ISS</t>
  </si>
  <si>
    <t xml:space="preserve">Use when parking gas first then withdrawing.</t>
  </si>
  <si>
    <t xml:space="preserve">A02353</t>
  </si>
  <si>
    <t xml:space="preserve"> 312309 / 362289</t>
  </si>
  <si>
    <t xml:space="preserve">IAS</t>
  </si>
  <si>
    <t xml:space="preserve">Use when borrowing gas then paying back.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</si>
  <si>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</si>
  <si>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</si>
  <si>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</si>
  <si>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</si>
  <si>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</si>
  <si>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</si>
  <si>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</si>
  <si>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</si>
  <si>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</si>
  <si>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</si>
  <si>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</si>
  <si>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</si>
  <si>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</si>
  <si>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all</t>
  </si>
  <si>
    <t xml:space="preserve">1.1501</t>
  </si>
  <si>
    <t xml:space="preserve">CES IT Contract</t>
  </si>
  <si>
    <t xml:space="preserve">Egan Storage</t>
  </si>
  <si>
    <t xml:space="preserve">ENA-00001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</si>
  <si>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</si>
  <si>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</si>
  <si>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</si>
  <si>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</si>
  <si>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</si>
  <si>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</si>
  <si>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</si>
  <si>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</si>
  <si>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</si>
  <si>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</si>
  <si>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</si>
  <si>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</si>
  <si>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</si>
  <si>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</si>
  <si>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</si>
  <si>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</si>
  <si>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</si>
  <si>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</si>
  <si>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</si>
  <si>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</si>
  <si>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</si>
  <si>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</si>
  <si>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</si>
  <si>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</si>
  <si>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</si>
  <si>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</si>
  <si>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</si>
  <si>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</si>
  <si>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</si>
  <si>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</si>
  <si>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</si>
  <si>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</si>
  <si>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</si>
  <si>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</si>
  <si>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</si>
  <si>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</si>
  <si>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</si>
  <si>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</si>
  <si>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</si>
  <si>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</si>
  <si>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</si>
  <si>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</si>
  <si>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</si>
  <si>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</si>
  <si>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</si>
  <si>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</si>
  <si>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</si>
  <si>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</si>
  <si>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East Desk Transportation Capacity for May , 2001</t>
  </si>
  <si>
    <t xml:space="preserve">Month</t>
  </si>
  <si>
    <t xml:space="preserve">New K#</t>
  </si>
  <si>
    <t xml:space="preserve">New Sitara</t>
  </si>
  <si>
    <t xml:space="preserve">Book</t>
  </si>
  <si>
    <t xml:space="preserve">ENA</t>
  </si>
  <si>
    <t xml:space="preserve">Onshore</t>
  </si>
  <si>
    <t xml:space="preserve">Mainline</t>
  </si>
  <si>
    <t xml:space="preserve">n</t>
  </si>
  <si>
    <t xml:space="preserve">Term=yr to yr, evergreen with 6 month termination notice.  ENA acquired this from Access Energy in 1993</t>
  </si>
  <si>
    <t xml:space="preserve">TP1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</si>
  <si>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</si>
  <si>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</si>
  <si>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</si>
  <si>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</si>
  <si>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</t>
  </si>
  <si>
    <t xml:space="preserve">8,285 - Mobil Lowry, 8,774 - Erath, 3,200 - Henry, 5,395 - Venice</t>
  </si>
  <si>
    <t xml:space="preserve">#25471, Onshore capacity - 5,395 venice capacity.</t>
  </si>
  <si>
    <t xml:space="preserve">Onshore - authorized overrun</t>
  </si>
  <si>
    <t xml:space="preserve">FGT, Trco, &amp; Lig</t>
  </si>
  <si>
    <t xml:space="preserve">Tiered- FGT-.02/LIG .015/Tran .01</t>
  </si>
  <si>
    <t xml:space="preserve">Brazos 105</t>
  </si>
  <si>
    <t xml:space="preserve">Trco St 30</t>
  </si>
  <si>
    <t xml:space="preserve">Central Texas</t>
  </si>
  <si>
    <t xml:space="preserve">Leach</t>
  </si>
  <si>
    <t xml:space="preserve">ENA acquired this from Access Energy in 1993</t>
  </si>
  <si>
    <t xml:space="preserve">Mainline capacity</t>
  </si>
  <si>
    <t xml:space="preserve">#24770, Mainline capacity</t>
  </si>
  <si>
    <t xml:space="preserve">Belfry</t>
  </si>
  <si>
    <t xml:space="preserve">#29788, Belfry</t>
  </si>
  <si>
    <t xml:space="preserve">Total Demand</t>
  </si>
  <si>
    <t xml:space="preserve">Reimbursements</t>
  </si>
  <si>
    <t xml:space="preserve">Net Demand</t>
  </si>
  <si>
    <t xml:space="preserve">801 - Leach</t>
  </si>
  <si>
    <t xml:space="preserve">4 BG&amp;E</t>
  </si>
  <si>
    <t xml:space="preserve">FTS</t>
  </si>
  <si>
    <t xml:space="preserve">ENA </t>
  </si>
  <si>
    <t xml:space="preserve">TCO</t>
  </si>
  <si>
    <t xml:space="preserve">Buy </t>
  </si>
  <si>
    <t xml:space="preserve">801 Leach</t>
  </si>
  <si>
    <t xml:space="preserve">23n-2</t>
  </si>
  <si>
    <t xml:space="preserve">Cap Auction</t>
  </si>
  <si>
    <t xml:space="preserve">19E</t>
  </si>
  <si>
    <t xml:space="preserve">CNR</t>
  </si>
  <si>
    <t xml:space="preserve">cnr02</t>
  </si>
  <si>
    <t xml:space="preserve">23-5</t>
  </si>
  <si>
    <t xml:space="preserve">A-To Pull Nelson's CNR Buy</t>
  </si>
  <si>
    <t xml:space="preserve">B-To Pull Nelson's CNR Buy</t>
  </si>
  <si>
    <t xml:space="preserve">C-To Pull Nelson's CNR Buy</t>
  </si>
  <si>
    <t xml:space="preserve">Agency</t>
  </si>
  <si>
    <t xml:space="preserve">CALP</t>
  </si>
  <si>
    <t xml:space="preserve">Broad run</t>
  </si>
  <si>
    <t xml:space="preserve">Reimbursements/CES</t>
  </si>
  <si>
    <t xml:space="preserve">Agency/St of FGT</t>
  </si>
  <si>
    <t xml:space="preserve">FGT</t>
  </si>
  <si>
    <t xml:space="preserve">???</t>
  </si>
  <si>
    <t xml:space="preserve">Gulf4</t>
  </si>
  <si>
    <t xml:space="preserve">Buy  </t>
  </si>
  <si>
    <t xml:space="preserve">Est demand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</si>
  <si>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</si>
  <si>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</si>
  <si>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</si>
  <si>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</si>
  <si>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Seasonal MDQ, Nov-Mar 85,000 dth, April 42,500 dth, May-Sep 29,750 dth, Oct 42,500 dth</t>
  </si>
  <si>
    <t xml:space="preserve">145753 / 233132</t>
  </si>
  <si>
    <t xml:space="preserve">Ormet</t>
  </si>
  <si>
    <t xml:space="preserve">Reimbursement captured on sales ticket 548711</t>
  </si>
  <si>
    <t xml:space="preserve">Type</t>
  </si>
  <si>
    <t xml:space="preserve">buy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</si>
  <si>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</si>
  <si>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</si>
  <si>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</si>
  <si>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</si>
  <si>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</si>
  <si>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</si>
  <si>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</si>
  <si>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</si>
  <si>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Tp1</t>
  </si>
  <si>
    <t xml:space="preserve">Act demand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</si>
  <si>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</si>
  <si>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</si>
  <si>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</si>
  <si>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</si>
  <si>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</si>
  <si>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</si>
  <si>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TP3</t>
  </si>
  <si>
    <t xml:space="preserve">B00693-033141</t>
  </si>
  <si>
    <t xml:space="preserve">Demand charge billed on receipt volume</t>
  </si>
  <si>
    <t xml:space="preserve">Sea Robin</t>
  </si>
  <si>
    <t xml:space="preserve">FSRP3</t>
  </si>
  <si>
    <t xml:space="preserve">Gulf2</t>
  </si>
  <si>
    <t xml:space="preserve">Sonat</t>
  </si>
  <si>
    <t xml:space="preserve">EES</t>
  </si>
  <si>
    <t xml:space="preserve">Prod</t>
  </si>
  <si>
    <t xml:space="preserve">Z3</t>
  </si>
  <si>
    <t xml:space="preserve">FSNG101</t>
  </si>
  <si>
    <t xml:space="preserve">Stingray</t>
  </si>
  <si>
    <t xml:space="preserve">6/31/01</t>
  </si>
  <si>
    <t xml:space="preserve">640975/637893/637892/637891</t>
  </si>
  <si>
    <t xml:space="preserve">Gulf3</t>
  </si>
  <si>
    <t xml:space="preserve">tennessee</t>
  </si>
  <si>
    <t xml:space="preserve">Reliant - Entex</t>
  </si>
  <si>
    <t xml:space="preserve">zone 1</t>
  </si>
  <si>
    <t xml:space="preserve">reimbursed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</si>
  <si>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</si>
  <si>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</si>
  <si>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</si>
  <si>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</si>
  <si>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</si>
  <si>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Cap Rel</t>
  </si>
  <si>
    <t xml:space="preserve">CDC</t>
  </si>
  <si>
    <t xml:space="preserve">Zone 1</t>
  </si>
  <si>
    <t xml:space="preserve">Zone 3</t>
  </si>
  <si>
    <t xml:space="preserve">Purchase</t>
  </si>
  <si>
    <t xml:space="preserve">TGP</t>
  </si>
  <si>
    <t xml:space="preserve">Zone 0</t>
  </si>
  <si>
    <t xml:space="preserve">705565/705791/705917</t>
  </si>
  <si>
    <t xml:space="preserve">Storage</t>
  </si>
  <si>
    <t xml:space="preserve">y</t>
  </si>
  <si>
    <t xml:space="preserve">707486/709458</t>
  </si>
  <si>
    <t xml:space="preserve">  </t>
  </si>
  <si>
    <t xml:space="preserve">Z5 - Wright</t>
  </si>
  <si>
    <t xml:space="preserve">Z6 - Various</t>
  </si>
  <si>
    <t xml:space="preserve">13.36, see deal 224102</t>
  </si>
  <si>
    <t xml:space="preserve">93036/229817</t>
  </si>
  <si>
    <t xml:space="preserve">Energynorth</t>
  </si>
  <si>
    <t xml:space="preserve">Fuel Waiver</t>
  </si>
  <si>
    <t xml:space="preserve">#12479 - Cook School</t>
  </si>
  <si>
    <t xml:space="preserve">Z4 Cambridge #020064, and Dungannon #020060</t>
  </si>
  <si>
    <t xml:space="preserve">Fuel discounted to .5%</t>
  </si>
  <si>
    <t xml:space="preserve">Tetco</t>
  </si>
  <si>
    <t xml:space="preserve">tetco</t>
  </si>
  <si>
    <t xml:space="preserve">Stx</t>
  </si>
  <si>
    <t xml:space="preserve">m3</t>
  </si>
  <si>
    <t xml:space="preserve">TP2</t>
  </si>
  <si>
    <t xml:space="preserve">ela</t>
  </si>
  <si>
    <t xml:space="preserve">stx</t>
  </si>
  <si>
    <t xml:space="preserve">Disc</t>
  </si>
  <si>
    <t xml:space="preserve">access</t>
  </si>
  <si>
    <t xml:space="preserve">M2</t>
  </si>
  <si>
    <t xml:space="preserve">Discounted IT commocity to $.1122</t>
  </si>
  <si>
    <t xml:space="preserve">Texas Gas</t>
  </si>
  <si>
    <t xml:space="preserve">IGS</t>
  </si>
  <si>
    <t xml:space="preserve">8107  Evangeline</t>
  </si>
  <si>
    <t xml:space="preserve">8046  mamou</t>
  </si>
  <si>
    <t xml:space="preserve">Y</t>
  </si>
  <si>
    <t xml:space="preserve">T0174180000</t>
  </si>
  <si>
    <t xml:space="preserve">#200103000030</t>
  </si>
  <si>
    <t xml:space="preserve">700422/702561/703030</t>
  </si>
  <si>
    <t xml:space="preserve">T0174190000</t>
  </si>
  <si>
    <t xml:space="preserve">#200103000043</t>
  </si>
  <si>
    <t xml:space="preserve">700431/702580/703033</t>
  </si>
  <si>
    <t xml:space="preserve">fuel $</t>
  </si>
  <si>
    <t xml:space="preserve">Trco</t>
  </si>
  <si>
    <t xml:space="preserve">Utos</t>
  </si>
  <si>
    <t xml:space="preserve">#23287</t>
  </si>
  <si>
    <t xml:space="preserve">#23495</t>
  </si>
  <si>
    <t xml:space="preserve">Z1</t>
  </si>
  <si>
    <t xml:space="preserve">Z6 NY - #6386</t>
  </si>
  <si>
    <t xml:space="preserve">#23419</t>
  </si>
  <si>
    <t xml:space="preserve">Transco FT Commodity</t>
  </si>
  <si>
    <t xml:space="preserve">CGAS FT</t>
  </si>
  <si>
    <t xml:space="preserve">4A</t>
  </si>
  <si>
    <t xml:space="preserve">CGAS Fuel</t>
  </si>
  <si>
    <t xml:space="preserve">CNG FT</t>
  </si>
  <si>
    <t xml:space="preserve">CNG Fuel</t>
  </si>
  <si>
    <t xml:space="preserve">Tenn Net 284</t>
  </si>
  <si>
    <t xml:space="preserve">INCLUDES GRI ($0.0070) and Great Plains Surcharge ($0.0097)</t>
  </si>
  <si>
    <t xml:space="preserve">Iroq -GRI</t>
  </si>
  <si>
    <t xml:space="preserve">   TETCO </t>
  </si>
  <si>
    <t xml:space="preserve">to:  St. 65</t>
  </si>
  <si>
    <t xml:space="preserve">STX</t>
  </si>
  <si>
    <t xml:space="preserve">WLA</t>
  </si>
  <si>
    <t xml:space="preserve">ELA</t>
  </si>
  <si>
    <t xml:space="preserve">Tenn +GRI</t>
  </si>
  <si>
    <t xml:space="preserve">Zn 3 - 65</t>
  </si>
  <si>
    <t xml:space="preserve">    "ELA Rate Assumes $0.0622 'IT'"</t>
  </si>
  <si>
    <t xml:space="preserve">Total</t>
  </si>
  <si>
    <t xml:space="preserve">Ela</t>
  </si>
  <si>
    <t xml:space="preserve">TRCO IT Rates</t>
  </si>
  <si>
    <t xml:space="preserve">Note:  2-2, 2-3, and 3-3 rates do not include surcharges.</t>
  </si>
  <si>
    <t xml:space="preserve">Tenn FT Commodity</t>
  </si>
  <si>
    <t xml:space="preserve">Toca/Patt</t>
  </si>
  <si>
    <t xml:space="preserve">Wla</t>
  </si>
  <si>
    <t xml:space="preserve">Kinder</t>
  </si>
  <si>
    <t xml:space="preserve">Hiedelburg</t>
  </si>
  <si>
    <t xml:space="preserve">Chicago</t>
  </si>
  <si>
    <t xml:space="preserve">Carnes</t>
  </si>
  <si>
    <t xml:space="preserve">Rosehill</t>
  </si>
  <si>
    <t xml:space="preserve">Pugh</t>
  </si>
  <si>
    <t xml:space="preserve">Varibus</t>
  </si>
  <si>
    <t xml:space="preserve">Zone 2 </t>
  </si>
  <si>
    <t xml:space="preserve">Zone 4</t>
  </si>
  <si>
    <t xml:space="preserve">Zone 5</t>
  </si>
  <si>
    <t xml:space="preserve">Zone 6</t>
  </si>
  <si>
    <t xml:space="preserve">0</t>
  </si>
  <si>
    <t xml:space="preserve">L</t>
  </si>
  <si>
    <t xml:space="preserve">MGT Rate </t>
  </si>
  <si>
    <t xml:space="preserve">Z2-Z6 include GRI of $0.0075</t>
  </si>
  <si>
    <t xml:space="preserve">Fuel</t>
  </si>
  <si>
    <t xml:space="preserve">Z0-Niagara difference:</t>
  </si>
  <si>
    <t xml:space="preserve">Z1-Niagara difference:</t>
  </si>
  <si>
    <t xml:space="preserve">TETCO FT Commodity using April - November Fuels</t>
  </si>
  <si>
    <t xml:space="preserve">LRC</t>
  </si>
  <si>
    <t xml:space="preserve">Ragley</t>
  </si>
  <si>
    <t xml:space="preserve">M-1</t>
  </si>
  <si>
    <t xml:space="preserve">M-2</t>
  </si>
  <si>
    <t xml:space="preserve">M-3</t>
  </si>
  <si>
    <t xml:space="preserve">It to M2</t>
  </si>
  <si>
    <t xml:space="preserve">It to M3</t>
  </si>
  <si>
    <t xml:space="preserve">ETX</t>
  </si>
  <si>
    <t xml:space="preserve">M1</t>
  </si>
  <si>
    <t xml:space="preserve">M3</t>
  </si>
  <si>
    <t xml:space="preserve">             Texas Gas FT Commodity</t>
  </si>
  <si>
    <t xml:space="preserve">0-0</t>
  </si>
  <si>
    <t xml:space="preserve">0-1</t>
  </si>
  <si>
    <t xml:space="preserve">0-2</t>
  </si>
  <si>
    <t xml:space="preserve">0-3</t>
  </si>
  <si>
    <t xml:space="preserve">SL-Inter</t>
  </si>
  <si>
    <t xml:space="preserve">SL-Intra</t>
  </si>
  <si>
    <t xml:space="preserve">1</t>
  </si>
  <si>
    <t xml:space="preserve">4</t>
  </si>
  <si>
    <t xml:space="preserve">SL</t>
  </si>
  <si>
    <t xml:space="preserve">Gulf Onshore IT-Mainline FT</t>
  </si>
  <si>
    <t xml:space="preserve">           Algonquin</t>
  </si>
  <si>
    <t xml:space="preserve">NFG</t>
  </si>
  <si>
    <t xml:space="preserve">Niagara Zone 3</t>
  </si>
  <si>
    <t xml:space="preserve">Off</t>
  </si>
  <si>
    <t xml:space="preserve">On</t>
  </si>
  <si>
    <t xml:space="preserve">    Commodity and Fuel</t>
  </si>
  <si>
    <t xml:space="preserve">AFT-1</t>
  </si>
  <si>
    <t xml:space="preserve">FEBRUARY, 2001</t>
  </si>
  <si>
    <t xml:space="preserve">ML</t>
  </si>
  <si>
    <t xml:space="preserve">TENNESSEE GAS PIPELINE: SPECIAL TRANS. RATES</t>
  </si>
  <si>
    <t xml:space="preserve">Offshore and Onshore are IT rates</t>
  </si>
  <si>
    <t xml:space="preserve">Transport expense using Prices shown below</t>
  </si>
  <si>
    <t xml:space="preserve">Trco Z1</t>
  </si>
  <si>
    <t xml:space="preserve">CGLF On</t>
  </si>
  <si>
    <t xml:space="preserve">Trco Z2</t>
  </si>
  <si>
    <t xml:space="preserve">M/L</t>
  </si>
  <si>
    <t xml:space="preserve">         Florida Gas Transmission</t>
  </si>
  <si>
    <t xml:space="preserve">Trco Z3</t>
  </si>
  <si>
    <t xml:space="preserve">TGT Sl</t>
  </si>
  <si>
    <t xml:space="preserve">FTS1</t>
  </si>
  <si>
    <t xml:space="preserve">FTS2</t>
  </si>
  <si>
    <t xml:space="preserve">ITS</t>
  </si>
  <si>
    <t xml:space="preserve">Trco Z4</t>
  </si>
  <si>
    <t xml:space="preserve">Tenn 800</t>
  </si>
  <si>
    <t xml:space="preserve">Any Zone-Market (z2 $)</t>
  </si>
  <si>
    <t xml:space="preserve">Trco Z6</t>
  </si>
  <si>
    <t xml:space="preserve">TGP/NFG Niagara</t>
  </si>
  <si>
    <t xml:space="preserve">Any Zone-Market (z3 $)</t>
  </si>
  <si>
    <t xml:space="preserve">CNG SP</t>
  </si>
  <si>
    <t xml:space="preserve">Commodity</t>
  </si>
  <si>
    <t xml:space="preserve">Henry Hub</t>
  </si>
  <si>
    <t xml:space="preserve">Gas Daily </t>
  </si>
  <si>
    <t xml:space="preserve">-.30</t>
  </si>
  <si>
    <t xml:space="preserve">formulas</t>
  </si>
  <si>
    <t xml:space="preserve">Formula</t>
  </si>
  <si>
    <t xml:space="preserve">IROQ</t>
  </si>
  <si>
    <t xml:space="preserve">st 85</t>
  </si>
  <si>
    <t xml:space="preserve">zn 0</t>
  </si>
  <si>
    <t xml:space="preserve">Sonat La</t>
  </si>
  <si>
    <t xml:space="preserve">On Price</t>
  </si>
  <si>
    <t xml:space="preserve">Dominion SP</t>
  </si>
  <si>
    <t xml:space="preserve">TGT SL</t>
  </si>
  <si>
    <t xml:space="preserve">Wadd</t>
  </si>
  <si>
    <t xml:space="preserve">Florida Z2</t>
  </si>
  <si>
    <t xml:space="preserve">Florida Z3</t>
  </si>
  <si>
    <t xml:space="preserve">st 65</t>
  </si>
  <si>
    <t xml:space="preserve">zn 1 800</t>
  </si>
  <si>
    <t xml:space="preserve">wla</t>
  </si>
  <si>
    <t xml:space="preserve">m/l ITS2</t>
  </si>
  <si>
    <t xml:space="preserve">Winter</t>
  </si>
  <si>
    <t xml:space="preserve">Summer</t>
  </si>
  <si>
    <t xml:space="preserve">st 45</t>
  </si>
  <si>
    <t xml:space="preserve">Leach FT1</t>
  </si>
  <si>
    <t xml:space="preserve">st 30</t>
  </si>
  <si>
    <t xml:space="preserve">m1</t>
  </si>
  <si>
    <t xml:space="preserve">Ft/It combo</t>
  </si>
  <si>
    <t xml:space="preserve">Z6 NY</t>
  </si>
  <si>
    <t xml:space="preserve">Rates No 37.02</t>
  </si>
  <si>
    <t xml:space="preserve">Rates No 42</t>
  </si>
  <si>
    <t xml:space="preserve">Summer Fuel Apr-Oct</t>
  </si>
  <si>
    <t xml:space="preserve">Summer Fuel Apr-Nov</t>
  </si>
  <si>
    <t xml:space="preserve">Rates 18 &amp; 19</t>
  </si>
  <si>
    <t xml:space="preserve">Rates 25 &amp; 28</t>
  </si>
  <si>
    <t xml:space="preserve">Rates 32</t>
  </si>
  <si>
    <t xml:space="preserve">Summer Fuel</t>
  </si>
  <si>
    <t xml:space="preserve">Rates No 4</t>
  </si>
  <si>
    <t xml:space="preserve">Rates No 8</t>
  </si>
  <si>
    <t xml:space="preserve">Fuel No 44</t>
  </si>
  <si>
    <t xml:space="preserve">Rates No 23A &amp; 22</t>
  </si>
  <si>
    <t xml:space="preserve">Rates No  26 &amp; 31</t>
  </si>
  <si>
    <t xml:space="preserve">Rates No  42</t>
  </si>
  <si>
    <t xml:space="preserve">Rates No 14</t>
  </si>
  <si>
    <t xml:space="preserve">PENDING NEW FUELS</t>
  </si>
  <si>
    <t xml:space="preserve">Fuel 44</t>
  </si>
  <si>
    <t xml:space="preserve">Apr 1 - Oct 31</t>
  </si>
  <si>
    <t xml:space="preserve">Fuel changes each month</t>
  </si>
  <si>
    <t xml:space="preserve">Fuel No.8,</t>
  </si>
  <si>
    <t xml:space="preserve">Rates eff 4/1/2001</t>
  </si>
  <si>
    <t xml:space="preserve">Fuel No 29</t>
  </si>
  <si>
    <t xml:space="preserve">Fuel No 127,128, &amp; 129</t>
  </si>
  <si>
    <t xml:space="preserve">Fuel No 15</t>
  </si>
  <si>
    <t xml:space="preserve">EFFECTIVE 4/1/01</t>
  </si>
  <si>
    <t xml:space="preserve">PENDING Rates &amp; Fuel</t>
  </si>
  <si>
    <t xml:space="preserve">Updated 12/1/200</t>
  </si>
  <si>
    <t xml:space="preserve">Rates 21</t>
  </si>
  <si>
    <t xml:space="preserve">Rates 11A</t>
  </si>
  <si>
    <t xml:space="preserve">Rates update 1/1/2000</t>
  </si>
  <si>
    <t xml:space="preserve">Rates update 5/1/2000</t>
  </si>
  <si>
    <t xml:space="preserve">Rates Eff 7/1/00</t>
  </si>
  <si>
    <t xml:space="preserve">Updtd Rates 2/1/2001</t>
  </si>
  <si>
    <t xml:space="preserve">Updtd Rates 3/1/00</t>
  </si>
  <si>
    <t xml:space="preserve">Updtd Rates 3/14/01 sg</t>
  </si>
  <si>
    <t xml:space="preserve">Eff 4/1/01</t>
  </si>
  <si>
    <t xml:space="preserve">Fuel No 40</t>
  </si>
  <si>
    <t xml:space="preserve">Fuel 14</t>
  </si>
  <si>
    <t xml:space="preserve">All Fuel is 0.02%</t>
  </si>
  <si>
    <t xml:space="preserve">CDS and FT-1</t>
  </si>
  <si>
    <t xml:space="preserve">Need to check GSR &amp; SCRM</t>
  </si>
  <si>
    <t xml:space="preserve">Rates eff 1/1/2001</t>
  </si>
  <si>
    <t xml:space="preserve">Price</t>
  </si>
  <si>
    <t xml:space="preserve">(1-1)</t>
  </si>
  <si>
    <t xml:space="preserve">(1-1) it</t>
  </si>
  <si>
    <t xml:space="preserve">Tenn</t>
  </si>
  <si>
    <t xml:space="preserve">(0-0) FT</t>
  </si>
  <si>
    <t xml:space="preserve">TETCO</t>
  </si>
  <si>
    <t xml:space="preserve">(stx-stx)</t>
  </si>
  <si>
    <t xml:space="preserve">TETCO IT</t>
  </si>
  <si>
    <t xml:space="preserve">(0-0)FT</t>
  </si>
  <si>
    <t xml:space="preserve">Gulf</t>
  </si>
  <si>
    <t xml:space="preserve">(off-off)fts2</t>
  </si>
  <si>
    <t xml:space="preserve">(fts)</t>
  </si>
  <si>
    <t xml:space="preserve">ft</t>
  </si>
  <si>
    <t xml:space="preserve">Algo</t>
  </si>
  <si>
    <t xml:space="preserve">TGT</t>
  </si>
  <si>
    <t xml:space="preserve">FT SL-SL</t>
  </si>
  <si>
    <t xml:space="preserve">FT 1-1</t>
  </si>
  <si>
    <t xml:space="preserve">NFGS</t>
  </si>
  <si>
    <t xml:space="preserve">FT-Niag to Leidy</t>
  </si>
  <si>
    <t xml:space="preserve">Generic</t>
  </si>
  <si>
    <t xml:space="preserve">Florida Z2-FTS1</t>
  </si>
  <si>
    <t xml:space="preserve">Comm</t>
  </si>
  <si>
    <t xml:space="preserve">FT commodity</t>
  </si>
  <si>
    <t xml:space="preserve">ACA</t>
  </si>
  <si>
    <t xml:space="preserve">fuel(1.50)</t>
  </si>
  <si>
    <t xml:space="preserve">fuel(.552)</t>
  </si>
  <si>
    <t xml:space="preserve">fuel(2.00)</t>
  </si>
  <si>
    <t xml:space="preserve">GRI</t>
  </si>
  <si>
    <t xml:space="preserve">fuel (2.4%)</t>
  </si>
  <si>
    <t xml:space="preserve">Fuel %</t>
  </si>
  <si>
    <t xml:space="preserve">(1-2)</t>
  </si>
  <si>
    <t xml:space="preserve">(1-2) it</t>
  </si>
  <si>
    <t xml:space="preserve">(0-1) FT</t>
  </si>
  <si>
    <t xml:space="preserve">(stx-wla)</t>
  </si>
  <si>
    <t xml:space="preserve">(0-1)FT</t>
  </si>
  <si>
    <t xml:space="preserve">(on-on)fts2</t>
  </si>
  <si>
    <t xml:space="preserve">(summer)it</t>
  </si>
  <si>
    <t xml:space="preserve">it</t>
  </si>
  <si>
    <t xml:space="preserve">Fuel $</t>
  </si>
  <si>
    <t xml:space="preserve">AFT-13</t>
  </si>
  <si>
    <t xml:space="preserve">FR SL-4</t>
  </si>
  <si>
    <t xml:space="preserve">FT 1-2</t>
  </si>
  <si>
    <t xml:space="preserve">Zn 1</t>
  </si>
  <si>
    <t xml:space="preserve">Variable</t>
  </si>
  <si>
    <t xml:space="preserve">Florida Z3 -FTS1</t>
  </si>
  <si>
    <t xml:space="preserve">Delivered</t>
  </si>
  <si>
    <t xml:space="preserve">FTcommodity</t>
  </si>
  <si>
    <t xml:space="preserve">fuel(.697)</t>
  </si>
  <si>
    <t xml:space="preserve">(1-3)</t>
  </si>
  <si>
    <t xml:space="preserve">(1-3)IT</t>
  </si>
  <si>
    <t xml:space="preserve">(0-2) FT</t>
  </si>
  <si>
    <t xml:space="preserve">(stx-ela)</t>
  </si>
  <si>
    <t xml:space="preserve">(0-2)FT</t>
  </si>
  <si>
    <t xml:space="preserve">(ml-ml)fts1</t>
  </si>
  <si>
    <t xml:space="preserve">(winter)it</t>
  </si>
  <si>
    <t xml:space="preserve">Disc It</t>
  </si>
  <si>
    <t xml:space="preserve">Winter Fuel</t>
  </si>
  <si>
    <t xml:space="preserve">FT 1-4</t>
  </si>
  <si>
    <t xml:space="preserve">IT 1-2</t>
  </si>
  <si>
    <t xml:space="preserve">Zn 2</t>
  </si>
  <si>
    <t xml:space="preserve">Florida Z2 IT</t>
  </si>
  <si>
    <t xml:space="preserve">fuel(2.30)</t>
  </si>
  <si>
    <t xml:space="preserve">fuel(2.902)</t>
  </si>
  <si>
    <t xml:space="preserve">Dec - Mar</t>
  </si>
  <si>
    <t xml:space="preserve">IT commodity</t>
  </si>
  <si>
    <t xml:space="preserve">(1-4)</t>
  </si>
  <si>
    <t xml:space="preserve">(1-4) it</t>
  </si>
  <si>
    <t xml:space="preserve">(0-3) FT</t>
  </si>
  <si>
    <t xml:space="preserve">(stx-m1)</t>
  </si>
  <si>
    <t xml:space="preserve">(stx-m2)</t>
  </si>
  <si>
    <t xml:space="preserve">(0-3)FT</t>
  </si>
  <si>
    <t xml:space="preserve">(off-off)its2</t>
  </si>
  <si>
    <t xml:space="preserve">(gath)it</t>
  </si>
  <si>
    <t xml:space="preserve">fuel(2.60)</t>
  </si>
  <si>
    <t xml:space="preserve">FT SL-1</t>
  </si>
  <si>
    <t xml:space="preserve">Disc 1-2</t>
  </si>
  <si>
    <t xml:space="preserve">Zn 3</t>
  </si>
  <si>
    <t xml:space="preserve">Florida Z3 IT</t>
  </si>
  <si>
    <t xml:space="preserve">(1-5)</t>
  </si>
  <si>
    <t xml:space="preserve">(2-2) it</t>
  </si>
  <si>
    <t xml:space="preserve">(0-4) FT</t>
  </si>
  <si>
    <t xml:space="preserve">(stx-m3)</t>
  </si>
  <si>
    <t xml:space="preserve">(on-on)its2</t>
  </si>
  <si>
    <t xml:space="preserve">Disc IT</t>
  </si>
  <si>
    <t xml:space="preserve">FT 1-SL</t>
  </si>
  <si>
    <t xml:space="preserve">Disc 1-1</t>
  </si>
  <si>
    <t xml:space="preserve">Florida Z2 -FTS2</t>
  </si>
  <si>
    <t xml:space="preserve">(1-6)</t>
  </si>
  <si>
    <t xml:space="preserve">(2-3)IT</t>
  </si>
  <si>
    <t xml:space="preserve">(0-5) FT</t>
  </si>
  <si>
    <t xml:space="preserve">(wla-wla)</t>
  </si>
  <si>
    <t xml:space="preserve">(ml-ml)its1</t>
  </si>
  <si>
    <t xml:space="preserve">(2-2)</t>
  </si>
  <si>
    <t xml:space="preserve">(2-4) it</t>
  </si>
  <si>
    <t xml:space="preserve">(0-6) FT</t>
  </si>
  <si>
    <t xml:space="preserve">(wla-m1)</t>
  </si>
  <si>
    <t xml:space="preserve">Iroq Fuel</t>
  </si>
  <si>
    <t xml:space="preserve">(on-on)DISC</t>
  </si>
  <si>
    <t xml:space="preserve">Florida Z3 -FTS2</t>
  </si>
  <si>
    <t xml:space="preserve">Z1 - Z1</t>
  </si>
  <si>
    <t xml:space="preserve">Z1 -Z2</t>
  </si>
  <si>
    <t xml:space="preserve">(2-3)</t>
  </si>
  <si>
    <t xml:space="preserve">(3-3)IT</t>
  </si>
  <si>
    <t xml:space="preserve">(L-L) FT</t>
  </si>
  <si>
    <t xml:space="preserve">(wla-ela)</t>
  </si>
  <si>
    <t xml:space="preserve">(wla-m2)</t>
  </si>
  <si>
    <t xml:space="preserve">Z2 - Z2</t>
  </si>
  <si>
    <t xml:space="preserve">(rn-lch)Disc</t>
  </si>
  <si>
    <t xml:space="preserve">(2-4)</t>
  </si>
  <si>
    <t xml:space="preserve">(3-4) it</t>
  </si>
  <si>
    <t xml:space="preserve">(1-1) FT</t>
  </si>
  <si>
    <t xml:space="preserve">(wla-m3)</t>
  </si>
  <si>
    <t xml:space="preserve">(2-5)</t>
  </si>
  <si>
    <t xml:space="preserve">(3-6) it</t>
  </si>
  <si>
    <t xml:space="preserve">(1-2) FT</t>
  </si>
  <si>
    <t xml:space="preserve">(etx-wla)</t>
  </si>
  <si>
    <t xml:space="preserve">(2-6)</t>
  </si>
  <si>
    <t xml:space="preserve">(1-3) FT</t>
  </si>
  <si>
    <t xml:space="preserve">(ela-ela)</t>
  </si>
  <si>
    <t xml:space="preserve">(3-3)</t>
  </si>
  <si>
    <t xml:space="preserve">(4-5) it</t>
  </si>
  <si>
    <t xml:space="preserve">(1-4) FT</t>
  </si>
  <si>
    <t xml:space="preserve">(etx-stx)</t>
  </si>
  <si>
    <t xml:space="preserve">(ela-m1)</t>
  </si>
  <si>
    <t xml:space="preserve">(3-4) </t>
  </si>
  <si>
    <t xml:space="preserve">Transco  </t>
  </si>
  <si>
    <t xml:space="preserve">(4a-4a) it</t>
  </si>
  <si>
    <t xml:space="preserve">(1-5) FT</t>
  </si>
  <si>
    <t xml:space="preserve">(ela-m2)</t>
  </si>
  <si>
    <t xml:space="preserve">Transco it</t>
  </si>
  <si>
    <t xml:space="preserve">(6-6) it</t>
  </si>
  <si>
    <t xml:space="preserve">(1-6) FT</t>
  </si>
  <si>
    <t xml:space="preserve">(etx-etx)</t>
  </si>
  <si>
    <t xml:space="preserve">(ela-m3)</t>
  </si>
  <si>
    <t xml:space="preserve">(3-6)</t>
  </si>
  <si>
    <t xml:space="preserve">Leidy-Emporia</t>
  </si>
  <si>
    <t xml:space="preserve">(2-5) FT</t>
  </si>
  <si>
    <t xml:space="preserve">(etx-ela )</t>
  </si>
  <si>
    <t xml:space="preserve">(m1-m2)</t>
  </si>
  <si>
    <t xml:space="preserve">(4-4) </t>
  </si>
  <si>
    <t xml:space="preserve">Leidy-AGL</t>
  </si>
  <si>
    <t xml:space="preserve">(4-4) FT</t>
  </si>
  <si>
    <t xml:space="preserve">(m1-m3)</t>
  </si>
  <si>
    <t xml:space="preserve">(4-5) </t>
  </si>
  <si>
    <t xml:space="preserve">Leidy-Doyle</t>
  </si>
  <si>
    <t xml:space="preserve">(4-6) FT</t>
  </si>
  <si>
    <t xml:space="preserve">(m2-m2)</t>
  </si>
  <si>
    <t xml:space="preserve">(4-6) </t>
  </si>
  <si>
    <t xml:space="preserve">St 210-Doyle</t>
  </si>
  <si>
    <t xml:space="preserve">(5-4) FT</t>
  </si>
  <si>
    <t xml:space="preserve">(m2-m3)</t>
  </si>
  <si>
    <t xml:space="preserve">(4a-4a)</t>
  </si>
  <si>
    <t xml:space="preserve">(5-5) FT</t>
  </si>
  <si>
    <t xml:space="preserve">(m3-m3)</t>
  </si>
  <si>
    <t xml:space="preserve">(5-5)</t>
  </si>
  <si>
    <t xml:space="preserve">TGP Backhaul</t>
  </si>
  <si>
    <t xml:space="preserve">      (5-5) FT</t>
  </si>
  <si>
    <t xml:space="preserve">(m1-m1)</t>
  </si>
  <si>
    <t xml:space="preserve">(5-6)</t>
  </si>
  <si>
    <t xml:space="preserve">(5-6)  FT</t>
  </si>
  <si>
    <t xml:space="preserve">(6-6)</t>
  </si>
  <si>
    <t xml:space="preserve">(6-4)  FT</t>
  </si>
  <si>
    <t xml:space="preserve">.</t>
  </si>
  <si>
    <t xml:space="preserve">Leidy to Emporia</t>
  </si>
  <si>
    <t xml:space="preserve">(6-5)  FT</t>
  </si>
  <si>
    <t xml:space="preserve">St 210 to Doyle</t>
  </si>
  <si>
    <t xml:space="preserve">(6-6)  FT</t>
  </si>
  <si>
    <t xml:space="preserve">Leidy to Doyle</t>
  </si>
  <si>
    <t xml:space="preserve">Tenn NET 284</t>
  </si>
  <si>
    <t xml:space="preserve">fuel(1.31)</t>
  </si>
  <si>
    <t xml:space="preserve">Leidy to AGL</t>
  </si>
  <si>
    <t xml:space="preserve">(L-L)  IT</t>
  </si>
  <si>
    <t xml:space="preserve">(0-l)  IT</t>
  </si>
  <si>
    <t xml:space="preserve">(0-3)  IT</t>
  </si>
  <si>
    <t xml:space="preserve">(0-4)  IT</t>
  </si>
  <si>
    <t xml:space="preserve">(0-6)  IT</t>
  </si>
  <si>
    <t xml:space="preserve">(l-2)  IT</t>
  </si>
  <si>
    <t xml:space="preserve">(1-3) IT</t>
  </si>
  <si>
    <t xml:space="preserve">(1-4) IT</t>
  </si>
  <si>
    <t xml:space="preserve">(1-5) IT</t>
  </si>
  <si>
    <t xml:space="preserve">(1-6) IT</t>
  </si>
  <si>
    <t xml:space="preserve">(4-6) IT</t>
  </si>
  <si>
    <t xml:space="preserve">(5-3) IT</t>
  </si>
  <si>
    <t xml:space="preserve">(5-4) IT</t>
  </si>
  <si>
    <t xml:space="preserve">(5-5) IT</t>
  </si>
  <si>
    <t xml:space="preserve">(5-6) IT</t>
  </si>
  <si>
    <t xml:space="preserve">(6-3) IT</t>
  </si>
  <si>
    <t xml:space="preserve">(6-4) IT</t>
  </si>
  <si>
    <t xml:space="preserve">(6-5) IT</t>
  </si>
  <si>
    <t xml:space="preserve">(6-6) IT</t>
  </si>
  <si>
    <t xml:space="preserve">special rates per victoria versen</t>
  </si>
  <si>
    <t xml:space="preserve">(0-0) FT special</t>
  </si>
  <si>
    <t xml:space="preserve">(0-1) FT special</t>
  </si>
  <si>
    <t xml:space="preserve">(0-2) FT special</t>
  </si>
  <si>
    <t xml:space="preserve">(0-3) FT special</t>
  </si>
  <si>
    <t xml:space="preserve">(L-L) FT special</t>
  </si>
  <si>
    <t xml:space="preserve">(1-1) FT special</t>
  </si>
  <si>
    <t xml:space="preserve">(1-2) FT special</t>
  </si>
  <si>
    <t xml:space="preserve">(1-3) FT special</t>
  </si>
  <si>
    <t xml:space="preserve">Note:</t>
  </si>
  <si>
    <t xml:space="preserve">Effective 2/1/01</t>
  </si>
  <si>
    <t xml:space="preserve">Tenn contract with all receipts and deliveries in Zones 0, 1, &amp; 2.  Only deliveries to Broad Run allowed in Zone 3</t>
  </si>
  <si>
    <t xml:space="preserve">MDQ= 144,000 dt.</t>
  </si>
  <si>
    <t xml:space="preserve">See deal 595311</t>
  </si>
  <si>
    <t xml:space="preserve">2/1/2001   Transco fuels change effective 4/1/2001</t>
  </si>
  <si>
    <t xml:space="preserve">Delivery</t>
  </si>
  <si>
    <t xml:space="preserve">Receipt</t>
  </si>
  <si>
    <t xml:space="preserve">Zone 4A to Zone 4A = .59%</t>
  </si>
  <si>
    <t xml:space="preserve">Winter Fuel Nov-Mar</t>
  </si>
  <si>
    <t xml:space="preserve">Winter Fuel Dec-Mar</t>
  </si>
  <si>
    <t xml:space="preserve">Summer Apr-Nov</t>
  </si>
  <si>
    <t xml:space="preserve">Nov 1 - Mar 31</t>
  </si>
  <si>
    <t xml:space="preserve">Updtd Fuel 12/1/2000</t>
  </si>
  <si>
    <t xml:space="preserve">Updated eff 3/1/2000</t>
  </si>
  <si>
    <t xml:space="preserve">Updated eff 1/1/2001</t>
  </si>
  <si>
    <t xml:space="preserve">tgt sl-sl</t>
  </si>
  <si>
    <t xml:space="preserve">fuel(.22)</t>
  </si>
  <si>
    <t xml:space="preserve">fuel(.58)</t>
  </si>
  <si>
    <t xml:space="preserve">tgt sl-4</t>
  </si>
  <si>
    <t xml:space="preserve">fuel(2.68)</t>
  </si>
  <si>
    <t xml:space="preserve">tgt 1-4</t>
  </si>
  <si>
    <t xml:space="preserve">tgt SL-1</t>
  </si>
  <si>
    <t xml:space="preserve">fuel(1.69)</t>
  </si>
  <si>
    <t xml:space="preserve">tgt 1-SL (Backhaul)</t>
  </si>
  <si>
    <t xml:space="preserve">fuel(0.0)</t>
  </si>
  <si>
    <t xml:space="preserve">fuel(0.005)</t>
  </si>
  <si>
    <t xml:space="preserve">Storage GSS Sheet 27</t>
  </si>
  <si>
    <t xml:space="preserve">Injection</t>
  </si>
  <si>
    <t xml:space="preserve">Index</t>
  </si>
  <si>
    <t xml:space="preserve">Z6</t>
  </si>
  <si>
    <t xml:space="preserve">Inj Fuel</t>
  </si>
  <si>
    <t xml:space="preserve">  note:  Fuel is the sum of 3.10% from Transco and 1.64% from CNG.</t>
  </si>
  <si>
    <t xml:space="preserve">Fuel Cost</t>
  </si>
  <si>
    <t xml:space="preserve">Total Cost</t>
  </si>
  <si>
    <t xml:space="preserve">Withdrawal</t>
  </si>
  <si>
    <t xml:space="preserve">W/D Fuel</t>
  </si>
  <si>
    <t xml:space="preserve">Storage WSS Sheet 27A</t>
  </si>
  <si>
    <t xml:space="preserve">Storage LSS Sheet 28A</t>
  </si>
  <si>
    <t xml:space="preserve">  note:  Fuel is 100% third party fuel</t>
  </si>
  <si>
    <t xml:space="preserve">Storage SS1 Sheet 28B</t>
  </si>
  <si>
    <t xml:space="preserve">Transco Injection Cost</t>
  </si>
  <si>
    <t xml:space="preserve">Transport</t>
  </si>
  <si>
    <t xml:space="preserve">CNG Transport Cost from Leidy to Tioga</t>
  </si>
  <si>
    <t xml:space="preserve">CNG Transport Cost from Tioga to Leidy</t>
  </si>
  <si>
    <t xml:space="preserve">Transco Withdrawal Cost</t>
  </si>
  <si>
    <t xml:space="preserve">Transport Leidy to Bug Contract 2.2173  Sheet No 37E  FTA-R</t>
  </si>
  <si>
    <t xml:space="preserve">ACA + GRI</t>
  </si>
  <si>
    <t xml:space="preserve">No Great Plains Surcharge</t>
  </si>
  <si>
    <t xml:space="preserve">Storage GSS &amp; GSS-TE</t>
  </si>
  <si>
    <t xml:space="preserve">CNG South</t>
  </si>
  <si>
    <t xml:space="preserve">GSS-TE Surcharge</t>
  </si>
  <si>
    <t xml:space="preserve">Only variable cost difference between GSS and GSSTE is the </t>
  </si>
  <si>
    <t xml:space="preserve">GSS-TE surcharge on withdrawals</t>
  </si>
  <si>
    <t xml:space="preserve">Storage SS-3</t>
  </si>
  <si>
    <t xml:space="preserve">Storage Transport Service STS-1</t>
  </si>
  <si>
    <t xml:space="preserve">apr-nov fuel</t>
  </si>
  <si>
    <t xml:space="preserve">PRO-RATED</t>
  </si>
  <si>
    <t xml:space="preserve">REGION</t>
  </si>
  <si>
    <t xml:space="preserve">CAPACITY</t>
  </si>
  <si>
    <t xml:space="preserve">% TOTAL</t>
  </si>
  <si>
    <t xml:space="preserve">RATE</t>
  </si>
  <si>
    <t xml:space="preserve"> RATE</t>
  </si>
  <si>
    <t xml:space="preserve">BASIS</t>
  </si>
  <si>
    <t xml:space="preserve">TOTAL</t>
  </si>
  <si>
    <t xml:space="preserve">STX - M3</t>
  </si>
  <si>
    <t xml:space="preserve">WLA- M3</t>
  </si>
  <si>
    <t xml:space="preserve">ELA - M3</t>
  </si>
  <si>
    <t xml:space="preserve">m1 - M3</t>
  </si>
  <si>
    <t xml:space="preserve">ETX - M3</t>
  </si>
  <si>
    <t xml:space="preserve">M3 Bid</t>
  </si>
  <si>
    <t xml:space="preserve">Demand</t>
  </si>
  <si>
    <t xml:space="preserve">STX - M2</t>
  </si>
  <si>
    <t xml:space="preserve">WLA - M2</t>
  </si>
  <si>
    <t xml:space="preserve">ELA - M2</t>
  </si>
  <si>
    <t xml:space="preserve">m1 - M2</t>
  </si>
  <si>
    <t xml:space="preserve">ETX - M2</t>
  </si>
  <si>
    <t xml:space="preserve">M2 Bid (CNG)</t>
  </si>
  <si>
    <t xml:space="preserve">Sta 30 - Z6</t>
  </si>
  <si>
    <t xml:space="preserve">Sta 45 - Z6</t>
  </si>
  <si>
    <t xml:space="preserve">Sta 65 - Z6</t>
  </si>
  <si>
    <t xml:space="preserve">Basis</t>
  </si>
  <si>
    <t xml:space="preserve">Other</t>
  </si>
  <si>
    <t xml:space="preserve">On Offer</t>
  </si>
  <si>
    <t xml:space="preserve">TCO Bid</t>
  </si>
  <si>
    <t xml:space="preserve">FT/FT</t>
  </si>
  <si>
    <t xml:space="preserve">IT/FT</t>
  </si>
  <si>
    <t xml:space="preserve">Rate</t>
  </si>
  <si>
    <t xml:space="preserve">Prod Basis</t>
  </si>
  <si>
    <t xml:space="preserve">Tco Bid</t>
  </si>
  <si>
    <t xml:space="preserve">Z0 to Z3</t>
  </si>
  <si>
    <t xml:space="preserve">Z1 to Z3</t>
  </si>
  <si>
    <t xml:space="preserve">Z0 to Z4</t>
  </si>
  <si>
    <t xml:space="preserve">Z1 to Z4</t>
  </si>
  <si>
    <t xml:space="preserve">Special</t>
  </si>
  <si>
    <t xml:space="preserve">National Fuel</t>
  </si>
  <si>
    <t xml:space="preserve">Niag to Leidy</t>
  </si>
  <si>
    <t xml:space="preserve">Leidy -Z6</t>
  </si>
  <si>
    <t xml:space="preserve">Total Transport</t>
  </si>
  <si>
    <t xml:space="preserve">Niag</t>
  </si>
  <si>
    <t xml:space="preserve">Ny</t>
  </si>
  <si>
    <t xml:space="preserve">NYMX</t>
  </si>
  <si>
    <t xml:space="preserve">Jun</t>
  </si>
  <si>
    <t xml:space="preserve">Jul</t>
  </si>
  <si>
    <t xml:space="preserve">Aug</t>
  </si>
  <si>
    <t xml:space="preserve">Sep</t>
  </si>
  <si>
    <t xml:space="preserve">Avg</t>
  </si>
  <si>
    <t xml:space="preserve">bas diff -</t>
  </si>
  <si>
    <t xml:space="preserve">value * 5 </t>
  </si>
  <si>
    <t xml:space="preserve">pro rate</t>
  </si>
  <si>
    <t xml:space="preserve">pro basis</t>
  </si>
  <si>
    <t xml:space="preserve">basis diff</t>
  </si>
  <si>
    <t xml:space="preserve">rate</t>
  </si>
  <si>
    <t xml:space="preserve">months</t>
  </si>
  <si>
    <t xml:space="preserve">summerrates</t>
  </si>
  <si>
    <t xml:space="preserve">basis</t>
  </si>
  <si>
    <t xml:space="preserve">z1 to z3</t>
  </si>
  <si>
    <t xml:space="preserve">cng s bid</t>
  </si>
  <si>
    <t xml:space="preserve">z1 to z4</t>
  </si>
  <si>
    <t xml:space="preserve">cng n bid</t>
  </si>
  <si>
    <t xml:space="preserve">Z0 to Z5</t>
  </si>
  <si>
    <t xml:space="preserve">Z1 to Z5</t>
  </si>
  <si>
    <t xml:space="preserve">z1 to z5</t>
  </si>
</sst>
</file>

<file path=xl/styles.xml><?xml version="1.0" encoding="utf-8"?>
<styleSheet xmlns="http://schemas.openxmlformats.org/spreadsheetml/2006/main">
  <numFmts count="38">
    <numFmt numFmtId="164" formatCode="General"/>
    <numFmt numFmtId="165" formatCode="[$-409]m/d/yyyy"/>
    <numFmt numFmtId="166" formatCode="_(\$* #,##0.00_);_(\$* \(#,##0.00\);_(\$* \-??_);_(@_)"/>
    <numFmt numFmtId="167" formatCode="_(\$* #,##0.0000_);_(\$* \(#,##0.0000\);_(\$* \-??_);_(@_)"/>
    <numFmt numFmtId="168" formatCode="\$#,##0.000_);[RED]&quot;($&quot;#,##0.000\)"/>
    <numFmt numFmtId="169" formatCode="\$#,##0.0000_);[RED]&quot;($&quot;#,##0.0000\)"/>
    <numFmt numFmtId="170" formatCode="0%"/>
    <numFmt numFmtId="171" formatCode="0.0000%"/>
    <numFmt numFmtId="172" formatCode="[$-409]#,##0_);[RED]\(#,##0\)"/>
    <numFmt numFmtId="173" formatCode="@"/>
    <numFmt numFmtId="174" formatCode="[$-409]d\-mmm"/>
    <numFmt numFmtId="175" formatCode="#,##0.00000"/>
    <numFmt numFmtId="176" formatCode="0.000%"/>
    <numFmt numFmtId="177" formatCode="0"/>
    <numFmt numFmtId="178" formatCode="#,##0"/>
    <numFmt numFmtId="179" formatCode="_(\$* #,##0.000_);_(\$* \(#,##0.000\);_(\$* \-??_);_(@_)"/>
    <numFmt numFmtId="180" formatCode="\$#,##0.00_);[RED]&quot;($&quot;#,##0.00\)"/>
    <numFmt numFmtId="181" formatCode="# ?/?"/>
    <numFmt numFmtId="182" formatCode="0.00%"/>
    <numFmt numFmtId="183" formatCode="_(\$* #,##0_);_(\$* \(#,##0\);_(\$* \-??_);_(@_)"/>
    <numFmt numFmtId="184" formatCode="#,##0.00"/>
    <numFmt numFmtId="185" formatCode="#,##0.000"/>
    <numFmt numFmtId="186" formatCode="0.0000"/>
    <numFmt numFmtId="187" formatCode="_(* #,##0.00_);_(* \(#,##0.00\);_(* \-??_);_(@_)"/>
    <numFmt numFmtId="188" formatCode="_(* #,##0.000_);_(* \(#,##0.000\);_(* \-??_);_(@_)"/>
    <numFmt numFmtId="189" formatCode="_(* #,##0_);_(* \(#,##0\);_(* \-??_);_(@_)"/>
    <numFmt numFmtId="190" formatCode="_(* #,##0.0000_);_(* \(#,##0.0000\);_(* \-??_);_(@_)"/>
    <numFmt numFmtId="191" formatCode="0.000"/>
    <numFmt numFmtId="192" formatCode="[$-409]d\-mmm\-yy"/>
    <numFmt numFmtId="193" formatCode="\$#,##0.000"/>
    <numFmt numFmtId="194" formatCode="\$#,##0.0000_);&quot;($&quot;#,##0.0000\)"/>
    <numFmt numFmtId="195" formatCode="\$#,##0.00_);&quot;($&quot;#,##0.00\)"/>
    <numFmt numFmtId="196" formatCode="0.00000"/>
    <numFmt numFmtId="197" formatCode="\$#,##0.00000_);[RED]&quot;($&quot;#,##0.00000\)"/>
    <numFmt numFmtId="198" formatCode="[$-409]mmm\-yy"/>
    <numFmt numFmtId="199" formatCode="0.00"/>
    <numFmt numFmtId="200" formatCode="_(\$* #,##0.00000_);_(\$* \(#,##0.00000\);_(\$* \-??_);_(@_)"/>
    <numFmt numFmtId="201" formatCode="\$#,##0.000_);&quot;($&quot;#,##0.000\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FF000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u val="single"/>
      <sz val="8"/>
      <name val="Arial"/>
      <family val="2"/>
    </font>
    <font>
      <sz val="8"/>
      <color rgb="FF000000"/>
      <name val="Arial"/>
      <family val="2"/>
    </font>
    <font>
      <b val="true"/>
      <u val="single"/>
      <sz val="8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u val="single"/>
      <sz val="10"/>
      <name val="Arial"/>
      <family val="0"/>
    </font>
    <font>
      <b val="true"/>
      <sz val="9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69FFFF"/>
        <bgColor rgb="FFA6CAF0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008000"/>
        <bgColor rgb="FF00808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A6CAF0"/>
        <bgColor rgb="FFCCCCFF"/>
      </patternFill>
    </fill>
    <fill>
      <patternFill patternType="solid">
        <fgColor rgb="FFFF0000"/>
        <bgColor rgb="FF993300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ashed"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thin"/>
      <top/>
      <bottom style="dashed"/>
      <diagonal/>
    </border>
    <border diagonalUp="false" diagonalDown="false">
      <left style="thin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thin"/>
      <top style="dashed"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5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8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0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9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9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1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2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6" fillId="0" borderId="2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7" fillId="0" borderId="2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1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7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1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9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2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8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2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0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01" fontId="2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CCC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N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6" style="0" width="10.85"/>
    <col collapsed="false" customWidth="true" hidden="false" outlineLevel="0" max="8" min="8" style="0" width="4.14"/>
    <col collapsed="false" customWidth="true" hidden="false" outlineLevel="0" max="13" min="12" style="0" width="10.85"/>
  </cols>
  <sheetData>
    <row r="4" customFormat="false" ht="12.75" hidden="false" customHeight="false" outlineLevel="0" collapsed="false">
      <c r="B4" s="1"/>
    </row>
    <row r="5" customFormat="false" ht="12.75" hidden="false" customHeight="false" outlineLevel="0" collapsed="false">
      <c r="B5" s="1"/>
      <c r="F5" s="2"/>
      <c r="G5" s="3"/>
      <c r="L5" s="2"/>
      <c r="M5" s="3"/>
    </row>
    <row r="6" customFormat="false" ht="12.75" hidden="false" customHeight="false" outlineLevel="0" collapsed="false">
      <c r="A6" s="0" t="n">
        <v>4.76</v>
      </c>
      <c r="B6" s="1"/>
      <c r="C6" s="0" t="s">
        <v>0</v>
      </c>
      <c r="D6" s="0" t="n">
        <v>4.55</v>
      </c>
      <c r="F6" s="0" t="s">
        <v>0</v>
      </c>
      <c r="G6" s="3" t="n">
        <v>4.55</v>
      </c>
      <c r="I6" s="0" t="s">
        <v>1</v>
      </c>
      <c r="J6" s="4" t="n">
        <f aca="false">4.57+0.05</f>
        <v>4.62</v>
      </c>
      <c r="L6" s="2"/>
      <c r="M6" s="3" t="n">
        <v>4.76</v>
      </c>
      <c r="N6" s="0" t="n">
        <v>4.76</v>
      </c>
    </row>
    <row r="7" customFormat="false" ht="12.75" hidden="false" customHeight="false" outlineLevel="0" collapsed="false">
      <c r="B7" s="1"/>
      <c r="F7" s="2"/>
      <c r="G7" s="3"/>
      <c r="L7" s="2"/>
      <c r="M7" s="3"/>
    </row>
    <row r="8" customFormat="false" ht="12.75" hidden="false" customHeight="false" outlineLevel="0" collapsed="false">
      <c r="B8" s="1"/>
      <c r="F8" s="2"/>
      <c r="G8" s="3"/>
      <c r="L8" s="2"/>
      <c r="M8" s="3"/>
    </row>
    <row r="9" customFormat="false" ht="12.75" hidden="false" customHeight="false" outlineLevel="0" collapsed="false">
      <c r="B9" s="1"/>
      <c r="F9" s="2"/>
      <c r="G9" s="3"/>
      <c r="L9" s="2"/>
      <c r="M9" s="3"/>
    </row>
    <row r="10" customFormat="false" ht="12.75" hidden="false" customHeight="false" outlineLevel="0" collapsed="false">
      <c r="B10" s="1"/>
      <c r="C10" s="5" t="s">
        <v>2</v>
      </c>
      <c r="D10" s="6" t="s">
        <v>3</v>
      </c>
      <c r="F10" s="5" t="s">
        <v>2</v>
      </c>
      <c r="G10" s="7" t="s">
        <v>4</v>
      </c>
      <c r="I10" s="8" t="s">
        <v>2</v>
      </c>
      <c r="J10" s="8" t="s">
        <v>5</v>
      </c>
      <c r="L10" s="2"/>
      <c r="M10" s="3"/>
    </row>
    <row r="11" customFormat="false" ht="12.75" hidden="false" customHeight="false" outlineLevel="0" collapsed="false">
      <c r="B11" s="1"/>
      <c r="C11" s="5" t="s">
        <v>6</v>
      </c>
      <c r="D11" s="9" t="n">
        <v>0.017</v>
      </c>
      <c r="F11" s="5" t="s">
        <v>6</v>
      </c>
      <c r="G11" s="10" t="n">
        <v>0.0278</v>
      </c>
      <c r="I11" s="11" t="s">
        <v>6</v>
      </c>
      <c r="J11" s="12" t="n">
        <v>0.1672</v>
      </c>
      <c r="L11" s="2"/>
      <c r="M11" s="3"/>
    </row>
    <row r="12" customFormat="false" ht="12.75" hidden="false" customHeight="false" outlineLevel="0" collapsed="false">
      <c r="B12" s="1"/>
      <c r="C12" s="13" t="s">
        <v>7</v>
      </c>
      <c r="D12" s="9" t="n">
        <f aca="false">0.0022+0.007+0.0097</f>
        <v>0.0189</v>
      </c>
      <c r="F12" s="13" t="s">
        <v>7</v>
      </c>
      <c r="G12" s="9" t="n">
        <f aca="false">0.0022+0.007+0.0097</f>
        <v>0.0189</v>
      </c>
      <c r="I12" s="11" t="s">
        <v>7</v>
      </c>
      <c r="J12" s="14" t="n">
        <f aca="false">0.0022+0.007+0.0097</f>
        <v>0.0189</v>
      </c>
      <c r="L12" s="2"/>
      <c r="M12" s="3"/>
    </row>
    <row r="13" customFormat="false" ht="12.75" hidden="false" customHeight="false" outlineLevel="0" collapsed="false">
      <c r="B13" s="1"/>
      <c r="C13" s="15" t="n">
        <v>0.0233</v>
      </c>
      <c r="D13" s="16" t="n">
        <f aca="false">(D$6)/(1-C13)-D$6</f>
        <v>0.108544076993959</v>
      </c>
      <c r="F13" s="15" t="n">
        <v>0.0381</v>
      </c>
      <c r="G13" s="16" t="n">
        <f aca="false">(G$6)/(1-F13)-G$6</f>
        <v>0.180221436739786</v>
      </c>
      <c r="I13" s="17" t="n">
        <v>0.0189</v>
      </c>
      <c r="J13" s="16" t="n">
        <f aca="false">(J$6)/(1-I13)-J$6</f>
        <v>0.0890001019264091</v>
      </c>
      <c r="L13" s="17" t="n">
        <v>0.02776</v>
      </c>
      <c r="M13" s="18" t="n">
        <f aca="false">+L13-0.01</f>
        <v>0.01776</v>
      </c>
      <c r="N13" s="16" t="n">
        <f aca="false">(N$6)/(1-M13)-N$6</f>
        <v>0.0860661345496006</v>
      </c>
    </row>
    <row r="14" customFormat="false" ht="12.75" hidden="false" customHeight="false" outlineLevel="0" collapsed="false">
      <c r="B14" s="1"/>
      <c r="C14" s="5"/>
      <c r="D14" s="6" t="n">
        <f aca="false">SUM(D11:D13)</f>
        <v>0.144444076993959</v>
      </c>
      <c r="F14" s="19"/>
      <c r="G14" s="6" t="n">
        <f aca="false">SUM(G11:G13)</f>
        <v>0.226921436739786</v>
      </c>
      <c r="I14" s="11"/>
      <c r="J14" s="20" t="n">
        <f aca="false">SUM(J11:J13)</f>
        <v>0.275100101926409</v>
      </c>
    </row>
    <row r="15" customFormat="false" ht="12.75" hidden="false" customHeight="false" outlineLevel="0" collapsed="false">
      <c r="B15" s="1"/>
      <c r="F15" s="2"/>
      <c r="G15" s="3"/>
      <c r="L15" s="2"/>
      <c r="M15" s="3"/>
    </row>
    <row r="16" customFormat="false" ht="12.75" hidden="false" customHeight="false" outlineLevel="0" collapsed="false">
      <c r="B16" s="1"/>
      <c r="F16" s="2"/>
      <c r="G16" s="3"/>
      <c r="L16" s="2"/>
      <c r="M16" s="3"/>
    </row>
    <row r="17" customFormat="false" ht="12.75" hidden="false" customHeight="false" outlineLevel="0" collapsed="false">
      <c r="B17" s="1"/>
      <c r="D17" s="21" t="n">
        <f aca="false">+D6+D14</f>
        <v>4.69444407699396</v>
      </c>
      <c r="F17" s="2"/>
      <c r="G17" s="3" t="n">
        <f aca="false">+G6+G14</f>
        <v>4.77692143673979</v>
      </c>
      <c r="J17" s="4" t="n">
        <f aca="false">+J14+J6</f>
        <v>4.89510010192641</v>
      </c>
      <c r="L17" s="2"/>
      <c r="M17" s="3"/>
    </row>
    <row r="18" customFormat="false" ht="12.75" hidden="false" customHeight="false" outlineLevel="0" collapsed="false">
      <c r="B18" s="1"/>
      <c r="F18" s="2"/>
      <c r="G18" s="3"/>
      <c r="L18" s="2"/>
      <c r="M18" s="3"/>
    </row>
    <row r="19" customFormat="false" ht="12.75" hidden="false" customHeight="false" outlineLevel="0" collapsed="false">
      <c r="B19" s="1"/>
      <c r="F19" s="2"/>
      <c r="G19" s="3"/>
      <c r="L19" s="2"/>
      <c r="M19" s="3"/>
      <c r="N19" s="21" t="n">
        <f aca="false">+N6+N13+0.1</f>
        <v>4.9460661345496</v>
      </c>
    </row>
    <row r="20" customFormat="false" ht="12.75" hidden="false" customHeight="false" outlineLevel="0" collapsed="false">
      <c r="B20" s="1"/>
      <c r="F20" s="2"/>
      <c r="G20" s="3" t="n">
        <f aca="false">+D17-G17</f>
        <v>-0.0824773597458277</v>
      </c>
      <c r="L20" s="2"/>
      <c r="M20" s="3"/>
      <c r="N20" s="21" t="n">
        <f aca="false">+N19-N6</f>
        <v>0.1860661345496</v>
      </c>
    </row>
    <row r="21" customFormat="false" ht="12.75" hidden="false" customHeight="false" outlineLevel="0" collapsed="false">
      <c r="B21" s="1"/>
      <c r="F21" s="2"/>
      <c r="G21" s="3" t="n">
        <v>0.09</v>
      </c>
      <c r="L21" s="2"/>
      <c r="M21" s="3"/>
    </row>
    <row r="22" customFormat="false" ht="12.75" hidden="false" customHeight="false" outlineLevel="0" collapsed="false">
      <c r="B22" s="1"/>
      <c r="F22" s="2"/>
      <c r="G22" s="3" t="n">
        <v>0.1</v>
      </c>
      <c r="L22" s="2"/>
      <c r="M22" s="3"/>
    </row>
    <row r="23" customFormat="false" ht="12.75" hidden="false" customHeight="false" outlineLevel="0" collapsed="false">
      <c r="B23" s="1"/>
      <c r="D23" s="4" t="n">
        <f aca="false">+D17+G23</f>
        <v>4.80196671724813</v>
      </c>
      <c r="F23" s="2"/>
      <c r="G23" s="22" t="n">
        <f aca="false">SUM(G20:G22)</f>
        <v>0.107522640254172</v>
      </c>
      <c r="L23" s="2"/>
      <c r="M23" s="3"/>
    </row>
    <row r="24" customFormat="false" ht="12.75" hidden="false" customHeight="false" outlineLevel="0" collapsed="false">
      <c r="B24" s="1"/>
      <c r="D24" s="4" t="n">
        <f aca="false">+D23-D6</f>
        <v>0.251966717248131</v>
      </c>
      <c r="F24" s="2"/>
      <c r="G24" s="3"/>
      <c r="L24" s="2"/>
      <c r="M24" s="3"/>
    </row>
    <row r="25" customFormat="false" ht="12.75" hidden="false" customHeight="false" outlineLevel="0" collapsed="false">
      <c r="B25" s="1"/>
      <c r="F25" s="2"/>
      <c r="G25" s="3"/>
      <c r="L25" s="2"/>
      <c r="M25" s="3"/>
    </row>
    <row r="26" customFormat="false" ht="12.75" hidden="false" customHeight="false" outlineLevel="0" collapsed="false">
      <c r="B26" s="1"/>
      <c r="F26" s="2"/>
      <c r="G26" s="3"/>
      <c r="L26" s="2"/>
      <c r="M26" s="3"/>
    </row>
    <row r="27" customFormat="false" ht="12.75" hidden="false" customHeight="false" outlineLevel="0" collapsed="false">
      <c r="B27" s="1"/>
      <c r="F27" s="2"/>
      <c r="G27" s="3"/>
      <c r="L27" s="2"/>
      <c r="M27" s="3"/>
    </row>
    <row r="28" customFormat="false" ht="12.75" hidden="false" customHeight="false" outlineLevel="0" collapsed="false">
      <c r="B28" s="1"/>
      <c r="F28" s="2"/>
      <c r="G28" s="3"/>
      <c r="L28" s="2"/>
      <c r="M28" s="3"/>
    </row>
    <row r="29" customFormat="false" ht="12.75" hidden="false" customHeight="false" outlineLevel="0" collapsed="false">
      <c r="B29" s="1"/>
      <c r="F29" s="2"/>
      <c r="G29" s="3"/>
      <c r="L29" s="2"/>
      <c r="M29" s="3"/>
    </row>
    <row r="30" customFormat="false" ht="12.75" hidden="false" customHeight="false" outlineLevel="0" collapsed="false">
      <c r="B30" s="1"/>
      <c r="F30" s="2"/>
      <c r="G30" s="3"/>
      <c r="L30" s="2"/>
      <c r="M30" s="3"/>
    </row>
    <row r="31" customFormat="false" ht="12.75" hidden="false" customHeight="false" outlineLevel="0" collapsed="false">
      <c r="B31" s="1"/>
      <c r="F31" s="2"/>
      <c r="G31" s="3"/>
      <c r="L31" s="2"/>
      <c r="M31" s="3"/>
    </row>
    <row r="32" customFormat="false" ht="12.75" hidden="false" customHeight="false" outlineLevel="0" collapsed="false">
      <c r="B32" s="1"/>
      <c r="F32" s="2"/>
      <c r="G32" s="3"/>
      <c r="L32" s="2"/>
      <c r="M32" s="3"/>
    </row>
    <row r="33" customFormat="false" ht="12.75" hidden="false" customHeight="false" outlineLevel="0" collapsed="false">
      <c r="B33" s="1"/>
      <c r="F33" s="2"/>
      <c r="G33" s="3"/>
      <c r="L33" s="2"/>
      <c r="M33" s="3"/>
    </row>
    <row r="34" customFormat="false" ht="12.75" hidden="false" customHeight="false" outlineLevel="0" collapsed="false">
      <c r="B34" s="1"/>
      <c r="F34" s="2"/>
      <c r="G34" s="3"/>
      <c r="L34" s="2"/>
      <c r="M3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6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I40" activeCellId="0" sqref="I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42"/>
    <col collapsed="false" customWidth="true" hidden="false" outlineLevel="0" max="14" min="12" style="480" width="9.14"/>
  </cols>
  <sheetData>
    <row r="1" customFormat="false" ht="12.75" hidden="false" customHeight="false" outlineLevel="0" collapsed="false">
      <c r="A1" s="481"/>
      <c r="B1" s="481"/>
      <c r="C1" s="481"/>
      <c r="D1" s="481"/>
      <c r="E1" s="481"/>
      <c r="F1" s="481"/>
      <c r="G1" s="481"/>
      <c r="H1" s="481"/>
      <c r="I1" s="481"/>
      <c r="J1" s="481"/>
    </row>
    <row r="2" customFormat="false" ht="12.75" hidden="false" customHeight="false" outlineLevel="0" collapsed="false">
      <c r="A2" s="481"/>
      <c r="B2" s="481"/>
      <c r="C2" s="481"/>
      <c r="D2" s="481"/>
      <c r="E2" s="481"/>
      <c r="F2" s="481"/>
      <c r="G2" s="481"/>
      <c r="H2" s="481"/>
      <c r="I2" s="481"/>
      <c r="J2" s="481"/>
    </row>
    <row r="3" customFormat="false" ht="12.75" hidden="false" customHeight="false" outlineLevel="0" collapsed="false">
      <c r="A3" s="481"/>
      <c r="B3" s="481"/>
      <c r="C3" s="481"/>
      <c r="D3" s="481"/>
      <c r="E3" s="481"/>
      <c r="F3" s="481"/>
      <c r="G3" s="481"/>
      <c r="H3" s="481"/>
      <c r="I3" s="481"/>
      <c r="J3" s="481"/>
    </row>
    <row r="4" customFormat="false" ht="12.75" hidden="false" customHeight="false" outlineLevel="0" collapsed="false">
      <c r="A4" s="481"/>
      <c r="B4" s="481"/>
      <c r="C4" s="481"/>
      <c r="D4" s="481"/>
      <c r="E4" s="481"/>
      <c r="F4" s="481"/>
      <c r="G4" s="481"/>
      <c r="H4" s="481"/>
      <c r="I4" s="481"/>
      <c r="J4" s="481"/>
    </row>
    <row r="5" customFormat="false" ht="12.75" hidden="false" customHeight="false" outlineLevel="0" collapsed="false">
      <c r="A5" s="481"/>
      <c r="B5" s="481"/>
      <c r="C5" s="481"/>
      <c r="D5" s="481"/>
      <c r="E5" s="481"/>
      <c r="F5" s="481"/>
      <c r="G5" s="481"/>
      <c r="H5" s="481"/>
      <c r="I5" s="481"/>
      <c r="J5" s="481"/>
    </row>
    <row r="6" customFormat="false" ht="12.75" hidden="false" customHeight="false" outlineLevel="0" collapsed="false">
      <c r="A6" s="481"/>
      <c r="B6" s="481"/>
      <c r="C6" s="481"/>
      <c r="D6" s="481"/>
      <c r="E6" s="481"/>
      <c r="F6" s="481"/>
      <c r="G6" s="481"/>
      <c r="H6" s="481"/>
      <c r="I6" s="481"/>
      <c r="J6" s="481"/>
    </row>
    <row r="7" customFormat="false" ht="12.75" hidden="false" customHeight="false" outlineLevel="0" collapsed="false">
      <c r="A7" s="481"/>
      <c r="B7" s="481"/>
      <c r="C7" s="481"/>
      <c r="D7" s="481"/>
      <c r="E7" s="481"/>
      <c r="F7" s="481"/>
      <c r="G7" s="481"/>
      <c r="H7" s="481"/>
      <c r="I7" s="481"/>
      <c r="J7" s="481"/>
    </row>
    <row r="8" customFormat="false" ht="12.75" hidden="false" customHeight="false" outlineLevel="0" collapsed="false">
      <c r="A8" s="481"/>
      <c r="B8" s="481"/>
      <c r="C8" s="481"/>
      <c r="D8" s="481"/>
      <c r="E8" s="481"/>
      <c r="F8" s="481"/>
      <c r="G8" s="481"/>
      <c r="H8" s="481"/>
      <c r="I8" s="481"/>
      <c r="J8" s="481"/>
    </row>
    <row r="9" customFormat="false" ht="12.75" hidden="false" customHeight="false" outlineLevel="0" collapsed="false">
      <c r="A9" s="481"/>
      <c r="B9" s="481" t="s">
        <v>35</v>
      </c>
      <c r="C9" s="481"/>
      <c r="D9" s="481"/>
      <c r="E9" s="481"/>
      <c r="F9" s="481"/>
      <c r="G9" s="481"/>
      <c r="H9" s="481"/>
      <c r="I9" s="481"/>
      <c r="J9" s="481"/>
    </row>
    <row r="10" customFormat="false" ht="12.75" hidden="false" customHeight="false" outlineLevel="0" collapsed="false">
      <c r="A10" s="481"/>
      <c r="B10" s="481"/>
      <c r="C10" s="481"/>
      <c r="D10" s="481"/>
      <c r="E10" s="481" t="s">
        <v>723</v>
      </c>
      <c r="F10" s="481" t="s">
        <v>724</v>
      </c>
      <c r="G10" s="481"/>
      <c r="H10" s="481" t="s">
        <v>724</v>
      </c>
      <c r="I10" s="481"/>
      <c r="J10" s="481"/>
    </row>
    <row r="11" customFormat="false" ht="12.75" hidden="false" customHeight="false" outlineLevel="0" collapsed="false">
      <c r="A11" s="481"/>
      <c r="B11" s="482" t="s">
        <v>725</v>
      </c>
      <c r="C11" s="482" t="s">
        <v>726</v>
      </c>
      <c r="D11" s="482" t="s">
        <v>727</v>
      </c>
      <c r="E11" s="482" t="s">
        <v>728</v>
      </c>
      <c r="F11" s="482" t="s">
        <v>729</v>
      </c>
      <c r="G11" s="482" t="s">
        <v>730</v>
      </c>
      <c r="H11" s="482" t="s">
        <v>730</v>
      </c>
      <c r="I11" s="482" t="s">
        <v>731</v>
      </c>
      <c r="J11" s="481"/>
    </row>
    <row r="12" customFormat="false" ht="12.75" hidden="false" customHeight="false" outlineLevel="0" collapsed="false">
      <c r="A12" s="481"/>
      <c r="B12" s="483" t="s">
        <v>732</v>
      </c>
      <c r="C12" s="484" t="n">
        <v>5000</v>
      </c>
      <c r="D12" s="485" t="n">
        <f aca="false">+C12/C17</f>
        <v>0.333333333333333</v>
      </c>
      <c r="E12" s="485" t="n">
        <f aca="false">+'Offseason Rate'!E42</f>
        <v>0.713456619972888</v>
      </c>
      <c r="F12" s="485" t="n">
        <f aca="false">+D12*E12</f>
        <v>0.237818873324296</v>
      </c>
      <c r="G12" s="485" t="n">
        <v>-0.0825</v>
      </c>
      <c r="H12" s="485" t="n">
        <f aca="false">+G12*D12</f>
        <v>-0.0275</v>
      </c>
      <c r="I12" s="485" t="n">
        <f aca="false">+F12+H12</f>
        <v>0.210318873324296</v>
      </c>
      <c r="J12" s="481"/>
    </row>
    <row r="13" customFormat="false" ht="12.75" hidden="false" customHeight="false" outlineLevel="0" collapsed="false">
      <c r="A13" s="481"/>
      <c r="B13" s="483" t="s">
        <v>733</v>
      </c>
      <c r="C13" s="484" t="n">
        <v>5000</v>
      </c>
      <c r="D13" s="485" t="n">
        <f aca="false">+C13/C17</f>
        <v>0.333333333333333</v>
      </c>
      <c r="E13" s="485" t="n">
        <f aca="false">+'Offseason Rate'!E67</f>
        <v>0.648508310094813</v>
      </c>
      <c r="F13" s="485" t="n">
        <f aca="false">+D13*E13</f>
        <v>0.216169436698271</v>
      </c>
      <c r="G13" s="485" t="n">
        <v>-0.0575</v>
      </c>
      <c r="H13" s="485" t="n">
        <f aca="false">+G13*D13</f>
        <v>-0.0191666666666667</v>
      </c>
      <c r="I13" s="485" t="n">
        <f aca="false">+F13+H13</f>
        <v>0.197002770031604</v>
      </c>
      <c r="J13" s="481"/>
    </row>
    <row r="14" customFormat="false" ht="12.75" hidden="false" customHeight="false" outlineLevel="0" collapsed="false">
      <c r="A14" s="481"/>
      <c r="B14" s="483" t="s">
        <v>734</v>
      </c>
      <c r="C14" s="484" t="n">
        <v>5000</v>
      </c>
      <c r="D14" s="485" t="n">
        <f aca="false">+C14/C17</f>
        <v>0.333333333333333</v>
      </c>
      <c r="E14" s="485" t="n">
        <f aca="false">+'Offseason Rate'!E92</f>
        <v>0.172090888476603</v>
      </c>
      <c r="F14" s="485" t="n">
        <f aca="false">+D14*E14</f>
        <v>0.0573636294922011</v>
      </c>
      <c r="G14" s="485" t="n">
        <v>-0.045</v>
      </c>
      <c r="H14" s="485" t="n">
        <f aca="false">+G14*D14</f>
        <v>-0.015</v>
      </c>
      <c r="I14" s="485" t="n">
        <f aca="false">+F14+H14</f>
        <v>0.0423636294922011</v>
      </c>
      <c r="J14" s="481"/>
    </row>
    <row r="15" customFormat="false" ht="12.75" hidden="false" customHeight="false" outlineLevel="0" collapsed="false">
      <c r="A15" s="481"/>
      <c r="B15" s="483" t="s">
        <v>735</v>
      </c>
      <c r="C15" s="484" t="n">
        <v>0</v>
      </c>
      <c r="D15" s="485" t="n">
        <f aca="false">+C15/C17</f>
        <v>0</v>
      </c>
      <c r="E15" s="485" t="n">
        <f aca="false">+'Offseason Rate'!E107</f>
        <v>0.615314710450411</v>
      </c>
      <c r="F15" s="485" t="n">
        <f aca="false">+D15*E15</f>
        <v>0</v>
      </c>
      <c r="G15" s="485" t="n">
        <v>0</v>
      </c>
      <c r="H15" s="485" t="n">
        <f aca="false">+G15*D15</f>
        <v>0</v>
      </c>
      <c r="I15" s="485" t="n">
        <f aca="false">+F15+H15</f>
        <v>0</v>
      </c>
      <c r="J15" s="481"/>
    </row>
    <row r="16" customFormat="false" ht="12.75" hidden="false" customHeight="false" outlineLevel="0" collapsed="false">
      <c r="A16" s="481"/>
      <c r="B16" s="483" t="s">
        <v>736</v>
      </c>
      <c r="C16" s="486" t="n">
        <v>0</v>
      </c>
      <c r="D16" s="487" t="n">
        <f aca="false">+C16/C17</f>
        <v>0</v>
      </c>
      <c r="E16" s="485" t="n">
        <f aca="false">+'Offseason Rate'!E92</f>
        <v>0.172090888476603</v>
      </c>
      <c r="F16" s="487" t="n">
        <f aca="false">+D16*E16</f>
        <v>0</v>
      </c>
      <c r="G16" s="485" t="n">
        <v>0</v>
      </c>
      <c r="H16" s="485" t="n">
        <f aca="false">+G16*D16</f>
        <v>0</v>
      </c>
      <c r="I16" s="487" t="n">
        <f aca="false">+F16+H16</f>
        <v>0</v>
      </c>
      <c r="J16" s="481"/>
    </row>
    <row r="17" customFormat="false" ht="12.75" hidden="false" customHeight="false" outlineLevel="0" collapsed="false">
      <c r="A17" s="481"/>
      <c r="B17" s="481"/>
      <c r="C17" s="484" t="n">
        <f aca="false">SUM(C12:C16)</f>
        <v>15000</v>
      </c>
      <c r="D17" s="485" t="n">
        <f aca="false">SUM(D12:D16)</f>
        <v>1</v>
      </c>
      <c r="E17" s="481"/>
      <c r="F17" s="485" t="n">
        <f aca="false">SUM(F12:F16)</f>
        <v>0.511351939514768</v>
      </c>
      <c r="G17" s="481"/>
      <c r="H17" s="481"/>
      <c r="I17" s="488" t="n">
        <f aca="false">SUM(I12:I16)</f>
        <v>0.449685272848101</v>
      </c>
      <c r="J17" s="481"/>
    </row>
    <row r="18" customFormat="false" ht="12.75" hidden="false" customHeight="false" outlineLevel="0" collapsed="false">
      <c r="A18" s="481"/>
      <c r="B18" s="481"/>
      <c r="C18" s="481"/>
      <c r="D18" s="481"/>
      <c r="E18" s="481"/>
      <c r="F18" s="481"/>
      <c r="G18" s="481"/>
      <c r="H18" s="481" t="s">
        <v>737</v>
      </c>
      <c r="I18" s="489" t="n">
        <v>0.215</v>
      </c>
      <c r="J18" s="481"/>
    </row>
    <row r="19" customFormat="false" ht="13.5" hidden="false" customHeight="false" outlineLevel="0" collapsed="false">
      <c r="A19" s="481"/>
      <c r="B19" s="481"/>
      <c r="C19" s="481"/>
      <c r="D19" s="481"/>
      <c r="E19" s="481"/>
      <c r="F19" s="481"/>
      <c r="G19" s="481"/>
      <c r="H19" s="490" t="s">
        <v>738</v>
      </c>
      <c r="I19" s="491" t="n">
        <f aca="false">+I18-I17</f>
        <v>-0.234685272848101</v>
      </c>
      <c r="J19" s="481"/>
    </row>
    <row r="20" customFormat="false" ht="13.5" hidden="false" customHeight="false" outlineLevel="0" collapsed="false">
      <c r="A20" s="481"/>
      <c r="B20" s="481"/>
      <c r="C20" s="481"/>
      <c r="D20" s="481"/>
      <c r="E20" s="481"/>
      <c r="F20" s="481"/>
      <c r="G20" s="481"/>
      <c r="H20" s="481"/>
      <c r="I20" s="485"/>
      <c r="J20" s="481"/>
    </row>
    <row r="21" customFormat="false" ht="12.75" hidden="false" customHeight="false" outlineLevel="0" collapsed="false">
      <c r="A21" s="481"/>
      <c r="B21" s="481"/>
      <c r="C21" s="481"/>
      <c r="D21" s="481"/>
      <c r="E21" s="481"/>
      <c r="F21" s="481"/>
      <c r="G21" s="481"/>
      <c r="H21" s="481"/>
      <c r="I21" s="481"/>
      <c r="J21" s="481"/>
    </row>
    <row r="22" customFormat="false" ht="12.75" hidden="false" customHeight="false" outlineLevel="0" collapsed="false">
      <c r="A22" s="481"/>
      <c r="B22" s="481"/>
      <c r="C22" s="481"/>
      <c r="D22" s="481"/>
      <c r="E22" s="481"/>
      <c r="F22" s="481"/>
      <c r="G22" s="481"/>
      <c r="H22" s="481"/>
      <c r="I22" s="481"/>
      <c r="J22" s="481"/>
    </row>
    <row r="23" customFormat="false" ht="12.75" hidden="false" customHeight="false" outlineLevel="0" collapsed="false">
      <c r="A23" s="481"/>
      <c r="B23" s="481"/>
      <c r="C23" s="481"/>
      <c r="D23" s="481"/>
      <c r="E23" s="481"/>
      <c r="F23" s="481" t="s">
        <v>724</v>
      </c>
      <c r="G23" s="481"/>
      <c r="H23" s="481" t="s">
        <v>724</v>
      </c>
      <c r="I23" s="481"/>
      <c r="J23" s="481"/>
    </row>
    <row r="24" customFormat="false" ht="12.75" hidden="false" customHeight="false" outlineLevel="0" collapsed="false">
      <c r="A24" s="481"/>
      <c r="B24" s="482" t="s">
        <v>725</v>
      </c>
      <c r="C24" s="482" t="s">
        <v>726</v>
      </c>
      <c r="D24" s="482" t="s">
        <v>727</v>
      </c>
      <c r="E24" s="482" t="s">
        <v>728</v>
      </c>
      <c r="F24" s="482" t="s">
        <v>729</v>
      </c>
      <c r="G24" s="482" t="s">
        <v>730</v>
      </c>
      <c r="H24" s="482" t="s">
        <v>730</v>
      </c>
      <c r="I24" s="482" t="s">
        <v>731</v>
      </c>
      <c r="J24" s="481"/>
    </row>
    <row r="25" customFormat="false" ht="12.75" hidden="false" customHeight="false" outlineLevel="0" collapsed="false">
      <c r="A25" s="481"/>
      <c r="B25" s="483" t="s">
        <v>739</v>
      </c>
      <c r="C25" s="484" t="n">
        <v>0</v>
      </c>
      <c r="D25" s="485" t="n">
        <f aca="false">+C25/C30</f>
        <v>0</v>
      </c>
      <c r="E25" s="485" t="e">
        <f aca="false">+#REF!</f>
        <v>#REF!</v>
      </c>
      <c r="F25" s="485" t="e">
        <f aca="false">+D25*E25</f>
        <v>#REF!</v>
      </c>
      <c r="G25" s="485" t="n">
        <v>-0.07</v>
      </c>
      <c r="H25" s="485" t="n">
        <f aca="false">+G25*D25</f>
        <v>-0</v>
      </c>
      <c r="I25" s="485" t="e">
        <f aca="false">+F25+H25</f>
        <v>#REF!</v>
      </c>
      <c r="J25" s="481"/>
    </row>
    <row r="26" customFormat="false" ht="12.75" hidden="false" customHeight="false" outlineLevel="0" collapsed="false">
      <c r="A26" s="481"/>
      <c r="B26" s="483" t="s">
        <v>740</v>
      </c>
      <c r="C26" s="484" t="n">
        <v>0</v>
      </c>
      <c r="D26" s="485" t="n">
        <f aca="false">+C26/C30</f>
        <v>0</v>
      </c>
      <c r="E26" s="485" t="e">
        <f aca="false">+#REF!</f>
        <v>#REF!</v>
      </c>
      <c r="F26" s="485" t="e">
        <f aca="false">+D26*E26</f>
        <v>#REF!</v>
      </c>
      <c r="G26" s="485" t="n">
        <v>-0.05</v>
      </c>
      <c r="H26" s="485" t="n">
        <f aca="false">+G26*D26</f>
        <v>-0</v>
      </c>
      <c r="I26" s="485" t="e">
        <f aca="false">+F26+H26</f>
        <v>#REF!</v>
      </c>
      <c r="J26" s="481"/>
    </row>
    <row r="27" customFormat="false" ht="12.75" hidden="false" customHeight="false" outlineLevel="0" collapsed="false">
      <c r="A27" s="481"/>
      <c r="B27" s="483" t="s">
        <v>741</v>
      </c>
      <c r="C27" s="484" t="n">
        <v>5000</v>
      </c>
      <c r="D27" s="485" t="n">
        <f aca="false">+C27/C30</f>
        <v>1</v>
      </c>
      <c r="E27" s="485" t="e">
        <f aca="false">+#REF!</f>
        <v>#REF!</v>
      </c>
      <c r="F27" s="485" t="e">
        <f aca="false">+D27*E27</f>
        <v>#REF!</v>
      </c>
      <c r="G27" s="485" t="n">
        <v>-0.035</v>
      </c>
      <c r="H27" s="485" t="n">
        <f aca="false">+G27*D27</f>
        <v>-0.035</v>
      </c>
      <c r="I27" s="485" t="e">
        <f aca="false">+F27+H27</f>
        <v>#REF!</v>
      </c>
      <c r="J27" s="481"/>
    </row>
    <row r="28" customFormat="false" ht="12.75" hidden="false" customHeight="false" outlineLevel="0" collapsed="false">
      <c r="A28" s="481"/>
      <c r="B28" s="483" t="s">
        <v>742</v>
      </c>
      <c r="C28" s="484" t="n">
        <v>0</v>
      </c>
      <c r="D28" s="485" t="n">
        <f aca="false">+C28/C30</f>
        <v>0</v>
      </c>
      <c r="E28" s="485" t="n">
        <v>0</v>
      </c>
      <c r="F28" s="485" t="n">
        <f aca="false">+D28*E28</f>
        <v>0</v>
      </c>
      <c r="G28" s="485" t="n">
        <v>-0.01</v>
      </c>
      <c r="H28" s="485" t="n">
        <f aca="false">+G28*D28</f>
        <v>-0</v>
      </c>
      <c r="I28" s="485" t="n">
        <f aca="false">+F28+H28</f>
        <v>0</v>
      </c>
      <c r="J28" s="481"/>
    </row>
    <row r="29" customFormat="false" ht="12.75" hidden="false" customHeight="false" outlineLevel="0" collapsed="false">
      <c r="A29" s="481"/>
      <c r="B29" s="483" t="s">
        <v>743</v>
      </c>
      <c r="C29" s="486" t="n">
        <v>0</v>
      </c>
      <c r="D29" s="487" t="n">
        <f aca="false">+C29/C30</f>
        <v>0</v>
      </c>
      <c r="E29" s="485" t="e">
        <f aca="false">+#REF!</f>
        <v>#REF!</v>
      </c>
      <c r="F29" s="487" t="e">
        <f aca="false">+D29*E29</f>
        <v>#REF!</v>
      </c>
      <c r="G29" s="485" t="n">
        <v>-0.0725</v>
      </c>
      <c r="H29" s="485" t="n">
        <f aca="false">+G29*D29</f>
        <v>-0</v>
      </c>
      <c r="I29" s="487" t="e">
        <f aca="false">+F29+H29</f>
        <v>#REF!</v>
      </c>
      <c r="J29" s="481"/>
      <c r="L29" s="480" t="n">
        <v>30</v>
      </c>
      <c r="M29" s="480" t="n">
        <v>0.44</v>
      </c>
      <c r="N29" s="480" t="n">
        <f aca="false">+M29*L29</f>
        <v>13.2</v>
      </c>
    </row>
    <row r="30" customFormat="false" ht="12.75" hidden="false" customHeight="false" outlineLevel="0" collapsed="false">
      <c r="A30" s="481"/>
      <c r="B30" s="481"/>
      <c r="C30" s="484" t="n">
        <f aca="false">SUM(C25:C29)</f>
        <v>5000</v>
      </c>
      <c r="D30" s="485" t="n">
        <f aca="false">SUM(D25:D29)</f>
        <v>1</v>
      </c>
      <c r="E30" s="481"/>
      <c r="F30" s="485" t="e">
        <f aca="false">SUM(F25:F29)</f>
        <v>#REF!</v>
      </c>
      <c r="G30" s="481"/>
      <c r="H30" s="481"/>
      <c r="I30" s="488" t="e">
        <f aca="false">SUM(I25:I29)</f>
        <v>#REF!</v>
      </c>
      <c r="J30" s="481"/>
      <c r="L30" s="480" t="n">
        <v>31</v>
      </c>
      <c r="M30" s="480" t="n">
        <v>0.5</v>
      </c>
      <c r="N30" s="480" t="n">
        <f aca="false">+M30*L30</f>
        <v>15.5</v>
      </c>
    </row>
    <row r="31" customFormat="false" ht="12.75" hidden="false" customHeight="false" outlineLevel="0" collapsed="false">
      <c r="A31" s="481"/>
      <c r="B31" s="481"/>
      <c r="C31" s="481"/>
      <c r="D31" s="481"/>
      <c r="E31" s="481"/>
      <c r="F31" s="481"/>
      <c r="G31" s="481"/>
      <c r="H31" s="492" t="s">
        <v>744</v>
      </c>
      <c r="I31" s="489" t="n">
        <v>0.1525</v>
      </c>
      <c r="J31" s="481"/>
      <c r="L31" s="480" t="n">
        <v>31</v>
      </c>
      <c r="M31" s="480" t="n">
        <v>0.5</v>
      </c>
      <c r="N31" s="480" t="n">
        <f aca="false">+M31*L31</f>
        <v>15.5</v>
      </c>
    </row>
    <row r="32" customFormat="false" ht="13.5" hidden="false" customHeight="false" outlineLevel="0" collapsed="false">
      <c r="A32" s="481"/>
      <c r="B32" s="481"/>
      <c r="C32" s="481"/>
      <c r="D32" s="481"/>
      <c r="E32" s="481"/>
      <c r="F32" s="481"/>
      <c r="G32" s="481"/>
      <c r="H32" s="490" t="s">
        <v>738</v>
      </c>
      <c r="I32" s="493" t="e">
        <f aca="false">+I31-I30</f>
        <v>#REF!</v>
      </c>
      <c r="J32" s="481"/>
      <c r="L32" s="480" t="n">
        <v>30</v>
      </c>
      <c r="M32" s="480" t="n">
        <v>0.5</v>
      </c>
      <c r="N32" s="480" t="n">
        <f aca="false">+M32*L32</f>
        <v>15</v>
      </c>
    </row>
    <row r="33" customFormat="false" ht="13.5" hidden="false" customHeight="false" outlineLevel="0" collapsed="false">
      <c r="A33" s="481"/>
      <c r="B33" s="481"/>
      <c r="C33" s="481"/>
      <c r="D33" s="481"/>
      <c r="E33" s="481"/>
      <c r="F33" s="481"/>
      <c r="G33" s="481"/>
      <c r="H33" s="481"/>
      <c r="I33" s="485"/>
      <c r="J33" s="481"/>
      <c r="L33" s="480" t="n">
        <f aca="false">SUM(L29:L32)</f>
        <v>122</v>
      </c>
      <c r="N33" s="480" t="n">
        <f aca="false">SUM(N29:N32)</f>
        <v>59.2</v>
      </c>
    </row>
    <row r="34" customFormat="false" ht="12.75" hidden="false" customHeight="false" outlineLevel="0" collapsed="false">
      <c r="A34" s="481"/>
      <c r="B34" s="490" t="s">
        <v>2</v>
      </c>
      <c r="C34" s="481"/>
      <c r="D34" s="481"/>
      <c r="E34" s="481"/>
      <c r="F34" s="481" t="s">
        <v>724</v>
      </c>
      <c r="G34" s="481"/>
      <c r="H34" s="481" t="s">
        <v>724</v>
      </c>
      <c r="I34" s="481"/>
      <c r="J34" s="481"/>
    </row>
    <row r="35" customFormat="false" ht="12.75" hidden="false" customHeight="false" outlineLevel="0" collapsed="false">
      <c r="A35" s="481"/>
      <c r="B35" s="482" t="s">
        <v>725</v>
      </c>
      <c r="C35" s="482" t="s">
        <v>726</v>
      </c>
      <c r="D35" s="482" t="s">
        <v>727</v>
      </c>
      <c r="E35" s="482" t="s">
        <v>728</v>
      </c>
      <c r="F35" s="482" t="s">
        <v>729</v>
      </c>
      <c r="G35" s="482" t="s">
        <v>730</v>
      </c>
      <c r="H35" s="482" t="s">
        <v>730</v>
      </c>
      <c r="I35" s="482" t="s">
        <v>731</v>
      </c>
      <c r="J35" s="481"/>
      <c r="L35" s="480" t="n">
        <f aca="false">+N33/L33</f>
        <v>0.485245901639344</v>
      </c>
    </row>
    <row r="36" customFormat="false" ht="12.75" hidden="false" customHeight="false" outlineLevel="0" collapsed="false">
      <c r="A36" s="481"/>
      <c r="B36" s="481" t="s">
        <v>745</v>
      </c>
      <c r="C36" s="484" t="n">
        <v>17</v>
      </c>
      <c r="D36" s="485" t="n">
        <f aca="false">+C36/C39</f>
        <v>0.17</v>
      </c>
      <c r="E36" s="485" t="n">
        <f aca="false">+Rates!B42</f>
        <v>0.296237617587993</v>
      </c>
      <c r="F36" s="485" t="n">
        <f aca="false">+D36*E36</f>
        <v>0.0503603949899589</v>
      </c>
      <c r="G36" s="485" t="n">
        <v>-0.04</v>
      </c>
      <c r="H36" s="485" t="n">
        <f aca="false">+G36*D36</f>
        <v>-0.0068</v>
      </c>
      <c r="I36" s="485" t="n">
        <f aca="false">+F36+H36</f>
        <v>0.0435603949899589</v>
      </c>
      <c r="J36" s="481"/>
    </row>
    <row r="37" customFormat="false" ht="12.75" hidden="false" customHeight="false" outlineLevel="0" collapsed="false">
      <c r="A37" s="481"/>
      <c r="B37" s="481" t="s">
        <v>746</v>
      </c>
      <c r="C37" s="484" t="n">
        <v>25</v>
      </c>
      <c r="D37" s="485" t="n">
        <f aca="false">+C37/C39</f>
        <v>0.25</v>
      </c>
      <c r="E37" s="485" t="n">
        <f aca="false">+Rates!B67</f>
        <v>0.279045661331087</v>
      </c>
      <c r="F37" s="485" t="n">
        <f aca="false">+D37*E37</f>
        <v>0.0697614153327717</v>
      </c>
      <c r="G37" s="485" t="n">
        <v>-0.01</v>
      </c>
      <c r="H37" s="485" t="n">
        <f aca="false">+G37*D37</f>
        <v>-0.0025</v>
      </c>
      <c r="I37" s="485" t="n">
        <f aca="false">+F37+H37</f>
        <v>0.0672614153327717</v>
      </c>
      <c r="J37" s="481"/>
    </row>
    <row r="38" customFormat="false" ht="12.75" hidden="false" customHeight="false" outlineLevel="0" collapsed="false">
      <c r="A38" s="481"/>
      <c r="B38" s="481" t="s">
        <v>747</v>
      </c>
      <c r="C38" s="486" t="n">
        <v>58</v>
      </c>
      <c r="D38" s="487" t="n">
        <f aca="false">+C38/C39</f>
        <v>0.58</v>
      </c>
      <c r="E38" s="485" t="n">
        <f aca="false">+Rates!B87</f>
        <v>0.258602956594674</v>
      </c>
      <c r="F38" s="487" t="n">
        <f aca="false">+D38*E38</f>
        <v>0.149989714824911</v>
      </c>
      <c r="G38" s="485" t="n">
        <v>0.035</v>
      </c>
      <c r="H38" s="485" t="n">
        <f aca="false">+G38*D38</f>
        <v>0.0203</v>
      </c>
      <c r="I38" s="485" t="n">
        <f aca="false">+F38+H38</f>
        <v>0.170289714824911</v>
      </c>
      <c r="J38" s="481"/>
    </row>
    <row r="39" customFormat="false" ht="12.75" hidden="false" customHeight="false" outlineLevel="0" collapsed="false">
      <c r="A39" s="481"/>
      <c r="B39" s="481"/>
      <c r="C39" s="484" t="n">
        <f aca="false">SUM(C36:C38)</f>
        <v>100</v>
      </c>
      <c r="D39" s="485" t="n">
        <f aca="false">SUM(D36:D38)</f>
        <v>1</v>
      </c>
      <c r="E39" s="481"/>
      <c r="F39" s="485" t="n">
        <f aca="false">SUM(F36:F38)</f>
        <v>0.270111525147642</v>
      </c>
      <c r="G39" s="481"/>
      <c r="H39" s="485" t="n">
        <f aca="false">SUM(H36:H38)</f>
        <v>0.011</v>
      </c>
      <c r="I39" s="488" t="n">
        <f aca="false">SUM(I36:I38)</f>
        <v>0.281111525147642</v>
      </c>
      <c r="J39" s="481"/>
    </row>
    <row r="40" customFormat="false" ht="12.75" hidden="false" customHeight="false" outlineLevel="0" collapsed="false">
      <c r="A40" s="481"/>
      <c r="B40" s="481"/>
      <c r="C40" s="481"/>
      <c r="D40" s="481"/>
      <c r="E40" s="481"/>
      <c r="F40" s="481"/>
      <c r="G40" s="481"/>
      <c r="H40" s="481" t="s">
        <v>748</v>
      </c>
      <c r="I40" s="489" t="n">
        <v>0.44</v>
      </c>
      <c r="J40" s="481"/>
    </row>
    <row r="41" customFormat="false" ht="13.5" hidden="false" customHeight="false" outlineLevel="0" collapsed="false">
      <c r="A41" s="481"/>
      <c r="B41" s="481"/>
      <c r="C41" s="481"/>
      <c r="D41" s="481"/>
      <c r="E41" s="481"/>
      <c r="F41" s="481"/>
      <c r="G41" s="481"/>
      <c r="H41" s="490" t="s">
        <v>738</v>
      </c>
      <c r="I41" s="491" t="n">
        <f aca="false">+I40-I39</f>
        <v>0.158888474852358</v>
      </c>
      <c r="J41" s="481"/>
      <c r="K41" s="494"/>
    </row>
    <row r="42" customFormat="false" ht="13.5" hidden="false" customHeight="false" outlineLevel="0" collapsed="false">
      <c r="A42" s="481"/>
      <c r="B42" s="481"/>
      <c r="C42" s="481"/>
      <c r="D42" s="481"/>
      <c r="E42" s="481"/>
      <c r="F42" s="481"/>
      <c r="G42" s="481"/>
      <c r="H42" s="481"/>
      <c r="I42" s="481"/>
      <c r="J42" s="481"/>
      <c r="K42" s="494"/>
    </row>
    <row r="43" customFormat="false" ht="12.75" hidden="false" customHeight="false" outlineLevel="0" collapsed="false">
      <c r="A43" s="481"/>
      <c r="B43" s="481"/>
      <c r="C43" s="481"/>
      <c r="D43" s="481"/>
      <c r="E43" s="481"/>
      <c r="F43" s="481"/>
      <c r="G43" s="481"/>
      <c r="H43" s="481"/>
      <c r="I43" s="481"/>
      <c r="J43" s="481"/>
      <c r="K43" s="495"/>
    </row>
    <row r="44" customFormat="false" ht="12.75" hidden="false" customHeight="false" outlineLevel="0" collapsed="false">
      <c r="A44" s="481"/>
      <c r="B44" s="490" t="s">
        <v>49</v>
      </c>
      <c r="C44" s="481" t="s">
        <v>151</v>
      </c>
      <c r="D44" s="481" t="s">
        <v>384</v>
      </c>
      <c r="E44" s="481" t="s">
        <v>322</v>
      </c>
      <c r="F44" s="481" t="s">
        <v>749</v>
      </c>
      <c r="G44" s="481" t="s">
        <v>750</v>
      </c>
      <c r="H44" s="481" t="s">
        <v>751</v>
      </c>
      <c r="I44" s="490" t="s">
        <v>738</v>
      </c>
      <c r="J44" s="481"/>
    </row>
    <row r="45" customFormat="false" ht="12.75" hidden="false" customHeight="false" outlineLevel="0" collapsed="false">
      <c r="A45" s="481"/>
      <c r="B45" s="481" t="s">
        <v>752</v>
      </c>
      <c r="C45" s="489" t="e">
        <f aca="false">+#REF!</f>
        <v>#REF!</v>
      </c>
      <c r="D45" s="489" t="e">
        <f aca="false">+#REF!</f>
        <v>#REF!</v>
      </c>
      <c r="E45" s="489" t="e">
        <f aca="false">+D45+C45</f>
        <v>#REF!</v>
      </c>
      <c r="F45" s="489" t="n">
        <v>0</v>
      </c>
      <c r="G45" s="489" t="n">
        <v>-0.0225</v>
      </c>
      <c r="H45" s="489" t="n">
        <v>0.1325</v>
      </c>
      <c r="I45" s="489" t="e">
        <f aca="false">+H45-G45-F45-E45</f>
        <v>#REF!</v>
      </c>
      <c r="J45" s="481"/>
    </row>
    <row r="46" customFormat="false" ht="12.75" hidden="false" customHeight="false" outlineLevel="0" collapsed="false">
      <c r="A46" s="481"/>
      <c r="B46" s="481" t="s">
        <v>753</v>
      </c>
      <c r="C46" s="489" t="e">
        <f aca="false">+#REF!</f>
        <v>#REF!</v>
      </c>
      <c r="D46" s="489" t="e">
        <f aca="false">+#REF!</f>
        <v>#REF!</v>
      </c>
      <c r="E46" s="489" t="e">
        <f aca="false">+D46+C46</f>
        <v>#REF!</v>
      </c>
      <c r="F46" s="489" t="n">
        <v>0</v>
      </c>
      <c r="G46" s="489" t="n">
        <v>-0.0225</v>
      </c>
      <c r="H46" s="489" t="n">
        <v>0.1325</v>
      </c>
      <c r="I46" s="496" t="e">
        <f aca="false">+H46-G46-F46-E46</f>
        <v>#REF!</v>
      </c>
      <c r="J46" s="481"/>
    </row>
    <row r="47" customFormat="false" ht="12.75" hidden="false" customHeight="false" outlineLevel="0" collapsed="false">
      <c r="A47" s="481"/>
      <c r="B47" s="481"/>
      <c r="C47" s="481"/>
      <c r="D47" s="481"/>
      <c r="E47" s="481"/>
      <c r="F47" s="481"/>
      <c r="G47" s="481"/>
      <c r="H47" s="481"/>
      <c r="I47" s="481"/>
      <c r="J47" s="481"/>
    </row>
    <row r="48" customFormat="false" ht="12.75" hidden="false" customHeight="false" outlineLevel="0" collapsed="false">
      <c r="A48" s="481"/>
      <c r="B48" s="481"/>
      <c r="C48" s="481"/>
      <c r="D48" s="481"/>
      <c r="E48" s="481"/>
      <c r="F48" s="481"/>
      <c r="G48" s="481"/>
      <c r="H48" s="481"/>
      <c r="I48" s="481"/>
      <c r="J48" s="481"/>
    </row>
    <row r="49" customFormat="false" ht="12.75" hidden="false" customHeight="false" outlineLevel="0" collapsed="false">
      <c r="A49" s="481"/>
      <c r="B49" s="490" t="s">
        <v>471</v>
      </c>
      <c r="C49" s="481" t="s">
        <v>754</v>
      </c>
      <c r="D49" s="481" t="s">
        <v>755</v>
      </c>
      <c r="E49" s="481" t="s">
        <v>749</v>
      </c>
      <c r="F49" s="481" t="s">
        <v>756</v>
      </c>
      <c r="H49" s="481"/>
      <c r="I49" s="490" t="s">
        <v>738</v>
      </c>
      <c r="J49" s="481"/>
    </row>
    <row r="50" customFormat="false" ht="12.75" hidden="false" customHeight="false" outlineLevel="0" collapsed="false">
      <c r="A50" s="481"/>
      <c r="B50" s="481" t="s">
        <v>757</v>
      </c>
      <c r="C50" s="489" t="e">
        <f aca="false">+#REF!</f>
        <v>#REF!</v>
      </c>
      <c r="D50" s="497" t="n">
        <v>-0.0725</v>
      </c>
      <c r="E50" s="489" t="n">
        <v>0</v>
      </c>
      <c r="F50" s="489" t="n">
        <v>0.2175</v>
      </c>
      <c r="H50" s="481"/>
      <c r="I50" s="496" t="e">
        <f aca="false">+F50-D50-E50-C50</f>
        <v>#REF!</v>
      </c>
      <c r="J50" s="481"/>
    </row>
    <row r="51" customFormat="false" ht="12.75" hidden="false" customHeight="false" outlineLevel="0" collapsed="false">
      <c r="A51" s="481"/>
      <c r="B51" s="481" t="s">
        <v>758</v>
      </c>
      <c r="C51" s="489" t="e">
        <f aca="false">+#REF!</f>
        <v>#REF!</v>
      </c>
      <c r="D51" s="497" t="n">
        <v>-0.06</v>
      </c>
      <c r="E51" s="489" t="n">
        <v>0</v>
      </c>
      <c r="F51" s="489" t="n">
        <v>0.2175</v>
      </c>
      <c r="H51" s="481"/>
      <c r="I51" s="496" t="e">
        <f aca="false">+F51-D51-E51-C51</f>
        <v>#REF!</v>
      </c>
      <c r="J51" s="481"/>
    </row>
    <row r="52" customFormat="false" ht="12.75" hidden="false" customHeight="false" outlineLevel="0" collapsed="false">
      <c r="A52" s="481"/>
      <c r="B52" s="481"/>
      <c r="C52" s="489"/>
      <c r="D52" s="497"/>
      <c r="E52" s="489"/>
      <c r="F52" s="489"/>
      <c r="H52" s="481"/>
      <c r="I52" s="496"/>
      <c r="J52" s="481"/>
    </row>
    <row r="53" customFormat="false" ht="12.75" hidden="false" customHeight="false" outlineLevel="0" collapsed="false">
      <c r="A53" s="481"/>
      <c r="B53" s="481"/>
      <c r="C53" s="489"/>
      <c r="D53" s="497"/>
      <c r="E53" s="489"/>
      <c r="F53" s="489"/>
      <c r="H53" s="481"/>
      <c r="I53" s="496"/>
      <c r="J53" s="481"/>
    </row>
    <row r="54" customFormat="false" ht="12.75" hidden="false" customHeight="false" outlineLevel="0" collapsed="false">
      <c r="A54" s="481"/>
      <c r="B54" s="481"/>
      <c r="C54" s="489"/>
      <c r="D54" s="497"/>
      <c r="E54" s="489"/>
      <c r="F54" s="489"/>
      <c r="H54" s="481"/>
      <c r="I54" s="496"/>
      <c r="J54" s="481"/>
    </row>
    <row r="55" customFormat="false" ht="12.75" hidden="false" customHeight="false" outlineLevel="0" collapsed="false">
      <c r="A55" s="481"/>
      <c r="B55" s="481" t="s">
        <v>759</v>
      </c>
      <c r="C55" s="489" t="e">
        <f aca="false">+#REF!</f>
        <v>#REF!</v>
      </c>
      <c r="D55" s="497" t="n">
        <v>-0.0725</v>
      </c>
      <c r="E55" s="489" t="n">
        <v>0</v>
      </c>
      <c r="F55" s="489" t="n">
        <v>0.2525</v>
      </c>
      <c r="H55" s="481"/>
      <c r="I55" s="496" t="e">
        <f aca="false">+F55-D55-E55-C55</f>
        <v>#REF!</v>
      </c>
      <c r="J55" s="481"/>
    </row>
    <row r="56" customFormat="false" ht="12.75" hidden="false" customHeight="false" outlineLevel="0" collapsed="false">
      <c r="A56" s="481"/>
      <c r="B56" s="481" t="s">
        <v>760</v>
      </c>
      <c r="C56" s="489" t="e">
        <f aca="false">+#REF!</f>
        <v>#REF!</v>
      </c>
      <c r="D56" s="497" t="n">
        <v>-0.06</v>
      </c>
      <c r="E56" s="489" t="n">
        <v>0</v>
      </c>
      <c r="F56" s="489" t="n">
        <v>0.2525</v>
      </c>
      <c r="H56" s="481"/>
      <c r="I56" s="496" t="e">
        <f aca="false">+F56-D56-E56-C56</f>
        <v>#REF!</v>
      </c>
      <c r="J56" s="481"/>
    </row>
    <row r="57" customFormat="false" ht="12.75" hidden="false" customHeight="false" outlineLevel="0" collapsed="false">
      <c r="A57" s="481" t="s">
        <v>761</v>
      </c>
      <c r="B57" s="481" t="s">
        <v>760</v>
      </c>
      <c r="C57" s="489" t="e">
        <f aca="false">+#REF!</f>
        <v>#REF!</v>
      </c>
      <c r="D57" s="497" t="n">
        <v>-0.05</v>
      </c>
      <c r="E57" s="489" t="n">
        <v>0.021</v>
      </c>
      <c r="F57" s="489" t="n">
        <v>0</v>
      </c>
      <c r="H57" s="481"/>
      <c r="I57" s="496" t="e">
        <f aca="false">+F57-D57-E57-C57</f>
        <v>#REF!</v>
      </c>
      <c r="J57" s="481"/>
    </row>
    <row r="58" customFormat="false" ht="12.75" hidden="false" customHeight="false" outlineLevel="0" collapsed="false">
      <c r="A58" s="481"/>
      <c r="B58" s="481"/>
      <c r="C58" s="481"/>
      <c r="D58" s="481"/>
      <c r="E58" s="481"/>
      <c r="F58" s="481"/>
      <c r="G58" s="481"/>
      <c r="H58" s="481"/>
      <c r="I58" s="481"/>
      <c r="J58" s="481"/>
    </row>
    <row r="59" customFormat="false" ht="12.75" hidden="false" customHeight="false" outlineLevel="0" collapsed="false">
      <c r="A59" s="481"/>
      <c r="B59" s="481"/>
      <c r="C59" s="481"/>
      <c r="D59" s="481"/>
      <c r="E59" s="481"/>
      <c r="F59" s="481"/>
      <c r="G59" s="481"/>
      <c r="H59" s="481"/>
      <c r="I59" s="481"/>
      <c r="J59" s="481"/>
    </row>
    <row r="60" customFormat="false" ht="12.75" hidden="false" customHeight="false" outlineLevel="0" collapsed="false">
      <c r="A60" s="481"/>
      <c r="B60" s="481"/>
      <c r="C60" s="481"/>
      <c r="D60" s="481"/>
      <c r="E60" s="481"/>
      <c r="F60" s="481"/>
      <c r="G60" s="481"/>
      <c r="H60" s="481"/>
      <c r="I60" s="481"/>
      <c r="J60" s="481"/>
    </row>
    <row r="61" customFormat="false" ht="12.75" hidden="false" customHeight="false" outlineLevel="0" collapsed="false">
      <c r="A61" s="481"/>
      <c r="B61" s="490" t="s">
        <v>471</v>
      </c>
      <c r="C61" s="481" t="s">
        <v>754</v>
      </c>
      <c r="D61" s="481" t="s">
        <v>755</v>
      </c>
      <c r="E61" s="481" t="s">
        <v>749</v>
      </c>
      <c r="F61" s="481" t="s">
        <v>756</v>
      </c>
      <c r="H61" s="481"/>
      <c r="I61" s="490" t="s">
        <v>738</v>
      </c>
      <c r="J61" s="481"/>
    </row>
    <row r="62" customFormat="false" ht="12.75" hidden="false" customHeight="false" outlineLevel="0" collapsed="false">
      <c r="A62" s="481"/>
      <c r="B62" s="481" t="s">
        <v>757</v>
      </c>
      <c r="C62" s="489" t="n">
        <f aca="false">+Rates!H32</f>
        <v>0.313096040438079</v>
      </c>
      <c r="D62" s="497" t="n">
        <v>-0.0725</v>
      </c>
      <c r="E62" s="489" t="n">
        <v>0</v>
      </c>
      <c r="F62" s="489" t="n">
        <v>0.2175</v>
      </c>
      <c r="H62" s="481"/>
      <c r="I62" s="496" t="n">
        <f aca="false">+F62-D62-E62-C62</f>
        <v>-0.0230960404380788</v>
      </c>
      <c r="J62" s="481"/>
    </row>
    <row r="63" customFormat="false" ht="12.75" hidden="false" customHeight="false" outlineLevel="0" collapsed="false">
      <c r="A63" s="481"/>
      <c r="B63" s="481" t="s">
        <v>758</v>
      </c>
      <c r="C63" s="489" t="n">
        <f aca="false">+Rates!H67</f>
        <v>0.272029213248355</v>
      </c>
      <c r="D63" s="497" t="n">
        <v>-0.06</v>
      </c>
      <c r="E63" s="489" t="n">
        <v>0</v>
      </c>
      <c r="F63" s="489" t="n">
        <v>0.2175</v>
      </c>
      <c r="H63" s="481"/>
      <c r="I63" s="496" t="n">
        <f aca="false">+F63-D63-E63-C63</f>
        <v>0.00547078675164503</v>
      </c>
      <c r="J63" s="481"/>
    </row>
    <row r="64" customFormat="false" ht="12.75" hidden="false" customHeight="false" outlineLevel="0" collapsed="false">
      <c r="A64" s="481"/>
      <c r="B64" s="481" t="s">
        <v>759</v>
      </c>
      <c r="C64" s="489" t="n">
        <f aca="false">+Rates!H37</f>
        <v>0.368208067940552</v>
      </c>
      <c r="D64" s="497" t="n">
        <v>-0.0725</v>
      </c>
      <c r="E64" s="489" t="n">
        <v>0</v>
      </c>
      <c r="F64" s="489" t="n">
        <v>0.2525</v>
      </c>
      <c r="H64" s="481"/>
      <c r="I64" s="496" t="n">
        <f aca="false">+F64-D64-E64-C64</f>
        <v>-0.0432080679405524</v>
      </c>
      <c r="J64" s="481"/>
    </row>
    <row r="65" customFormat="false" ht="12.75" hidden="false" customHeight="false" outlineLevel="0" collapsed="false">
      <c r="A65" s="481"/>
      <c r="B65" s="481" t="s">
        <v>760</v>
      </c>
      <c r="C65" s="489" t="n">
        <f aca="false">+Rates!H72</f>
        <v>0.327518053507478</v>
      </c>
      <c r="D65" s="497" t="n">
        <v>-0.06</v>
      </c>
      <c r="E65" s="489" t="n">
        <v>0</v>
      </c>
      <c r="F65" s="489" t="n">
        <v>0.2525</v>
      </c>
      <c r="H65" s="481"/>
      <c r="I65" s="496" t="n">
        <f aca="false">+F65-D65-E65-C65</f>
        <v>-0.0150180535074782</v>
      </c>
      <c r="J65" s="481"/>
    </row>
    <row r="66" customFormat="false" ht="12.75" hidden="false" customHeight="false" outlineLevel="0" collapsed="false">
      <c r="A66" s="481"/>
      <c r="B66" s="481"/>
      <c r="C66" s="481"/>
      <c r="D66" s="481"/>
      <c r="E66" s="481"/>
      <c r="F66" s="481"/>
      <c r="G66" s="481"/>
      <c r="H66" s="481"/>
      <c r="I66" s="481"/>
      <c r="J66" s="481"/>
    </row>
    <row r="67" customFormat="false" ht="12.75" hidden="false" customHeight="false" outlineLevel="0" collapsed="false">
      <c r="A67" s="481"/>
      <c r="B67" s="481"/>
      <c r="C67" s="481"/>
      <c r="D67" s="481"/>
      <c r="E67" s="481"/>
      <c r="F67" s="481"/>
      <c r="G67" s="481"/>
      <c r="H67" s="481"/>
      <c r="I67" s="481"/>
      <c r="J67" s="481"/>
    </row>
    <row r="68" customFormat="false" ht="12.75" hidden="false" customHeight="false" outlineLevel="0" collapsed="false">
      <c r="A68" s="481"/>
      <c r="B68" s="481"/>
      <c r="C68" s="481"/>
      <c r="D68" s="481"/>
      <c r="E68" s="481"/>
      <c r="F68" s="481"/>
      <c r="G68" s="481"/>
      <c r="H68" s="481"/>
      <c r="I68" s="481"/>
      <c r="J68" s="481"/>
    </row>
    <row r="69" customFormat="false" ht="12.75" hidden="false" customHeight="false" outlineLevel="0" collapsed="false">
      <c r="A69" s="481"/>
      <c r="B69" s="481"/>
      <c r="C69" s="481"/>
      <c r="D69" s="481"/>
      <c r="E69" s="481"/>
      <c r="F69" s="481"/>
      <c r="G69" s="481"/>
      <c r="H69" s="481"/>
      <c r="I69" s="481"/>
      <c r="J69" s="481"/>
    </row>
    <row r="70" customFormat="false" ht="12.75" hidden="false" customHeight="false" outlineLevel="0" collapsed="false">
      <c r="A70" s="481"/>
      <c r="B70" s="481"/>
      <c r="C70" s="481"/>
      <c r="D70" s="481"/>
      <c r="E70" s="481"/>
      <c r="F70" s="481"/>
      <c r="G70" s="481"/>
      <c r="H70" s="481"/>
      <c r="I70" s="481"/>
      <c r="J70" s="481"/>
    </row>
    <row r="71" customFormat="false" ht="12.75" hidden="false" customHeight="false" outlineLevel="0" collapsed="false">
      <c r="A71" s="481"/>
      <c r="B71" s="481" t="s">
        <v>762</v>
      </c>
      <c r="C71" s="481"/>
      <c r="D71" s="481"/>
      <c r="E71" s="481"/>
      <c r="F71" s="481"/>
      <c r="G71" s="481"/>
      <c r="H71" s="481"/>
      <c r="I71" s="481"/>
      <c r="J71" s="481"/>
    </row>
    <row r="72" customFormat="false" ht="12.75" hidden="false" customHeight="false" outlineLevel="0" collapsed="false">
      <c r="A72" s="481"/>
      <c r="B72" s="481"/>
      <c r="C72" s="481"/>
      <c r="D72" s="481"/>
      <c r="E72" s="481"/>
      <c r="F72" s="481" t="s">
        <v>724</v>
      </c>
      <c r="G72" s="481"/>
      <c r="H72" s="481" t="s">
        <v>724</v>
      </c>
      <c r="I72" s="481"/>
      <c r="J72" s="481"/>
    </row>
    <row r="73" customFormat="false" ht="12.75" hidden="false" customHeight="false" outlineLevel="0" collapsed="false">
      <c r="A73" s="481"/>
      <c r="B73" s="482" t="s">
        <v>725</v>
      </c>
      <c r="C73" s="482" t="s">
        <v>726</v>
      </c>
      <c r="D73" s="482" t="s">
        <v>727</v>
      </c>
      <c r="E73" s="482" t="s">
        <v>728</v>
      </c>
      <c r="F73" s="482" t="s">
        <v>729</v>
      </c>
      <c r="G73" s="482" t="s">
        <v>730</v>
      </c>
      <c r="H73" s="482" t="s">
        <v>730</v>
      </c>
      <c r="I73" s="482" t="s">
        <v>731</v>
      </c>
      <c r="J73" s="481"/>
    </row>
    <row r="74" customFormat="false" ht="12.75" hidden="false" customHeight="false" outlineLevel="0" collapsed="false">
      <c r="A74" s="481"/>
      <c r="B74" s="483" t="s">
        <v>763</v>
      </c>
      <c r="C74" s="484" t="n">
        <v>5000</v>
      </c>
      <c r="D74" s="485" t="n">
        <f aca="false">+C74/C74</f>
        <v>1</v>
      </c>
      <c r="E74" s="485" t="n">
        <f aca="false">+Rates!AL17</f>
        <v>0.0957448979591835</v>
      </c>
      <c r="F74" s="485" t="n">
        <f aca="false">+D74*E74</f>
        <v>0.0957448979591835</v>
      </c>
      <c r="G74" s="485"/>
      <c r="H74" s="485"/>
      <c r="I74" s="485" t="n">
        <f aca="false">+F74</f>
        <v>0.0957448979591835</v>
      </c>
      <c r="J74" s="481"/>
    </row>
    <row r="75" customFormat="false" ht="12.75" hidden="false" customHeight="false" outlineLevel="0" collapsed="false">
      <c r="A75" s="481"/>
      <c r="B75" s="483" t="s">
        <v>764</v>
      </c>
      <c r="C75" s="484" t="s">
        <v>9</v>
      </c>
      <c r="D75" s="485" t="s">
        <v>9</v>
      </c>
      <c r="E75" s="485" t="n">
        <f aca="false">+Rates!B122</f>
        <v>0.0627928457238321</v>
      </c>
      <c r="F75" s="485" t="s">
        <v>265</v>
      </c>
      <c r="G75" s="485" t="s">
        <v>9</v>
      </c>
      <c r="H75" s="485" t="s">
        <v>9</v>
      </c>
      <c r="I75" s="485" t="n">
        <f aca="false">+E75</f>
        <v>0.0627928457238321</v>
      </c>
      <c r="J75" s="481"/>
    </row>
    <row r="76" customFormat="false" ht="12.75" hidden="false" customHeight="false" outlineLevel="0" collapsed="false">
      <c r="A76" s="481"/>
      <c r="B76" s="481"/>
      <c r="C76" s="481"/>
      <c r="D76" s="481"/>
      <c r="E76" s="481"/>
      <c r="F76" s="481"/>
      <c r="G76" s="481"/>
      <c r="H76" s="492" t="s">
        <v>765</v>
      </c>
      <c r="I76" s="488" t="n">
        <f aca="false">+I74+I75</f>
        <v>0.158537743683016</v>
      </c>
      <c r="J76" s="481"/>
    </row>
    <row r="77" customFormat="false" ht="12.75" hidden="false" customHeight="false" outlineLevel="0" collapsed="false">
      <c r="A77" s="481"/>
      <c r="B77" s="481"/>
      <c r="C77" s="481"/>
      <c r="D77" s="481"/>
      <c r="E77" s="481"/>
      <c r="F77" s="481"/>
      <c r="G77" s="481"/>
      <c r="H77" s="481" t="s">
        <v>766</v>
      </c>
      <c r="I77" s="481" t="n">
        <v>0.23</v>
      </c>
      <c r="J77" s="481"/>
    </row>
    <row r="78" customFormat="false" ht="12.75" hidden="false" customHeight="false" outlineLevel="0" collapsed="false">
      <c r="A78" s="481"/>
      <c r="B78" s="483"/>
      <c r="C78" s="484"/>
      <c r="D78" s="485"/>
      <c r="E78" s="485"/>
      <c r="F78" s="485"/>
      <c r="G78" s="485"/>
      <c r="H78" s="485" t="s">
        <v>767</v>
      </c>
      <c r="I78" s="485" t="n">
        <v>0.44</v>
      </c>
      <c r="J78" s="481"/>
    </row>
    <row r="79" customFormat="false" ht="12.75" hidden="false" customHeight="false" outlineLevel="0" collapsed="false">
      <c r="A79" s="481"/>
      <c r="B79" s="481"/>
      <c r="C79" s="481"/>
      <c r="D79" s="481"/>
      <c r="E79" s="481"/>
      <c r="F79" s="481"/>
      <c r="G79" s="481"/>
      <c r="H79" s="481" t="s">
        <v>738</v>
      </c>
      <c r="I79" s="498" t="n">
        <f aca="false">+I78-I77-I76</f>
        <v>0.0514622563169844</v>
      </c>
      <c r="J79" s="481"/>
    </row>
    <row r="80" customFormat="false" ht="12.75" hidden="false" customHeight="false" outlineLevel="0" collapsed="false">
      <c r="A80" s="481"/>
      <c r="B80" s="481"/>
      <c r="C80" s="481"/>
      <c r="D80" s="481"/>
      <c r="E80" s="481"/>
      <c r="F80" s="481"/>
      <c r="G80" s="481"/>
      <c r="H80" s="481"/>
      <c r="I80" s="481"/>
      <c r="J80" s="481"/>
    </row>
    <row r="81" customFormat="false" ht="12.75" hidden="false" customHeight="false" outlineLevel="0" collapsed="false">
      <c r="A81" s="481"/>
      <c r="B81" s="481"/>
      <c r="C81" s="481"/>
      <c r="D81" s="481"/>
      <c r="E81" s="481"/>
      <c r="F81" s="481"/>
      <c r="G81" s="481"/>
      <c r="H81" s="481"/>
      <c r="I81" s="481"/>
      <c r="J81" s="481"/>
    </row>
    <row r="83" customFormat="false" ht="12.75" hidden="false" customHeight="false" outlineLevel="0" collapsed="false">
      <c r="B83" s="0" t="s">
        <v>768</v>
      </c>
    </row>
    <row r="84" customFormat="false" ht="12.75" hidden="false" customHeight="false" outlineLevel="0" collapsed="false">
      <c r="B84" s="0" t="s">
        <v>769</v>
      </c>
      <c r="C84" s="0" t="n">
        <v>4.22</v>
      </c>
    </row>
    <row r="85" customFormat="false" ht="12.75" hidden="false" customHeight="false" outlineLevel="0" collapsed="false">
      <c r="B85" s="0" t="s">
        <v>770</v>
      </c>
      <c r="C85" s="0" t="n">
        <v>4.29</v>
      </c>
    </row>
    <row r="86" customFormat="false" ht="12.75" hidden="false" customHeight="false" outlineLevel="0" collapsed="false">
      <c r="B86" s="0" t="s">
        <v>771</v>
      </c>
      <c r="C86" s="0" t="n">
        <v>4.375</v>
      </c>
    </row>
    <row r="87" customFormat="false" ht="12.75" hidden="false" customHeight="false" outlineLevel="0" collapsed="false">
      <c r="B87" s="0" t="s">
        <v>772</v>
      </c>
      <c r="C87" s="0" t="n">
        <v>4.39</v>
      </c>
    </row>
    <row r="88" customFormat="false" ht="12.75" hidden="false" customHeight="false" outlineLevel="0" collapsed="false">
      <c r="C88" s="0" t="n">
        <f aca="false">SUM(C84:C87)</f>
        <v>17.275</v>
      </c>
    </row>
    <row r="89" customFormat="false" ht="12.75" hidden="false" customHeight="false" outlineLevel="0" collapsed="false">
      <c r="B89" s="0" t="s">
        <v>773</v>
      </c>
      <c r="C89" s="0" t="n">
        <f aca="false">+C88/4</f>
        <v>4.31875</v>
      </c>
    </row>
    <row r="100" customFormat="false" ht="12.75" hidden="false" customHeight="false" outlineLevel="0" collapsed="false">
      <c r="M100" s="480" t="s">
        <v>774</v>
      </c>
      <c r="N100" s="480" t="s">
        <v>775</v>
      </c>
    </row>
    <row r="101" customFormat="false" ht="12.75" hidden="false" customHeight="false" outlineLevel="0" collapsed="false">
      <c r="B101" s="490" t="s">
        <v>471</v>
      </c>
      <c r="C101" s="482" t="s">
        <v>726</v>
      </c>
      <c r="D101" s="482" t="s">
        <v>727</v>
      </c>
      <c r="E101" s="481" t="s">
        <v>754</v>
      </c>
      <c r="F101" s="481" t="s">
        <v>755</v>
      </c>
      <c r="G101" s="481" t="s">
        <v>776</v>
      </c>
      <c r="H101" s="481" t="s">
        <v>777</v>
      </c>
      <c r="I101" s="481" t="s">
        <v>756</v>
      </c>
      <c r="J101" s="481"/>
      <c r="K101" s="490" t="s">
        <v>738</v>
      </c>
      <c r="L101" s="480" t="s">
        <v>778</v>
      </c>
      <c r="M101" s="480" t="s">
        <v>779</v>
      </c>
      <c r="N101" s="480" t="s">
        <v>780</v>
      </c>
    </row>
    <row r="102" customFormat="false" ht="12.75" hidden="false" customHeight="false" outlineLevel="0" collapsed="false">
      <c r="B102" s="481" t="s">
        <v>757</v>
      </c>
      <c r="C102" s="484" t="n">
        <v>1163</v>
      </c>
      <c r="D102" s="485" t="n">
        <f aca="false">+C102/C105</f>
        <v>0.358397534668721</v>
      </c>
      <c r="E102" s="489" t="e">
        <f aca="false">+#REF!</f>
        <v>#REF!</v>
      </c>
      <c r="F102" s="497" t="n">
        <v>-0.0725</v>
      </c>
      <c r="G102" s="499" t="e">
        <f aca="false">+D102*E102</f>
        <v>#REF!</v>
      </c>
      <c r="H102" s="489" t="n">
        <f aca="false">+F102*D102</f>
        <v>-0.0259838212634823</v>
      </c>
      <c r="I102" s="489" t="n">
        <v>0.2175</v>
      </c>
      <c r="J102" s="481"/>
      <c r="K102" s="500" t="e">
        <f aca="false">(+G102*H102)</f>
        <v>#REF!</v>
      </c>
      <c r="L102" s="480" t="n">
        <f aca="false">+I102-F102</f>
        <v>0.29</v>
      </c>
      <c r="M102" s="480" t="e">
        <f aca="false">+L102-E102</f>
        <v>#REF!</v>
      </c>
      <c r="N102" s="480" t="e">
        <f aca="false">+M102*5</f>
        <v>#REF!</v>
      </c>
      <c r="O102" s="0" t="e">
        <f aca="false">+N102*D102</f>
        <v>#REF!</v>
      </c>
    </row>
    <row r="103" customFormat="false" ht="12.75" hidden="false" customHeight="false" outlineLevel="0" collapsed="false">
      <c r="B103" s="481" t="s">
        <v>758</v>
      </c>
      <c r="C103" s="484" t="n">
        <v>2082</v>
      </c>
      <c r="D103" s="485" t="n">
        <f aca="false">+C103/C105</f>
        <v>0.641602465331279</v>
      </c>
      <c r="E103" s="489" t="e">
        <f aca="false">+#REF!</f>
        <v>#REF!</v>
      </c>
      <c r="F103" s="497" t="n">
        <v>-0.06</v>
      </c>
      <c r="G103" s="499" t="e">
        <f aca="false">+D103*E103</f>
        <v>#REF!</v>
      </c>
      <c r="H103" s="489" t="n">
        <f aca="false">+F103*D103</f>
        <v>-0.0384961479198767</v>
      </c>
      <c r="I103" s="489" t="n">
        <v>0.2175</v>
      </c>
      <c r="J103" s="481"/>
      <c r="K103" s="500" t="e">
        <f aca="false">(+G103*H103)</f>
        <v>#REF!</v>
      </c>
      <c r="L103" s="480" t="n">
        <f aca="false">+I103-F103</f>
        <v>0.2775</v>
      </c>
      <c r="M103" s="480" t="e">
        <f aca="false">+L103-E103</f>
        <v>#REF!</v>
      </c>
      <c r="N103" s="480" t="e">
        <f aca="false">+M103*5</f>
        <v>#REF!</v>
      </c>
      <c r="O103" s="0" t="e">
        <f aca="false">+N103*D103</f>
        <v>#REF!</v>
      </c>
    </row>
    <row r="104" customFormat="false" ht="12.75" hidden="false" customHeight="false" outlineLevel="0" collapsed="false">
      <c r="C104" s="486" t="n">
        <v>0</v>
      </c>
      <c r="D104" s="487" t="n">
        <f aca="false">+C104/C105</f>
        <v>0</v>
      </c>
      <c r="O104" s="0" t="e">
        <f aca="false">SUM(O102:O103)</f>
        <v>#REF!</v>
      </c>
    </row>
    <row r="105" customFormat="false" ht="12.75" hidden="false" customHeight="false" outlineLevel="0" collapsed="false">
      <c r="C105" s="484" t="n">
        <f aca="false">SUM(C102:C104)</f>
        <v>3245</v>
      </c>
      <c r="D105" s="485" t="n">
        <f aca="false">SUM(D102:D104)</f>
        <v>1</v>
      </c>
    </row>
    <row r="106" customFormat="false" ht="12.75" hidden="false" customHeight="false" outlineLevel="0" collapsed="false">
      <c r="C106" s="495" t="n">
        <f aca="false">+C102*F102</f>
        <v>-84.3175</v>
      </c>
    </row>
    <row r="107" customFormat="false" ht="12.75" hidden="false" customHeight="false" outlineLevel="0" collapsed="false">
      <c r="C107" s="495" t="n">
        <f aca="false">+C103*F103</f>
        <v>-124.92</v>
      </c>
    </row>
    <row r="108" customFormat="false" ht="12.75" hidden="false" customHeight="false" outlineLevel="0" collapsed="false">
      <c r="C108" s="495" t="n">
        <f aca="false">+C107+C106</f>
        <v>-209.2375</v>
      </c>
      <c r="D108" s="0" t="n">
        <f aca="false">+C108/C105</f>
        <v>-0.064479969183359</v>
      </c>
      <c r="I108" s="0" t="s">
        <v>9</v>
      </c>
    </row>
    <row r="109" customFormat="false" ht="12.75" hidden="false" customHeight="false" outlineLevel="0" collapsed="false">
      <c r="A109" s="481"/>
      <c r="B109" s="490" t="s">
        <v>471</v>
      </c>
      <c r="C109" s="481" t="s">
        <v>9</v>
      </c>
      <c r="D109" s="482" t="s">
        <v>727</v>
      </c>
      <c r="E109" s="481" t="s">
        <v>781</v>
      </c>
      <c r="F109" s="481" t="s">
        <v>782</v>
      </c>
      <c r="G109" s="0" t="s">
        <v>776</v>
      </c>
      <c r="H109" s="481" t="s">
        <v>777</v>
      </c>
      <c r="I109" s="481" t="s">
        <v>756</v>
      </c>
      <c r="J109" s="481"/>
      <c r="K109" s="490" t="s">
        <v>738</v>
      </c>
    </row>
    <row r="110" customFormat="false" ht="12.75" hidden="false" customHeight="false" outlineLevel="0" collapsed="false">
      <c r="A110" s="481"/>
      <c r="B110" s="481" t="s">
        <v>757</v>
      </c>
      <c r="C110" s="484" t="n">
        <v>1163</v>
      </c>
      <c r="D110" s="485" t="n">
        <f aca="false">+C110/C113</f>
        <v>0.358397534668721</v>
      </c>
      <c r="E110" s="489" t="n">
        <f aca="false">+Rates!H32</f>
        <v>0.313096040438079</v>
      </c>
      <c r="F110" s="497" t="n">
        <v>-0.0725</v>
      </c>
      <c r="G110" s="499" t="n">
        <f aca="false">+D110*E110</f>
        <v>0.112212849007546</v>
      </c>
      <c r="H110" s="489" t="n">
        <f aca="false">+F110*D110</f>
        <v>-0.0259838212634823</v>
      </c>
      <c r="I110" s="489" t="n">
        <v>0.2175</v>
      </c>
      <c r="J110" s="481"/>
      <c r="K110" s="500" t="n">
        <f aca="false">(+G110*H110)</f>
        <v>-0.00291571861207819</v>
      </c>
      <c r="L110" s="480" t="n">
        <f aca="false">+I110-F110</f>
        <v>0.29</v>
      </c>
      <c r="M110" s="480" t="n">
        <f aca="false">+L110-E110</f>
        <v>-0.0230960404380788</v>
      </c>
      <c r="N110" s="480" t="n">
        <f aca="false">+M110*7</f>
        <v>-0.161672283066552</v>
      </c>
      <c r="O110" s="0" t="n">
        <f aca="false">+N110*D110</f>
        <v>-0.0579429476753158</v>
      </c>
    </row>
    <row r="111" customFormat="false" ht="12.75" hidden="false" customHeight="false" outlineLevel="0" collapsed="false">
      <c r="A111" s="481"/>
      <c r="B111" s="481" t="s">
        <v>783</v>
      </c>
      <c r="C111" s="484" t="n">
        <v>2082</v>
      </c>
      <c r="D111" s="485" t="n">
        <f aca="false">+C111/C113</f>
        <v>0.641602465331279</v>
      </c>
      <c r="E111" s="489" t="n">
        <f aca="false">+Rates!H67</f>
        <v>0.272029213248355</v>
      </c>
      <c r="F111" s="489" t="n">
        <v>-0.06</v>
      </c>
      <c r="G111" s="499" t="n">
        <f aca="false">+D111*E111</f>
        <v>0.174534613862273</v>
      </c>
      <c r="H111" s="489" t="n">
        <f aca="false">+F111*D111</f>
        <v>-0.0384961479198767</v>
      </c>
      <c r="I111" s="489" t="n">
        <v>0.2175</v>
      </c>
      <c r="J111" s="481"/>
      <c r="K111" s="500" t="n">
        <f aca="false">(+G111*H111)</f>
        <v>-0.00671891031238062</v>
      </c>
      <c r="L111" s="480" t="n">
        <f aca="false">+I111-F111</f>
        <v>0.2775</v>
      </c>
      <c r="M111" s="480" t="n">
        <f aca="false">+L111-E111</f>
        <v>0.00547078675164503</v>
      </c>
      <c r="N111" s="480" t="n">
        <f aca="false">+M111*7</f>
        <v>0.0382955072615152</v>
      </c>
      <c r="O111" s="0" t="n">
        <f aca="false">+N111*D111</f>
        <v>0.0245704918701</v>
      </c>
    </row>
    <row r="112" customFormat="false" ht="12.75" hidden="false" customHeight="false" outlineLevel="0" collapsed="false">
      <c r="A112" s="481"/>
      <c r="B112" s="481"/>
      <c r="C112" s="489" t="n">
        <v>0</v>
      </c>
      <c r="D112" s="487" t="n">
        <f aca="false">+C112/C113</f>
        <v>0</v>
      </c>
      <c r="E112" s="489"/>
      <c r="F112" s="489" t="s">
        <v>9</v>
      </c>
      <c r="H112" s="481"/>
      <c r="I112" s="496"/>
      <c r="J112" s="481"/>
      <c r="O112" s="0" t="n">
        <f aca="false">SUM(O110:O111)</f>
        <v>-0.0333724558052158</v>
      </c>
    </row>
    <row r="113" customFormat="false" ht="12.75" hidden="false" customHeight="false" outlineLevel="0" collapsed="false">
      <c r="C113" s="484" t="n">
        <f aca="false">SUM(C110:C112)</f>
        <v>3245</v>
      </c>
      <c r="D113" s="485" t="n">
        <f aca="false">SUM(D110:D112)</f>
        <v>1</v>
      </c>
      <c r="M113" s="480" t="n">
        <f aca="false">AVERAGE(M110:M111)</f>
        <v>-0.0088126268432169</v>
      </c>
    </row>
    <row r="114" customFormat="false" ht="12.75" hidden="false" customHeight="false" outlineLevel="0" collapsed="false">
      <c r="O114" s="0" t="e">
        <f aca="false">+O112+O104</f>
        <v>#REF!</v>
      </c>
    </row>
    <row r="115" customFormat="false" ht="12.75" hidden="false" customHeight="false" outlineLevel="0" collapsed="false">
      <c r="O115" s="0" t="e">
        <f aca="false">+O114/12</f>
        <v>#REF!</v>
      </c>
    </row>
    <row r="116" customFormat="false" ht="12.75" hidden="false" customHeight="false" outlineLevel="0" collapsed="false">
      <c r="M116" s="480" t="n">
        <f aca="false">+M113+M105</f>
        <v>-0.0088126268432169</v>
      </c>
    </row>
    <row r="131" customFormat="false" ht="12.75" hidden="false" customHeight="false" outlineLevel="0" collapsed="false">
      <c r="B131" s="490" t="s">
        <v>471</v>
      </c>
      <c r="C131" s="482" t="s">
        <v>726</v>
      </c>
      <c r="D131" s="482" t="s">
        <v>727</v>
      </c>
      <c r="E131" s="481" t="s">
        <v>754</v>
      </c>
      <c r="F131" s="481" t="s">
        <v>755</v>
      </c>
      <c r="G131" s="481" t="s">
        <v>776</v>
      </c>
      <c r="H131" s="481" t="s">
        <v>777</v>
      </c>
      <c r="I131" s="481" t="s">
        <v>784</v>
      </c>
      <c r="J131" s="481"/>
      <c r="K131" s="490" t="s">
        <v>9</v>
      </c>
      <c r="L131" s="480" t="s">
        <v>778</v>
      </c>
      <c r="M131" s="480" t="s">
        <v>779</v>
      </c>
      <c r="N131" s="480" t="s">
        <v>780</v>
      </c>
    </row>
    <row r="132" customFormat="false" ht="12.75" hidden="false" customHeight="false" outlineLevel="0" collapsed="false">
      <c r="B132" s="481" t="s">
        <v>759</v>
      </c>
      <c r="C132" s="484" t="n">
        <v>1163</v>
      </c>
      <c r="D132" s="485" t="n">
        <f aca="false">+C132/C135</f>
        <v>0.358397534668721</v>
      </c>
      <c r="E132" s="489" t="e">
        <f aca="false">+#REF!</f>
        <v>#REF!</v>
      </c>
      <c r="F132" s="497" t="n">
        <v>-0.0725</v>
      </c>
      <c r="G132" s="499" t="e">
        <f aca="false">+D132*E132</f>
        <v>#REF!</v>
      </c>
      <c r="H132" s="489" t="n">
        <f aca="false">+F132*D132</f>
        <v>-0.0259838212634823</v>
      </c>
      <c r="I132" s="489" t="n">
        <v>0.2525</v>
      </c>
      <c r="J132" s="481"/>
      <c r="K132" s="500" t="s">
        <v>9</v>
      </c>
      <c r="L132" s="480" t="n">
        <f aca="false">+I132-F132</f>
        <v>0.325</v>
      </c>
      <c r="M132" s="480" t="e">
        <f aca="false">+L132-E132</f>
        <v>#REF!</v>
      </c>
      <c r="N132" s="480" t="e">
        <f aca="false">+M132*5</f>
        <v>#REF!</v>
      </c>
      <c r="O132" s="0" t="e">
        <f aca="false">+N132*D132</f>
        <v>#REF!</v>
      </c>
    </row>
    <row r="133" customFormat="false" ht="12.75" hidden="false" customHeight="false" outlineLevel="0" collapsed="false">
      <c r="B133" s="481" t="s">
        <v>760</v>
      </c>
      <c r="C133" s="484" t="n">
        <v>2082</v>
      </c>
      <c r="D133" s="485" t="n">
        <f aca="false">+C133/C135</f>
        <v>0.641602465331279</v>
      </c>
      <c r="E133" s="489" t="e">
        <f aca="false">+#REF!</f>
        <v>#REF!</v>
      </c>
      <c r="F133" s="497" t="n">
        <v>-0.06</v>
      </c>
      <c r="G133" s="499" t="e">
        <f aca="false">+D133*E133</f>
        <v>#REF!</v>
      </c>
      <c r="H133" s="489" t="n">
        <f aca="false">+F133*D133</f>
        <v>-0.0384961479198767</v>
      </c>
      <c r="I133" s="489" t="n">
        <v>0.2525</v>
      </c>
      <c r="J133" s="481"/>
      <c r="K133" s="500" t="s">
        <v>9</v>
      </c>
      <c r="L133" s="480" t="n">
        <f aca="false">+I133-F133</f>
        <v>0.3125</v>
      </c>
      <c r="M133" s="480" t="e">
        <f aca="false">+L133-E133</f>
        <v>#REF!</v>
      </c>
      <c r="N133" s="480" t="e">
        <f aca="false">+M133*5</f>
        <v>#REF!</v>
      </c>
      <c r="O133" s="0" t="e">
        <f aca="false">+N133*D133</f>
        <v>#REF!</v>
      </c>
    </row>
    <row r="134" customFormat="false" ht="12.75" hidden="false" customHeight="false" outlineLevel="0" collapsed="false">
      <c r="C134" s="486" t="n">
        <v>0</v>
      </c>
      <c r="D134" s="487" t="n">
        <f aca="false">+C134/C135</f>
        <v>0</v>
      </c>
      <c r="O134" s="0" t="e">
        <f aca="false">SUM(O132:O133)</f>
        <v>#REF!</v>
      </c>
    </row>
    <row r="135" customFormat="false" ht="12.75" hidden="false" customHeight="false" outlineLevel="0" collapsed="false">
      <c r="C135" s="484" t="n">
        <f aca="false">SUM(C132:C134)</f>
        <v>3245</v>
      </c>
      <c r="D135" s="485" t="n">
        <f aca="false">SUM(D132:D134)</f>
        <v>1</v>
      </c>
    </row>
    <row r="136" customFormat="false" ht="12.75" hidden="false" customHeight="false" outlineLevel="0" collapsed="false">
      <c r="C136" s="495" t="n">
        <f aca="false">+C132*F132</f>
        <v>-84.3175</v>
      </c>
    </row>
    <row r="137" customFormat="false" ht="12.75" hidden="false" customHeight="false" outlineLevel="0" collapsed="false">
      <c r="C137" s="495" t="n">
        <f aca="false">+C133*F133</f>
        <v>-124.92</v>
      </c>
    </row>
    <row r="138" customFormat="false" ht="12.75" hidden="false" customHeight="false" outlineLevel="0" collapsed="false">
      <c r="C138" s="495" t="n">
        <f aca="false">+C137+C136</f>
        <v>-209.2375</v>
      </c>
      <c r="D138" s="0" t="n">
        <f aca="false">+C138/C135</f>
        <v>-0.064479969183359</v>
      </c>
      <c r="I138" s="0" t="s">
        <v>9</v>
      </c>
    </row>
    <row r="139" customFormat="false" ht="12.75" hidden="false" customHeight="false" outlineLevel="0" collapsed="false">
      <c r="A139" s="481"/>
      <c r="B139" s="490" t="s">
        <v>471</v>
      </c>
      <c r="C139" s="481" t="s">
        <v>9</v>
      </c>
      <c r="D139" s="482" t="s">
        <v>727</v>
      </c>
      <c r="E139" s="481" t="s">
        <v>781</v>
      </c>
      <c r="F139" s="481" t="s">
        <v>782</v>
      </c>
      <c r="G139" s="0" t="s">
        <v>776</v>
      </c>
      <c r="H139" s="481" t="s">
        <v>777</v>
      </c>
      <c r="I139" s="481" t="s">
        <v>756</v>
      </c>
      <c r="J139" s="481"/>
      <c r="K139" s="490" t="s">
        <v>9</v>
      </c>
    </row>
    <row r="140" customFormat="false" ht="12.75" hidden="false" customHeight="false" outlineLevel="0" collapsed="false">
      <c r="A140" s="481"/>
      <c r="B140" s="481" t="s">
        <v>759</v>
      </c>
      <c r="C140" s="484" t="n">
        <v>1163</v>
      </c>
      <c r="D140" s="485" t="n">
        <f aca="false">+C140/C143</f>
        <v>0.358397534668721</v>
      </c>
      <c r="E140" s="489" t="n">
        <f aca="false">+Rates!H37</f>
        <v>0.368208067940552</v>
      </c>
      <c r="F140" s="497" t="n">
        <v>-0.0725</v>
      </c>
      <c r="G140" s="499" t="n">
        <f aca="false">+D140*E140</f>
        <v>0.131964863795027</v>
      </c>
      <c r="H140" s="489" t="n">
        <f aca="false">+F140*D140</f>
        <v>-0.0259838212634823</v>
      </c>
      <c r="I140" s="489" t="n">
        <v>0.2525</v>
      </c>
      <c r="J140" s="481"/>
      <c r="K140" s="500" t="s">
        <v>9</v>
      </c>
      <c r="L140" s="480" t="n">
        <f aca="false">+I140-F140</f>
        <v>0.325</v>
      </c>
      <c r="M140" s="480" t="n">
        <f aca="false">+L140-E140</f>
        <v>-0.0432080679405524</v>
      </c>
      <c r="N140" s="480" t="n">
        <f aca="false">+M140*7</f>
        <v>-0.302456475583867</v>
      </c>
      <c r="O140" s="0" t="n">
        <f aca="false">+N140*D140</f>
        <v>-0.108399655193848</v>
      </c>
    </row>
    <row r="141" customFormat="false" ht="12.75" hidden="false" customHeight="false" outlineLevel="0" collapsed="false">
      <c r="A141" s="481"/>
      <c r="B141" s="481" t="s">
        <v>785</v>
      </c>
      <c r="C141" s="484" t="n">
        <v>2082</v>
      </c>
      <c r="D141" s="485" t="n">
        <f aca="false">+C141/C143</f>
        <v>0.641602465331279</v>
      </c>
      <c r="E141" s="489" t="n">
        <f aca="false">+Rates!H72</f>
        <v>0.327518053507478</v>
      </c>
      <c r="F141" s="489" t="n">
        <v>-0.06</v>
      </c>
      <c r="G141" s="499" t="n">
        <f aca="false">+D141*E141</f>
        <v>0.2101363905709</v>
      </c>
      <c r="H141" s="489" t="n">
        <f aca="false">+F141*D141</f>
        <v>-0.0384961479198767</v>
      </c>
      <c r="I141" s="489" t="n">
        <v>0.2525</v>
      </c>
      <c r="J141" s="481"/>
      <c r="K141" s="500" t="s">
        <v>9</v>
      </c>
      <c r="L141" s="480" t="n">
        <f aca="false">+I141-F141</f>
        <v>0.3125</v>
      </c>
      <c r="M141" s="480" t="n">
        <f aca="false">+L141-E141</f>
        <v>-0.0150180535074782</v>
      </c>
      <c r="N141" s="480" t="n">
        <f aca="false">+M141*7</f>
        <v>-0.105126374552347</v>
      </c>
      <c r="O141" s="0" t="n">
        <f aca="false">+N141*D141</f>
        <v>-0.0674493410841255</v>
      </c>
    </row>
    <row r="142" customFormat="false" ht="12.75" hidden="false" customHeight="false" outlineLevel="0" collapsed="false">
      <c r="A142" s="481"/>
      <c r="B142" s="481"/>
      <c r="C142" s="489" t="n">
        <v>0</v>
      </c>
      <c r="D142" s="487" t="n">
        <f aca="false">+C142/C143</f>
        <v>0</v>
      </c>
      <c r="E142" s="489"/>
      <c r="F142" s="489" t="s">
        <v>9</v>
      </c>
      <c r="H142" s="481"/>
      <c r="I142" s="496"/>
      <c r="J142" s="481"/>
      <c r="O142" s="0" t="n">
        <f aca="false">SUM(O140:O141)</f>
        <v>-0.175848996277974</v>
      </c>
    </row>
    <row r="143" customFormat="false" ht="12.75" hidden="false" customHeight="false" outlineLevel="0" collapsed="false">
      <c r="C143" s="484" t="n">
        <f aca="false">SUM(C140:C142)</f>
        <v>3245</v>
      </c>
      <c r="D143" s="485" t="n">
        <f aca="false">SUM(D140:D142)</f>
        <v>1</v>
      </c>
      <c r="M143" s="480" t="n">
        <f aca="false">AVERAGE(M140:M141)</f>
        <v>-0.0291130607240153</v>
      </c>
    </row>
    <row r="144" customFormat="false" ht="12.75" hidden="false" customHeight="false" outlineLevel="0" collapsed="false">
      <c r="O144" s="0" t="e">
        <f aca="false">+O142+O134</f>
        <v>#REF!</v>
      </c>
    </row>
    <row r="145" customFormat="false" ht="12.75" hidden="false" customHeight="false" outlineLevel="0" collapsed="false">
      <c r="O145" s="0" t="e">
        <f aca="false">+O144/12</f>
        <v>#REF!</v>
      </c>
    </row>
    <row r="146" customFormat="false" ht="12.75" hidden="false" customHeight="false" outlineLevel="0" collapsed="false">
      <c r="M146" s="480" t="n">
        <f aca="false">+M143+M135</f>
        <v>-0.0291130607240153</v>
      </c>
    </row>
    <row r="151" customFormat="false" ht="12.75" hidden="false" customHeight="false" outlineLevel="0" collapsed="false">
      <c r="B151" s="490" t="s">
        <v>471</v>
      </c>
      <c r="C151" s="482" t="s">
        <v>726</v>
      </c>
      <c r="D151" s="482" t="s">
        <v>727</v>
      </c>
      <c r="E151" s="481" t="s">
        <v>754</v>
      </c>
      <c r="F151" s="481" t="s">
        <v>755</v>
      </c>
      <c r="G151" s="481" t="s">
        <v>776</v>
      </c>
      <c r="H151" s="481" t="s">
        <v>777</v>
      </c>
      <c r="I151" s="481" t="s">
        <v>786</v>
      </c>
      <c r="J151" s="481"/>
      <c r="K151" s="490" t="s">
        <v>9</v>
      </c>
      <c r="L151" s="480" t="s">
        <v>778</v>
      </c>
      <c r="M151" s="480" t="s">
        <v>779</v>
      </c>
      <c r="N151" s="480" t="s">
        <v>780</v>
      </c>
    </row>
    <row r="152" customFormat="false" ht="12.75" hidden="false" customHeight="false" outlineLevel="0" collapsed="false">
      <c r="B152" s="481" t="s">
        <v>787</v>
      </c>
      <c r="C152" s="484" t="n">
        <v>1163</v>
      </c>
      <c r="D152" s="485" t="n">
        <f aca="false">+C152/C155</f>
        <v>0.358397534668721</v>
      </c>
      <c r="E152" s="489" t="e">
        <f aca="false">+#REF!</f>
        <v>#REF!</v>
      </c>
      <c r="F152" s="497" t="n">
        <v>-0.0725</v>
      </c>
      <c r="G152" s="499" t="e">
        <f aca="false">+D152*E152</f>
        <v>#REF!</v>
      </c>
      <c r="H152" s="489" t="n">
        <f aca="false">+F152*D152</f>
        <v>-0.0259838212634823</v>
      </c>
      <c r="I152" s="489" t="n">
        <v>0.285</v>
      </c>
      <c r="J152" s="481"/>
      <c r="K152" s="500" t="s">
        <v>9</v>
      </c>
      <c r="L152" s="480" t="n">
        <f aca="false">+I152-F152</f>
        <v>0.3575</v>
      </c>
      <c r="M152" s="480" t="e">
        <f aca="false">+L152-E152</f>
        <v>#REF!</v>
      </c>
      <c r="N152" s="480" t="e">
        <f aca="false">+M152*5</f>
        <v>#REF!</v>
      </c>
      <c r="O152" s="0" t="e">
        <f aca="false">+N152*D152</f>
        <v>#REF!</v>
      </c>
    </row>
    <row r="153" customFormat="false" ht="12.75" hidden="false" customHeight="false" outlineLevel="0" collapsed="false">
      <c r="B153" s="481" t="s">
        <v>788</v>
      </c>
      <c r="C153" s="484" t="n">
        <v>2082</v>
      </c>
      <c r="D153" s="485" t="n">
        <f aca="false">+C153/C155</f>
        <v>0.641602465331279</v>
      </c>
      <c r="E153" s="489" t="e">
        <f aca="false">+#REF!</f>
        <v>#REF!</v>
      </c>
      <c r="F153" s="497" t="n">
        <v>-0.06</v>
      </c>
      <c r="G153" s="499" t="e">
        <f aca="false">+D153*E153</f>
        <v>#REF!</v>
      </c>
      <c r="H153" s="489" t="n">
        <f aca="false">+F153*D153</f>
        <v>-0.0384961479198767</v>
      </c>
      <c r="I153" s="489" t="n">
        <v>0.285</v>
      </c>
      <c r="J153" s="481"/>
      <c r="K153" s="500" t="s">
        <v>9</v>
      </c>
      <c r="L153" s="480" t="n">
        <f aca="false">+I153-F153</f>
        <v>0.345</v>
      </c>
      <c r="M153" s="480" t="e">
        <f aca="false">+L153-E153</f>
        <v>#REF!</v>
      </c>
      <c r="N153" s="480" t="e">
        <f aca="false">+M153*5</f>
        <v>#REF!</v>
      </c>
      <c r="O153" s="0" t="e">
        <f aca="false">+N153*D153</f>
        <v>#REF!</v>
      </c>
    </row>
    <row r="154" customFormat="false" ht="12.75" hidden="false" customHeight="false" outlineLevel="0" collapsed="false">
      <c r="C154" s="486" t="n">
        <v>0</v>
      </c>
      <c r="D154" s="487" t="n">
        <f aca="false">+C154/C155</f>
        <v>0</v>
      </c>
      <c r="O154" s="0" t="e">
        <f aca="false">SUM(O152:O153)</f>
        <v>#REF!</v>
      </c>
    </row>
    <row r="155" customFormat="false" ht="12.75" hidden="false" customHeight="false" outlineLevel="0" collapsed="false">
      <c r="C155" s="484" t="n">
        <f aca="false">SUM(C152:C154)</f>
        <v>3245</v>
      </c>
      <c r="D155" s="485" t="n">
        <f aca="false">SUM(D152:D154)</f>
        <v>1</v>
      </c>
    </row>
    <row r="156" customFormat="false" ht="12.75" hidden="false" customHeight="false" outlineLevel="0" collapsed="false">
      <c r="C156" s="495" t="n">
        <f aca="false">+C152*F152</f>
        <v>-84.3175</v>
      </c>
    </row>
    <row r="157" customFormat="false" ht="12.75" hidden="false" customHeight="false" outlineLevel="0" collapsed="false">
      <c r="C157" s="495" t="n">
        <f aca="false">+C153*F153</f>
        <v>-124.92</v>
      </c>
    </row>
    <row r="158" customFormat="false" ht="12.75" hidden="false" customHeight="false" outlineLevel="0" collapsed="false">
      <c r="C158" s="495" t="n">
        <f aca="false">+C157+C156</f>
        <v>-209.2375</v>
      </c>
      <c r="D158" s="0" t="n">
        <f aca="false">+C158/C155</f>
        <v>-0.064479969183359</v>
      </c>
      <c r="I158" s="0" t="s">
        <v>9</v>
      </c>
    </row>
    <row r="159" customFormat="false" ht="12.75" hidden="false" customHeight="false" outlineLevel="0" collapsed="false">
      <c r="B159" s="490" t="s">
        <v>471</v>
      </c>
      <c r="C159" s="481" t="s">
        <v>9</v>
      </c>
      <c r="D159" s="482" t="s">
        <v>727</v>
      </c>
      <c r="E159" s="481" t="s">
        <v>781</v>
      </c>
      <c r="F159" s="481" t="s">
        <v>782</v>
      </c>
      <c r="G159" s="0" t="s">
        <v>776</v>
      </c>
      <c r="H159" s="481" t="s">
        <v>777</v>
      </c>
      <c r="I159" s="481" t="s">
        <v>786</v>
      </c>
      <c r="J159" s="481"/>
      <c r="K159" s="490" t="s">
        <v>9</v>
      </c>
    </row>
    <row r="160" customFormat="false" ht="12.75" hidden="false" customHeight="false" outlineLevel="0" collapsed="false">
      <c r="B160" s="481" t="s">
        <v>787</v>
      </c>
      <c r="C160" s="484" t="n">
        <v>1163</v>
      </c>
      <c r="D160" s="485" t="n">
        <f aca="false">+C160/C163</f>
        <v>0.358397534668721</v>
      </c>
      <c r="E160" s="489" t="n">
        <f aca="false">+Rates!H42</f>
        <v>0.421545283018868</v>
      </c>
      <c r="F160" s="497" t="n">
        <v>-0.0725</v>
      </c>
      <c r="G160" s="499" t="n">
        <f aca="false">+D160*E160</f>
        <v>0.151080790185191</v>
      </c>
      <c r="H160" s="489" t="n">
        <f aca="false">+F160*D160</f>
        <v>-0.0259838212634823</v>
      </c>
      <c r="I160" s="489" t="n">
        <v>0.285</v>
      </c>
      <c r="J160" s="481"/>
      <c r="K160" s="500" t="s">
        <v>9</v>
      </c>
      <c r="L160" s="480" t="n">
        <f aca="false">+I160-F160</f>
        <v>0.3575</v>
      </c>
      <c r="M160" s="480" t="n">
        <f aca="false">+L160-E160</f>
        <v>-0.0640452830188681</v>
      </c>
      <c r="N160" s="480" t="n">
        <f aca="false">+M160*7</f>
        <v>-0.448316981132077</v>
      </c>
      <c r="O160" s="0" t="n">
        <f aca="false">+N160*D160</f>
        <v>-0.16067570078786</v>
      </c>
    </row>
    <row r="161" customFormat="false" ht="12.75" hidden="false" customHeight="false" outlineLevel="0" collapsed="false">
      <c r="B161" s="481" t="s">
        <v>789</v>
      </c>
      <c r="C161" s="484" t="n">
        <v>2082</v>
      </c>
      <c r="D161" s="485" t="n">
        <f aca="false">+C161/C163</f>
        <v>0.641602465331279</v>
      </c>
      <c r="E161" s="489" t="n">
        <f aca="false">+Rates!H77</f>
        <v>0.380205827927257</v>
      </c>
      <c r="F161" s="489" t="n">
        <v>-0.06</v>
      </c>
      <c r="G161" s="499" t="n">
        <f aca="false">+D161*E161</f>
        <v>0.243940996531448</v>
      </c>
      <c r="H161" s="489" t="n">
        <f aca="false">+F161*D161</f>
        <v>-0.0384961479198767</v>
      </c>
      <c r="I161" s="489" t="n">
        <v>0.285</v>
      </c>
      <c r="J161" s="481"/>
      <c r="K161" s="500" t="s">
        <v>9</v>
      </c>
      <c r="L161" s="480" t="n">
        <f aca="false">+I161-F161</f>
        <v>0.345</v>
      </c>
      <c r="M161" s="480" t="n">
        <f aca="false">+L161-E161</f>
        <v>-0.0352058279272572</v>
      </c>
      <c r="N161" s="480" t="n">
        <f aca="false">+M161*7</f>
        <v>-0.246440795490801</v>
      </c>
      <c r="O161" s="0" t="n">
        <f aca="false">+N161*D161</f>
        <v>-0.158117021945099</v>
      </c>
    </row>
    <row r="162" customFormat="false" ht="12.75" hidden="false" customHeight="false" outlineLevel="0" collapsed="false">
      <c r="B162" s="481"/>
      <c r="C162" s="489" t="n">
        <v>0</v>
      </c>
      <c r="D162" s="487" t="n">
        <f aca="false">+C162/C163</f>
        <v>0</v>
      </c>
      <c r="E162" s="489"/>
      <c r="F162" s="489" t="s">
        <v>9</v>
      </c>
      <c r="H162" s="481"/>
      <c r="I162" s="496"/>
      <c r="J162" s="481"/>
      <c r="O162" s="0" t="n">
        <f aca="false">SUM(O160:O161)</f>
        <v>-0.318792722732959</v>
      </c>
    </row>
    <row r="163" customFormat="false" ht="12.75" hidden="false" customHeight="false" outlineLevel="0" collapsed="false">
      <c r="C163" s="484" t="n">
        <f aca="false">SUM(C160:C162)</f>
        <v>3245</v>
      </c>
      <c r="D163" s="485" t="n">
        <f aca="false">SUM(D160:D162)</f>
        <v>1</v>
      </c>
      <c r="M163" s="480" t="n">
        <f aca="false">AVERAGE(M160:M161)</f>
        <v>-0.0496255554730627</v>
      </c>
    </row>
    <row r="164" customFormat="false" ht="12.75" hidden="false" customHeight="false" outlineLevel="0" collapsed="false">
      <c r="O164" s="0" t="e">
        <f aca="false">+O162+O154</f>
        <v>#REF!</v>
      </c>
    </row>
    <row r="165" customFormat="false" ht="12.75" hidden="false" customHeight="false" outlineLevel="0" collapsed="false">
      <c r="O165" s="0" t="e">
        <f aca="false">+O164/12</f>
        <v>#REF!</v>
      </c>
    </row>
    <row r="166" customFormat="false" ht="12.75" hidden="false" customHeight="false" outlineLevel="0" collapsed="false">
      <c r="M166" s="480" t="n">
        <f aca="false">+M163+M155</f>
        <v>-0.0496255554730627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0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35" activeCellId="0" sqref="C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3" width="11.28"/>
    <col collapsed="false" customWidth="true" hidden="false" outlineLevel="0" max="2" min="2" style="24" width="11.99"/>
    <col collapsed="false" customWidth="true" hidden="false" outlineLevel="0" max="3" min="3" style="24" width="17.14"/>
    <col collapsed="false" customWidth="true" hidden="false" outlineLevel="0" max="4" min="4" style="25" width="14.41"/>
    <col collapsed="false" customWidth="true" hidden="false" outlineLevel="0" max="5" min="5" style="25" width="3.7"/>
    <col collapsed="false" customWidth="true" hidden="false" outlineLevel="0" max="6" min="6" style="23" width="11.28"/>
    <col collapsed="false" customWidth="true" hidden="false" outlineLevel="0" max="7" min="7" style="26" width="15.56"/>
    <col collapsed="false" customWidth="true" hidden="false" outlineLevel="0" max="8" min="8" style="26" width="13.99"/>
    <col collapsed="false" customWidth="false" hidden="false" outlineLevel="0" max="9" min="9" style="23" width="9.14"/>
    <col collapsed="false" customWidth="true" hidden="false" outlineLevel="0" max="10" min="10" style="23" width="13.7"/>
    <col collapsed="false" customWidth="false" hidden="false" outlineLevel="0" max="11" min="11" style="23" width="9.14"/>
    <col collapsed="false" customWidth="true" hidden="false" outlineLevel="0" max="12" min="12" style="23" width="12.42"/>
    <col collapsed="false" customWidth="false" hidden="false" outlineLevel="0" max="257" min="13" style="23" width="9.14"/>
  </cols>
  <sheetData>
    <row r="1" customFormat="false" ht="12.75" hidden="false" customHeight="false" outlineLevel="0" collapsed="false">
      <c r="A1" s="27" t="s">
        <v>8</v>
      </c>
      <c r="D1" s="24"/>
      <c r="E1" s="24"/>
      <c r="F1" s="28"/>
      <c r="G1" s="27"/>
      <c r="H1" s="27"/>
      <c r="I1" s="29"/>
      <c r="J1" s="30"/>
    </row>
    <row r="2" customFormat="false" ht="12.75" hidden="false" customHeight="false" outlineLevel="0" collapsed="false">
      <c r="A2" s="27"/>
      <c r="D2" s="31"/>
      <c r="E2" s="31"/>
      <c r="F2" s="28"/>
      <c r="G2" s="27"/>
      <c r="H2" s="27"/>
      <c r="I2" s="29"/>
      <c r="J2" s="30"/>
    </row>
    <row r="3" customFormat="false" ht="12.75" hidden="false" customHeight="false" outlineLevel="0" collapsed="false">
      <c r="A3" s="27"/>
      <c r="D3" s="31"/>
      <c r="E3" s="31"/>
      <c r="F3" s="28"/>
      <c r="G3" s="27" t="s">
        <v>9</v>
      </c>
      <c r="H3" s="27" t="s">
        <v>9</v>
      </c>
      <c r="I3" s="29"/>
      <c r="J3" s="30"/>
    </row>
    <row r="4" customFormat="false" ht="12.75" hidden="false" customHeight="false" outlineLevel="0" collapsed="false">
      <c r="A4" s="29"/>
      <c r="D4" s="24"/>
      <c r="E4" s="24"/>
      <c r="F4" s="28"/>
      <c r="G4" s="32"/>
      <c r="H4" s="27"/>
      <c r="I4" s="29"/>
      <c r="J4" s="30"/>
    </row>
    <row r="5" customFormat="false" ht="12.75" hidden="false" customHeight="false" outlineLevel="0" collapsed="false">
      <c r="A5" s="33" t="s">
        <v>10</v>
      </c>
      <c r="B5" s="34" t="s">
        <v>11</v>
      </c>
      <c r="C5" s="34" t="s">
        <v>12</v>
      </c>
      <c r="D5" s="34" t="s">
        <v>13</v>
      </c>
      <c r="E5" s="34"/>
      <c r="F5" s="35" t="s">
        <v>14</v>
      </c>
      <c r="G5" s="36" t="s">
        <v>15</v>
      </c>
      <c r="H5" s="36" t="s">
        <v>16</v>
      </c>
      <c r="I5" s="33" t="s">
        <v>14</v>
      </c>
      <c r="J5" s="36" t="s">
        <v>17</v>
      </c>
    </row>
    <row r="6" customFormat="false" ht="12.75" hidden="false" customHeight="false" outlineLevel="0" collapsed="false">
      <c r="A6" s="29" t="s">
        <v>18</v>
      </c>
      <c r="B6" s="24" t="n">
        <v>0.3051</v>
      </c>
      <c r="C6" s="24" t="n">
        <v>77177</v>
      </c>
      <c r="D6" s="24" t="s">
        <v>19</v>
      </c>
      <c r="E6" s="24"/>
      <c r="F6" s="28"/>
      <c r="G6" s="27" t="s">
        <v>20</v>
      </c>
      <c r="H6" s="27" t="s">
        <v>20</v>
      </c>
      <c r="I6" s="29" t="s">
        <v>21</v>
      </c>
      <c r="J6" s="27" t="s">
        <v>22</v>
      </c>
    </row>
    <row r="7" customFormat="false" ht="12.75" hidden="false" customHeight="false" outlineLevel="0" collapsed="false">
      <c r="A7" s="29" t="s">
        <v>18</v>
      </c>
      <c r="B7" s="24" t="n">
        <v>0.4983</v>
      </c>
      <c r="C7" s="24" t="n">
        <v>77169</v>
      </c>
      <c r="D7" s="24" t="s">
        <v>19</v>
      </c>
      <c r="E7" s="24"/>
      <c r="F7" s="28"/>
      <c r="G7" s="27" t="s">
        <v>20</v>
      </c>
      <c r="H7" s="27" t="s">
        <v>20</v>
      </c>
      <c r="I7" s="29" t="s">
        <v>21</v>
      </c>
      <c r="J7" s="27" t="s">
        <v>23</v>
      </c>
    </row>
    <row r="8" customFormat="false" ht="12.75" hidden="false" customHeight="false" outlineLevel="0" collapsed="false">
      <c r="A8" s="29" t="s">
        <v>18</v>
      </c>
      <c r="B8" s="24" t="n">
        <v>0.2999</v>
      </c>
      <c r="D8" s="24" t="s">
        <v>19</v>
      </c>
      <c r="E8" s="24"/>
      <c r="F8" s="28"/>
      <c r="G8" s="27" t="s">
        <v>20</v>
      </c>
      <c r="H8" s="27" t="s">
        <v>20</v>
      </c>
      <c r="I8" s="29" t="s">
        <v>21</v>
      </c>
      <c r="J8" s="27" t="s">
        <v>23</v>
      </c>
    </row>
    <row r="9" customFormat="false" ht="12.75" hidden="false" customHeight="false" outlineLevel="0" collapsed="false">
      <c r="A9" s="29" t="s">
        <v>18</v>
      </c>
      <c r="B9" s="24" t="n">
        <v>0.2774</v>
      </c>
      <c r="C9" s="24" t="n">
        <v>77175</v>
      </c>
      <c r="D9" s="24" t="s">
        <v>19</v>
      </c>
      <c r="E9" s="24"/>
      <c r="F9" s="28"/>
      <c r="G9" s="27" t="s">
        <v>20</v>
      </c>
      <c r="H9" s="27" t="s">
        <v>20</v>
      </c>
      <c r="I9" s="29" t="s">
        <v>21</v>
      </c>
      <c r="J9" s="27" t="s">
        <v>23</v>
      </c>
    </row>
    <row r="10" customFormat="false" ht="12.75" hidden="false" customHeight="false" outlineLevel="0" collapsed="false">
      <c r="A10" s="29" t="s">
        <v>18</v>
      </c>
      <c r="B10" s="24" t="n">
        <v>0.7537</v>
      </c>
      <c r="C10" s="24" t="n">
        <v>82420</v>
      </c>
      <c r="D10" s="24" t="s">
        <v>24</v>
      </c>
      <c r="E10" s="24"/>
      <c r="F10" s="28"/>
      <c r="G10" s="27" t="s">
        <v>20</v>
      </c>
      <c r="H10" s="27" t="s">
        <v>20</v>
      </c>
      <c r="I10" s="29" t="s">
        <v>21</v>
      </c>
      <c r="J10" s="27" t="s">
        <v>25</v>
      </c>
    </row>
    <row r="11" customFormat="false" ht="12.75" hidden="false" customHeight="false" outlineLevel="0" collapsed="false">
      <c r="A11" s="29" t="s">
        <v>18</v>
      </c>
      <c r="B11" s="24" t="n">
        <v>3.073</v>
      </c>
      <c r="C11" s="24" t="n">
        <v>96503</v>
      </c>
      <c r="D11" s="24" t="s">
        <v>26</v>
      </c>
      <c r="E11" s="24"/>
      <c r="F11" s="28"/>
      <c r="G11" s="27" t="s">
        <v>20</v>
      </c>
      <c r="H11" s="27" t="s">
        <v>20</v>
      </c>
      <c r="I11" s="29" t="s">
        <v>21</v>
      </c>
      <c r="J11" s="27" t="s">
        <v>27</v>
      </c>
    </row>
    <row r="12" customFormat="false" ht="12.75" hidden="false" customHeight="false" outlineLevel="0" collapsed="false">
      <c r="A12" s="29" t="s">
        <v>18</v>
      </c>
      <c r="B12" s="24" t="n">
        <v>1.8793</v>
      </c>
      <c r="C12" s="24" t="n">
        <v>104783</v>
      </c>
      <c r="D12" s="24" t="s">
        <v>28</v>
      </c>
      <c r="E12" s="24"/>
      <c r="F12" s="28"/>
      <c r="G12" s="27" t="s">
        <v>20</v>
      </c>
      <c r="H12" s="27" t="s">
        <v>20</v>
      </c>
      <c r="I12" s="29" t="s">
        <v>21</v>
      </c>
      <c r="J12" s="27" t="s">
        <v>29</v>
      </c>
    </row>
    <row r="13" customFormat="false" ht="12.75" hidden="false" customHeight="false" outlineLevel="0" collapsed="false">
      <c r="A13" s="29" t="s">
        <v>18</v>
      </c>
      <c r="B13" s="24" t="n">
        <v>0.9047</v>
      </c>
      <c r="C13" s="24" t="n">
        <v>168466</v>
      </c>
      <c r="D13" s="24" t="s">
        <v>30</v>
      </c>
      <c r="E13" s="24"/>
      <c r="F13" s="28"/>
      <c r="G13" s="27" t="s">
        <v>20</v>
      </c>
      <c r="H13" s="27" t="s">
        <v>20</v>
      </c>
      <c r="I13" s="29" t="s">
        <v>21</v>
      </c>
      <c r="J13" s="27" t="s">
        <v>31</v>
      </c>
    </row>
    <row r="15" customFormat="false" ht="12.75" hidden="false" customHeight="false" outlineLevel="0" collapsed="false">
      <c r="A15" s="23" t="s">
        <v>32</v>
      </c>
      <c r="B15" s="24" t="s">
        <v>33</v>
      </c>
    </row>
    <row r="17" customFormat="false" ht="12.75" hidden="false" customHeight="false" outlineLevel="0" collapsed="false">
      <c r="A17" s="23" t="s">
        <v>34</v>
      </c>
      <c r="B17" s="24" t="n">
        <v>2891</v>
      </c>
      <c r="D17" s="25" t="s">
        <v>19</v>
      </c>
      <c r="G17" s="26" t="s">
        <v>20</v>
      </c>
      <c r="H17" s="26" t="s">
        <v>20</v>
      </c>
    </row>
    <row r="18" customFormat="false" ht="12.75" hidden="false" customHeight="false" outlineLevel="0" collapsed="false">
      <c r="A18" s="23" t="s">
        <v>34</v>
      </c>
      <c r="B18" s="24" t="n">
        <v>80045</v>
      </c>
      <c r="D18" s="25" t="s">
        <v>21</v>
      </c>
    </row>
    <row r="20" customFormat="false" ht="12.75" hidden="false" customHeight="false" outlineLevel="0" collapsed="false">
      <c r="A20" s="23" t="s">
        <v>35</v>
      </c>
      <c r="B20" s="24" t="s">
        <v>36</v>
      </c>
      <c r="C20" s="24" t="n">
        <v>98243</v>
      </c>
      <c r="D20" s="25" t="s">
        <v>37</v>
      </c>
      <c r="G20" s="26" t="s">
        <v>20</v>
      </c>
      <c r="H20" s="26" t="s">
        <v>20</v>
      </c>
      <c r="J20" s="23" t="s">
        <v>38</v>
      </c>
    </row>
    <row r="21" customFormat="false" ht="12.75" hidden="false" customHeight="false" outlineLevel="0" collapsed="false">
      <c r="A21" s="23" t="s">
        <v>35</v>
      </c>
      <c r="B21" s="24" t="s">
        <v>36</v>
      </c>
      <c r="C21" s="24" t="n">
        <v>98567</v>
      </c>
      <c r="D21" s="25" t="s">
        <v>39</v>
      </c>
      <c r="G21" s="26" t="s">
        <v>20</v>
      </c>
      <c r="H21" s="26" t="s">
        <v>20</v>
      </c>
      <c r="J21" s="23" t="s">
        <v>40</v>
      </c>
    </row>
    <row r="22" customFormat="false" ht="12.75" hidden="false" customHeight="false" outlineLevel="0" collapsed="false">
      <c r="A22" s="23" t="s">
        <v>35</v>
      </c>
      <c r="B22" s="24" t="n">
        <v>600228</v>
      </c>
      <c r="C22" s="24" t="n">
        <v>77009</v>
      </c>
      <c r="D22" s="25" t="s">
        <v>41</v>
      </c>
      <c r="G22" s="26" t="s">
        <v>20</v>
      </c>
      <c r="H22" s="26" t="s">
        <v>20</v>
      </c>
      <c r="J22" s="23" t="s">
        <v>42</v>
      </c>
    </row>
    <row r="24" customFormat="false" ht="12.75" hidden="false" customHeight="false" outlineLevel="0" collapsed="false">
      <c r="A24" s="23" t="s">
        <v>43</v>
      </c>
      <c r="B24" s="24" t="s">
        <v>44</v>
      </c>
      <c r="C24" s="24" t="n">
        <v>168569</v>
      </c>
      <c r="D24" s="25" t="s">
        <v>45</v>
      </c>
      <c r="G24" s="26" t="s">
        <v>20</v>
      </c>
      <c r="H24" s="26" t="s">
        <v>20</v>
      </c>
      <c r="J24" s="23" t="s">
        <v>46</v>
      </c>
    </row>
    <row r="26" customFormat="false" ht="12.75" hidden="false" customHeight="false" outlineLevel="0" collapsed="false">
      <c r="A26" s="23" t="s">
        <v>47</v>
      </c>
      <c r="B26" s="24" t="n">
        <v>9310010</v>
      </c>
      <c r="D26" s="25" t="s">
        <v>48</v>
      </c>
    </row>
    <row r="28" customFormat="false" ht="12.75" hidden="false" customHeight="false" outlineLevel="0" collapsed="false">
      <c r="A28" s="23" t="s">
        <v>49</v>
      </c>
      <c r="B28" s="24" t="n">
        <v>38641</v>
      </c>
      <c r="C28" s="24" t="n">
        <v>93039</v>
      </c>
      <c r="D28" s="25" t="s">
        <v>50</v>
      </c>
      <c r="J28" s="23" t="s">
        <v>51</v>
      </c>
    </row>
    <row r="29" customFormat="false" ht="12.75" hidden="false" customHeight="false" outlineLevel="0" collapsed="false">
      <c r="A29" s="23" t="s">
        <v>49</v>
      </c>
      <c r="B29" s="24" t="n">
        <v>37556</v>
      </c>
      <c r="C29" s="24" t="n">
        <v>93037</v>
      </c>
      <c r="D29" s="25" t="s">
        <v>52</v>
      </c>
      <c r="J29" s="23" t="s">
        <v>53</v>
      </c>
    </row>
    <row r="30" customFormat="false" ht="12.75" hidden="false" customHeight="false" outlineLevel="0" collapsed="false">
      <c r="A30" s="23" t="s">
        <v>49</v>
      </c>
      <c r="B30" s="24" t="n">
        <v>39229</v>
      </c>
      <c r="C30" s="24" t="n">
        <v>93030</v>
      </c>
      <c r="D30" s="25" t="s">
        <v>54</v>
      </c>
      <c r="J30" s="23" t="s">
        <v>55</v>
      </c>
    </row>
    <row r="33" customFormat="false" ht="12.75" hidden="false" customHeight="false" outlineLevel="0" collapsed="false">
      <c r="A33" s="23" t="s">
        <v>56</v>
      </c>
      <c r="B33" s="24" t="n">
        <v>40998</v>
      </c>
      <c r="D33" s="25" t="s">
        <v>19</v>
      </c>
    </row>
    <row r="34" customFormat="false" ht="12.75" hidden="false" customHeight="false" outlineLevel="0" collapsed="false">
      <c r="A34" s="23" t="s">
        <v>56</v>
      </c>
      <c r="B34" s="24" t="n">
        <v>38021</v>
      </c>
      <c r="C34" s="24" t="n">
        <v>166118</v>
      </c>
      <c r="D34" s="25" t="s">
        <v>57</v>
      </c>
      <c r="G34" s="26" t="s">
        <v>20</v>
      </c>
      <c r="H34" s="26" t="s">
        <v>20</v>
      </c>
      <c r="J34" s="23" t="s">
        <v>46</v>
      </c>
    </row>
    <row r="36" customFormat="false" ht="12.75" hidden="false" customHeight="false" outlineLevel="0" collapsed="false">
      <c r="A36" s="23" t="s">
        <v>58</v>
      </c>
      <c r="B36" s="24" t="s">
        <v>59</v>
      </c>
      <c r="C36" s="24" t="n">
        <v>102637</v>
      </c>
      <c r="D36" s="25" t="s">
        <v>60</v>
      </c>
      <c r="F36" s="23" t="n">
        <v>60000</v>
      </c>
      <c r="J36" s="23" t="s">
        <v>61</v>
      </c>
    </row>
    <row r="37" customFormat="false" ht="12.75" hidden="false" customHeight="false" outlineLevel="0" collapsed="false">
      <c r="A37" s="23" t="s">
        <v>58</v>
      </c>
      <c r="B37" s="24" t="s">
        <v>62</v>
      </c>
      <c r="C37" s="24" t="n">
        <v>549343</v>
      </c>
    </row>
    <row r="38" customFormat="false" ht="12.75" hidden="false" customHeight="false" outlineLevel="0" collapsed="false">
      <c r="A38" s="23" t="s">
        <v>58</v>
      </c>
      <c r="B38" s="24" t="s">
        <v>63</v>
      </c>
      <c r="C38" s="24" t="n">
        <v>549352</v>
      </c>
    </row>
    <row r="39" customFormat="false" ht="12.75" hidden="false" customHeight="false" outlineLevel="0" collapsed="false">
      <c r="A39" s="23" t="s">
        <v>58</v>
      </c>
      <c r="B39" s="24" t="s">
        <v>64</v>
      </c>
      <c r="C39" s="24" t="n">
        <v>549353</v>
      </c>
    </row>
    <row r="40" customFormat="false" ht="12.75" hidden="false" customHeight="false" outlineLevel="0" collapsed="false">
      <c r="A40" s="23" t="s">
        <v>58</v>
      </c>
      <c r="B40" s="24" t="s">
        <v>65</v>
      </c>
      <c r="C40" s="24" t="n">
        <v>549354</v>
      </c>
    </row>
    <row r="43" customFormat="false" ht="12.75" hidden="false" customHeight="false" outlineLevel="0" collapsed="false">
      <c r="A43" s="23" t="s">
        <v>66</v>
      </c>
      <c r="B43" s="24" t="s">
        <v>67</v>
      </c>
      <c r="C43" s="24" t="n">
        <v>104749</v>
      </c>
      <c r="D43" s="25" t="s">
        <v>68</v>
      </c>
      <c r="G43" s="26" t="s">
        <v>69</v>
      </c>
      <c r="J43" s="23" t="s">
        <v>70</v>
      </c>
    </row>
    <row r="44" customFormat="false" ht="12.75" hidden="false" customHeight="false" outlineLevel="0" collapsed="false">
      <c r="A44" s="23" t="s">
        <v>66</v>
      </c>
      <c r="B44" s="24" t="s">
        <v>71</v>
      </c>
      <c r="C44" s="24" t="n">
        <v>82026</v>
      </c>
      <c r="D44" s="25" t="s">
        <v>19</v>
      </c>
      <c r="G44" s="26" t="s">
        <v>20</v>
      </c>
      <c r="H44" s="26" t="s">
        <v>20</v>
      </c>
    </row>
    <row r="45" customFormat="false" ht="12.75" hidden="false" customHeight="false" outlineLevel="0" collapsed="false">
      <c r="A45" s="23" t="s">
        <v>66</v>
      </c>
      <c r="B45" s="24" t="s">
        <v>72</v>
      </c>
      <c r="C45" s="24" t="n">
        <v>312407</v>
      </c>
      <c r="D45" s="25" t="s">
        <v>73</v>
      </c>
      <c r="G45" s="26" t="s">
        <v>20</v>
      </c>
      <c r="H45" s="26" t="s">
        <v>20</v>
      </c>
      <c r="J45" s="23" t="s">
        <v>74</v>
      </c>
    </row>
    <row r="46" customFormat="false" ht="12.75" hidden="false" customHeight="false" outlineLevel="0" collapsed="false">
      <c r="A46" s="23" t="s">
        <v>66</v>
      </c>
      <c r="B46" s="24" t="s">
        <v>75</v>
      </c>
      <c r="C46" s="24" t="s">
        <v>76</v>
      </c>
      <c r="D46" s="25" t="s">
        <v>77</v>
      </c>
      <c r="G46" s="26" t="s">
        <v>20</v>
      </c>
      <c r="H46" s="26" t="s">
        <v>20</v>
      </c>
      <c r="J46" s="23" t="s">
        <v>78</v>
      </c>
    </row>
    <row r="48" customFormat="false" ht="12.75" hidden="false" customHeight="false" outlineLevel="0" collapsed="false">
      <c r="A48" s="23" t="s">
        <v>79</v>
      </c>
      <c r="B48" s="24" t="s">
        <v>80</v>
      </c>
      <c r="C48" s="24" t="n">
        <v>117510</v>
      </c>
      <c r="D48" s="25" t="s">
        <v>19</v>
      </c>
      <c r="J48" s="23" t="s">
        <v>81</v>
      </c>
    </row>
    <row r="50" customFormat="false" ht="12.75" hidden="false" customHeight="false" outlineLevel="0" collapsed="false">
      <c r="A50" s="23" t="s">
        <v>82</v>
      </c>
      <c r="B50" s="24" t="n">
        <v>15</v>
      </c>
      <c r="C50" s="24" t="n">
        <v>125711</v>
      </c>
      <c r="D50" s="25" t="s">
        <v>19</v>
      </c>
    </row>
    <row r="52" customFormat="false" ht="12.75" hidden="false" customHeight="false" outlineLevel="0" collapsed="false">
      <c r="A52" s="23" t="s">
        <v>83</v>
      </c>
      <c r="B52" s="24" t="s">
        <v>84</v>
      </c>
      <c r="C52" s="24" t="n">
        <v>124109</v>
      </c>
      <c r="D52" s="25" t="s">
        <v>85</v>
      </c>
    </row>
    <row r="53" customFormat="false" ht="12.75" hidden="false" customHeight="false" outlineLevel="0" collapsed="false">
      <c r="A53" s="23" t="s">
        <v>83</v>
      </c>
      <c r="B53" s="24" t="s">
        <v>86</v>
      </c>
      <c r="C53" s="24" t="n">
        <v>77753</v>
      </c>
      <c r="D53" s="25" t="s">
        <v>19</v>
      </c>
    </row>
    <row r="55" customFormat="false" ht="12.75" hidden="false" customHeight="false" outlineLevel="0" collapsed="false">
      <c r="A55" s="23" t="s">
        <v>87</v>
      </c>
      <c r="B55" s="24" t="s">
        <v>88</v>
      </c>
      <c r="C55" s="24" t="n">
        <v>220796</v>
      </c>
      <c r="D55" s="25" t="s">
        <v>19</v>
      </c>
      <c r="F55" s="23" t="s">
        <v>89</v>
      </c>
      <c r="J55" s="23" t="s">
        <v>90</v>
      </c>
    </row>
    <row r="58" customFormat="false" ht="12.75" hidden="false" customHeight="false" outlineLevel="0" collapsed="false">
      <c r="A58" s="37" t="s">
        <v>91</v>
      </c>
      <c r="B58" s="38" t="s">
        <v>2</v>
      </c>
      <c r="C58" s="38" t="s">
        <v>2</v>
      </c>
      <c r="D58" s="39" t="s">
        <v>89</v>
      </c>
      <c r="E58" s="39" t="s">
        <v>89</v>
      </c>
      <c r="F58" s="37" t="s">
        <v>92</v>
      </c>
      <c r="G58" s="37" t="s">
        <v>92</v>
      </c>
      <c r="H58" s="38" t="s">
        <v>19</v>
      </c>
      <c r="I58" s="40" t="n">
        <v>0</v>
      </c>
      <c r="J58" s="41" t="n">
        <v>0</v>
      </c>
      <c r="K58" s="41" t="n">
        <v>0.0022</v>
      </c>
      <c r="L58" s="41" t="n">
        <v>0.0072</v>
      </c>
      <c r="M58" s="41" t="n">
        <v>0.0131</v>
      </c>
      <c r="N58" s="42" t="n">
        <v>0</v>
      </c>
      <c r="O58" s="41" t="n">
        <f aca="false">SUM(I58:M58)</f>
        <v>0.0225</v>
      </c>
      <c r="P58" s="43" t="s">
        <v>93</v>
      </c>
      <c r="Q58" s="43" t="s">
        <v>93</v>
      </c>
      <c r="R58" s="38" t="n">
        <v>0</v>
      </c>
      <c r="S58" s="37" t="s">
        <v>94</v>
      </c>
      <c r="T58" s="44" t="n">
        <f aca="false">I58*I$1*R58</f>
        <v>0</v>
      </c>
      <c r="U58" s="44"/>
      <c r="V58" s="45"/>
      <c r="W58" s="45" t="n">
        <v>145336</v>
      </c>
      <c r="X58" s="46"/>
      <c r="Y58" s="46"/>
    </row>
    <row r="60" customFormat="false" ht="12.75" hidden="false" customHeight="false" outlineLevel="0" collapsed="false">
      <c r="A60" s="23" t="s">
        <v>95</v>
      </c>
      <c r="B60" s="24" t="s">
        <v>96</v>
      </c>
      <c r="C60" s="24" t="n">
        <v>220903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8.85"/>
    <col collapsed="false" customWidth="false" hidden="false" outlineLevel="0" max="2" min="2" style="8" width="9.14"/>
    <col collapsed="false" customWidth="true" hidden="false" outlineLevel="0" max="3" min="3" style="8" width="10.56"/>
    <col collapsed="false" customWidth="true" hidden="false" outlineLevel="0" max="4" min="4" style="8" width="8.7"/>
    <col collapsed="false" customWidth="true" hidden="false" outlineLevel="0" max="5" min="5" style="8" width="10.99"/>
    <col collapsed="false" customWidth="true" hidden="false" outlineLevel="0" max="6" min="6" style="47" width="12.42"/>
    <col collapsed="false" customWidth="true" hidden="false" outlineLevel="0" max="7" min="7" style="47" width="7.99"/>
    <col collapsed="false" customWidth="true" hidden="false" outlineLevel="0" max="8" min="8" style="8" width="6.41"/>
    <col collapsed="false" customWidth="true" hidden="true" outlineLevel="0" max="9" min="9" style="8" width="8.85"/>
    <col collapsed="false" customWidth="true" hidden="true" outlineLevel="0" max="13" min="10" style="8" width="9.06"/>
    <col collapsed="false" customWidth="true" hidden="true" outlineLevel="0" max="14" min="14" style="48" width="9.06"/>
    <col collapsed="false" customWidth="true" hidden="true" outlineLevel="0" max="15" min="15" style="8" width="9.06"/>
    <col collapsed="false" customWidth="true" hidden="false" outlineLevel="0" max="16" min="16" style="49" width="12.28"/>
    <col collapsed="false" customWidth="false" hidden="false" outlineLevel="0" max="17" min="17" style="8" width="9.14"/>
    <col collapsed="false" customWidth="true" hidden="false" outlineLevel="0" max="18" min="18" style="8" width="13.7"/>
    <col collapsed="false" customWidth="false" hidden="false" outlineLevel="0" max="20" min="19" style="8" width="9.14"/>
    <col collapsed="false" customWidth="true" hidden="false" outlineLevel="0" max="21" min="21" style="49" width="13.56"/>
    <col collapsed="false" customWidth="true" hidden="false" outlineLevel="0" max="22" min="22" style="8" width="42.28"/>
    <col collapsed="false" customWidth="false" hidden="false" outlineLevel="0" max="24" min="23" style="49" width="9.14"/>
    <col collapsed="false" customWidth="true" hidden="false" outlineLevel="0" max="25" min="25" style="8" width="12.42"/>
    <col collapsed="false" customWidth="false" hidden="false" outlineLevel="0" max="257" min="26" style="8" width="9.14"/>
  </cols>
  <sheetData>
    <row r="1" customFormat="false" ht="12.75" hidden="false" customHeight="false" outlineLevel="0" collapsed="false">
      <c r="A1" s="50" t="s">
        <v>97</v>
      </c>
      <c r="B1" s="38"/>
      <c r="C1" s="38"/>
      <c r="D1" s="39"/>
      <c r="E1" s="39"/>
      <c r="F1" s="37"/>
      <c r="G1" s="37"/>
      <c r="H1" s="38" t="s">
        <v>98</v>
      </c>
      <c r="I1" s="51" t="n">
        <v>31</v>
      </c>
      <c r="J1" s="52" t="s">
        <v>99</v>
      </c>
      <c r="K1" s="41"/>
      <c r="L1" s="41"/>
      <c r="M1" s="41"/>
      <c r="N1" s="42"/>
      <c r="O1" s="41"/>
      <c r="P1" s="46"/>
      <c r="Q1" s="53"/>
      <c r="R1" s="54"/>
      <c r="S1" s="54"/>
      <c r="T1" s="54"/>
      <c r="U1" s="55"/>
      <c r="V1" s="54"/>
      <c r="W1" s="56"/>
      <c r="X1" s="56"/>
    </row>
    <row r="2" customFormat="false" ht="12.75" hidden="false" customHeight="false" outlineLevel="0" collapsed="false">
      <c r="A2" s="57" t="s">
        <v>100</v>
      </c>
      <c r="B2" s="57"/>
      <c r="C2" s="57"/>
      <c r="D2" s="39"/>
      <c r="E2" s="39"/>
      <c r="F2" s="37"/>
      <c r="G2" s="37"/>
      <c r="H2" s="38"/>
      <c r="I2" s="51"/>
      <c r="J2" s="52" t="s">
        <v>101</v>
      </c>
      <c r="K2" s="41"/>
      <c r="L2" s="41"/>
      <c r="M2" s="41"/>
      <c r="N2" s="42"/>
      <c r="O2" s="41"/>
      <c r="P2" s="46"/>
      <c r="Q2" s="53"/>
      <c r="R2" s="54"/>
      <c r="S2" s="54"/>
      <c r="T2" s="54"/>
      <c r="U2" s="55"/>
      <c r="V2" s="54"/>
      <c r="W2" s="56"/>
      <c r="X2" s="56"/>
    </row>
    <row r="3" customFormat="false" ht="12.75" hidden="false" customHeight="false" outlineLevel="0" collapsed="false">
      <c r="A3" s="58" t="s">
        <v>102</v>
      </c>
      <c r="B3" s="58"/>
      <c r="C3" s="58"/>
      <c r="D3" s="39"/>
      <c r="E3" s="39"/>
      <c r="F3" s="59" t="s">
        <v>9</v>
      </c>
      <c r="G3" s="37" t="s">
        <v>9</v>
      </c>
      <c r="H3" s="53" t="s">
        <v>9</v>
      </c>
      <c r="I3" s="40"/>
      <c r="J3" s="60" t="s">
        <v>9</v>
      </c>
      <c r="K3" s="41"/>
      <c r="L3" s="60" t="s">
        <v>9</v>
      </c>
      <c r="M3" s="41"/>
      <c r="N3" s="42"/>
      <c r="O3" s="60" t="s">
        <v>9</v>
      </c>
      <c r="P3" s="46"/>
      <c r="Q3" s="53"/>
      <c r="R3" s="54"/>
      <c r="S3" s="54"/>
      <c r="T3" s="54"/>
      <c r="U3" s="55"/>
      <c r="V3" s="54"/>
      <c r="W3" s="56"/>
      <c r="X3" s="56"/>
    </row>
    <row r="4" customFormat="false" ht="12.75" hidden="false" customHeight="false" outlineLevel="0" collapsed="false">
      <c r="A4" s="61" t="s">
        <v>103</v>
      </c>
      <c r="B4" s="62"/>
      <c r="C4" s="62"/>
      <c r="D4" s="39"/>
      <c r="E4" s="39"/>
      <c r="F4" s="63"/>
      <c r="G4" s="37"/>
      <c r="H4" s="63"/>
      <c r="I4" s="40"/>
      <c r="J4" s="63"/>
      <c r="K4" s="41"/>
      <c r="L4" s="63"/>
      <c r="M4" s="53"/>
      <c r="N4" s="42"/>
      <c r="O4" s="53"/>
      <c r="P4" s="46"/>
      <c r="Q4" s="53"/>
      <c r="R4" s="54"/>
      <c r="S4" s="64"/>
      <c r="T4" s="64"/>
      <c r="U4" s="65"/>
      <c r="V4" s="54"/>
      <c r="W4" s="56"/>
      <c r="X4" s="56"/>
    </row>
    <row r="5" customFormat="false" ht="12.75" hidden="false" customHeight="false" outlineLevel="0" collapsed="false">
      <c r="A5" s="37" t="s">
        <v>104</v>
      </c>
      <c r="B5" s="38"/>
      <c r="C5" s="66" t="s">
        <v>105</v>
      </c>
      <c r="D5" s="39"/>
      <c r="E5" s="39"/>
      <c r="F5" s="63"/>
      <c r="G5" s="37"/>
      <c r="H5" s="63"/>
      <c r="I5" s="40"/>
      <c r="J5" s="63"/>
      <c r="K5" s="41"/>
      <c r="L5" s="63"/>
      <c r="M5" s="53"/>
      <c r="N5" s="42"/>
      <c r="O5" s="53"/>
      <c r="P5" s="46"/>
      <c r="Q5" s="53"/>
      <c r="R5" s="54"/>
      <c r="S5" s="64"/>
      <c r="T5" s="64"/>
      <c r="U5" s="65"/>
      <c r="V5" s="54"/>
      <c r="W5" s="56"/>
      <c r="X5" s="56"/>
    </row>
    <row r="6" customFormat="false" ht="12.75" hidden="false" customHeight="false" outlineLevel="0" collapsed="false">
      <c r="A6" s="37"/>
      <c r="B6" s="38"/>
      <c r="C6" s="66" t="s">
        <v>106</v>
      </c>
      <c r="D6" s="39"/>
      <c r="E6" s="39"/>
      <c r="F6" s="63"/>
      <c r="G6" s="37"/>
      <c r="H6" s="63"/>
      <c r="I6" s="40"/>
      <c r="J6" s="63"/>
      <c r="K6" s="41"/>
      <c r="L6" s="63"/>
      <c r="M6" s="53"/>
      <c r="N6" s="42"/>
      <c r="O6" s="53"/>
      <c r="P6" s="46"/>
      <c r="Q6" s="53"/>
      <c r="R6" s="54"/>
      <c r="S6" s="64"/>
      <c r="T6" s="64"/>
      <c r="U6" s="65"/>
      <c r="V6" s="54"/>
      <c r="W6" s="56"/>
      <c r="X6" s="56"/>
    </row>
    <row r="7" customFormat="false" ht="12.75" hidden="false" customHeight="false" outlineLevel="0" collapsed="false">
      <c r="A7" s="37"/>
      <c r="B7" s="38"/>
      <c r="C7" s="66" t="s">
        <v>107</v>
      </c>
      <c r="D7" s="39"/>
      <c r="E7" s="39"/>
      <c r="F7" s="63"/>
      <c r="G7" s="37"/>
      <c r="H7" s="63"/>
      <c r="I7" s="40"/>
      <c r="J7" s="63"/>
      <c r="K7" s="41"/>
      <c r="L7" s="63"/>
      <c r="M7" s="53"/>
      <c r="N7" s="42"/>
      <c r="O7" s="53"/>
      <c r="P7" s="46"/>
      <c r="Q7" s="53"/>
      <c r="R7" s="54"/>
      <c r="S7" s="64"/>
      <c r="T7" s="64"/>
      <c r="U7" s="65"/>
      <c r="V7" s="54"/>
      <c r="W7" s="56"/>
      <c r="X7" s="56"/>
    </row>
    <row r="8" customFormat="false" ht="12.75" hidden="false" customHeight="false" outlineLevel="0" collapsed="false">
      <c r="A8" s="37"/>
      <c r="B8" s="38"/>
      <c r="C8" s="66"/>
      <c r="D8" s="39"/>
      <c r="E8" s="39"/>
      <c r="F8" s="63"/>
      <c r="G8" s="37"/>
      <c r="H8" s="63"/>
      <c r="I8" s="40"/>
      <c r="J8" s="63"/>
      <c r="K8" s="41"/>
      <c r="L8" s="63"/>
      <c r="M8" s="53"/>
      <c r="N8" s="42"/>
      <c r="O8" s="53"/>
      <c r="P8" s="46"/>
      <c r="Q8" s="53"/>
      <c r="R8" s="54"/>
      <c r="S8" s="64"/>
      <c r="T8" s="64"/>
      <c r="U8" s="65"/>
      <c r="V8" s="54"/>
      <c r="W8" s="56"/>
      <c r="X8" s="56"/>
    </row>
    <row r="9" customFormat="false" ht="12.75" hidden="false" customHeight="false" outlineLevel="0" collapsed="false">
      <c r="A9" s="37"/>
      <c r="B9" s="38"/>
      <c r="C9" s="66"/>
      <c r="D9" s="39"/>
      <c r="E9" s="39"/>
      <c r="F9" s="63"/>
      <c r="G9" s="37"/>
      <c r="H9" s="63"/>
      <c r="I9" s="40"/>
      <c r="J9" s="63"/>
      <c r="K9" s="41"/>
      <c r="L9" s="63"/>
      <c r="M9" s="53"/>
      <c r="N9" s="42"/>
      <c r="O9" s="53"/>
      <c r="P9" s="46"/>
      <c r="Q9" s="53"/>
      <c r="R9" s="54"/>
      <c r="S9" s="64"/>
      <c r="T9" s="64"/>
      <c r="U9" s="65"/>
      <c r="V9" s="54"/>
      <c r="W9" s="56"/>
      <c r="X9" s="56"/>
    </row>
    <row r="10" customFormat="false" ht="12.75" hidden="false" customHeight="false" outlineLevel="0" collapsed="false">
      <c r="A10" s="37"/>
      <c r="B10" s="38"/>
      <c r="C10" s="38"/>
      <c r="D10" s="39"/>
      <c r="E10" s="39"/>
      <c r="F10" s="63"/>
      <c r="G10" s="37"/>
      <c r="H10" s="63"/>
      <c r="I10" s="40"/>
      <c r="J10" s="63"/>
      <c r="K10" s="41"/>
      <c r="L10" s="63"/>
      <c r="M10" s="53"/>
      <c r="N10" s="42"/>
      <c r="O10" s="53"/>
      <c r="P10" s="46"/>
      <c r="Q10" s="53"/>
      <c r="R10" s="54"/>
      <c r="S10" s="64"/>
      <c r="T10" s="64"/>
      <c r="U10" s="65"/>
      <c r="V10" s="54"/>
      <c r="W10" s="56"/>
      <c r="X10" s="56"/>
    </row>
    <row r="11" customFormat="false" ht="12.75" hidden="false" customHeight="false" outlineLevel="0" collapsed="false">
      <c r="A11" s="67" t="s">
        <v>108</v>
      </c>
      <c r="B11" s="68" t="s">
        <v>109</v>
      </c>
      <c r="C11" s="68" t="s">
        <v>110</v>
      </c>
      <c r="D11" s="69" t="s">
        <v>111</v>
      </c>
      <c r="E11" s="69"/>
      <c r="F11" s="67" t="s">
        <v>112</v>
      </c>
      <c r="G11" s="67" t="s">
        <v>113</v>
      </c>
      <c r="H11" s="68" t="s">
        <v>114</v>
      </c>
      <c r="I11" s="70" t="s">
        <v>115</v>
      </c>
      <c r="J11" s="68" t="s">
        <v>116</v>
      </c>
      <c r="K11" s="68" t="s">
        <v>117</v>
      </c>
      <c r="L11" s="68" t="s">
        <v>118</v>
      </c>
      <c r="M11" s="68" t="s">
        <v>7</v>
      </c>
      <c r="N11" s="71" t="s">
        <v>119</v>
      </c>
      <c r="O11" s="68" t="s">
        <v>120</v>
      </c>
      <c r="P11" s="72" t="s">
        <v>121</v>
      </c>
      <c r="Q11" s="68" t="s">
        <v>122</v>
      </c>
      <c r="R11" s="67" t="s">
        <v>123</v>
      </c>
      <c r="S11" s="73" t="s">
        <v>124</v>
      </c>
      <c r="T11" s="73" t="s">
        <v>125</v>
      </c>
      <c r="U11" s="74" t="s">
        <v>12</v>
      </c>
      <c r="V11" s="73" t="s">
        <v>126</v>
      </c>
      <c r="W11" s="46"/>
      <c r="X11" s="46"/>
    </row>
    <row r="12" customFormat="false" ht="12.75" hidden="false" customHeight="false" outlineLevel="0" collapsed="false">
      <c r="A12" s="37" t="s">
        <v>91</v>
      </c>
      <c r="B12" s="38" t="s">
        <v>127</v>
      </c>
      <c r="C12" s="38" t="s">
        <v>128</v>
      </c>
      <c r="D12" s="39" t="n">
        <v>36526</v>
      </c>
      <c r="E12" s="39" t="n">
        <v>36830</v>
      </c>
      <c r="F12" s="37" t="s">
        <v>129</v>
      </c>
      <c r="G12" s="37" t="s">
        <v>130</v>
      </c>
      <c r="H12" s="38"/>
      <c r="I12" s="40" t="n">
        <f aca="false">1.0603/I$1</f>
        <v>0.0342032258064516</v>
      </c>
      <c r="J12" s="41" t="n">
        <v>0.0017</v>
      </c>
      <c r="K12" s="41" t="n">
        <v>0.0022</v>
      </c>
      <c r="L12" s="41" t="n">
        <v>0</v>
      </c>
      <c r="M12" s="41" t="n">
        <v>0</v>
      </c>
      <c r="N12" s="42" t="n">
        <v>0.00593</v>
      </c>
      <c r="O12" s="41" t="n">
        <f aca="false">SUM(I12:M12)</f>
        <v>0.0381032258064516</v>
      </c>
      <c r="P12" s="46" t="n">
        <v>42789</v>
      </c>
      <c r="Q12" s="38" t="n">
        <v>30000</v>
      </c>
      <c r="R12" s="37" t="s">
        <v>131</v>
      </c>
      <c r="S12" s="44" t="n">
        <f aca="false">I12*I$1*Q12</f>
        <v>31809</v>
      </c>
      <c r="T12" s="44"/>
      <c r="U12" s="45" t="n">
        <v>140447</v>
      </c>
      <c r="V12" s="37"/>
      <c r="W12" s="46"/>
      <c r="X12" s="46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2.75" hidden="false" customHeight="false" outlineLevel="0" collapsed="false">
      <c r="A13" s="75" t="s">
        <v>9</v>
      </c>
      <c r="B13" s="76" t="s">
        <v>9</v>
      </c>
      <c r="C13" s="77" t="s">
        <v>9</v>
      </c>
      <c r="D13" s="78" t="s">
        <v>9</v>
      </c>
      <c r="E13" s="78"/>
      <c r="F13" s="75" t="s">
        <v>9</v>
      </c>
      <c r="G13" s="79" t="s">
        <v>9</v>
      </c>
      <c r="H13" s="76" t="s">
        <v>9</v>
      </c>
      <c r="I13" s="80"/>
      <c r="J13" s="81"/>
      <c r="K13" s="81"/>
      <c r="L13" s="81"/>
      <c r="M13" s="81"/>
      <c r="N13" s="82"/>
      <c r="O13" s="81"/>
      <c r="P13" s="83" t="s">
        <v>9</v>
      </c>
      <c r="Q13" s="76" t="n">
        <f aca="false">SUM(Q12)</f>
        <v>30000</v>
      </c>
      <c r="R13" s="75" t="s">
        <v>9</v>
      </c>
      <c r="S13" s="84" t="n">
        <f aca="false">SUM(S12)</f>
        <v>31809</v>
      </c>
      <c r="T13" s="84" t="n">
        <f aca="false">SUM(T12)</f>
        <v>0</v>
      </c>
      <c r="U13" s="85"/>
      <c r="V13" s="86"/>
      <c r="W13" s="46"/>
      <c r="X13" s="46"/>
    </row>
    <row r="14" customFormat="false" ht="12.75" hidden="false" customHeight="false" outlineLevel="0" collapsed="false">
      <c r="A14" s="67" t="s">
        <v>108</v>
      </c>
      <c r="B14" s="68" t="s">
        <v>109</v>
      </c>
      <c r="C14" s="68" t="s">
        <v>110</v>
      </c>
      <c r="D14" s="69" t="s">
        <v>111</v>
      </c>
      <c r="E14" s="69"/>
      <c r="F14" s="67" t="s">
        <v>112</v>
      </c>
      <c r="G14" s="67" t="s">
        <v>113</v>
      </c>
      <c r="H14" s="68" t="s">
        <v>114</v>
      </c>
      <c r="I14" s="70" t="s">
        <v>115</v>
      </c>
      <c r="J14" s="68" t="s">
        <v>116</v>
      </c>
      <c r="K14" s="68" t="s">
        <v>117</v>
      </c>
      <c r="L14" s="68" t="s">
        <v>118</v>
      </c>
      <c r="M14" s="68" t="s">
        <v>7</v>
      </c>
      <c r="N14" s="71" t="s">
        <v>119</v>
      </c>
      <c r="O14" s="68" t="s">
        <v>120</v>
      </c>
      <c r="P14" s="72" t="s">
        <v>121</v>
      </c>
      <c r="Q14" s="68" t="s">
        <v>122</v>
      </c>
      <c r="R14" s="67" t="s">
        <v>123</v>
      </c>
      <c r="S14" s="73" t="s">
        <v>132</v>
      </c>
      <c r="T14" s="73" t="s">
        <v>132</v>
      </c>
      <c r="U14" s="74"/>
      <c r="V14" s="73" t="str">
        <f aca="false">+V11</f>
        <v>Questions</v>
      </c>
      <c r="W14" s="46"/>
      <c r="X14" s="46"/>
    </row>
    <row r="15" customFormat="false" ht="12.75" hidden="false" customHeight="false" outlineLevel="0" collapsed="false">
      <c r="A15" s="37" t="s">
        <v>91</v>
      </c>
      <c r="B15" s="38" t="s">
        <v>133</v>
      </c>
      <c r="C15" s="38" t="s">
        <v>128</v>
      </c>
      <c r="D15" s="39" t="n">
        <v>36526</v>
      </c>
      <c r="E15" s="39" t="s">
        <v>89</v>
      </c>
      <c r="F15" s="37" t="s">
        <v>134</v>
      </c>
      <c r="G15" s="37" t="s">
        <v>134</v>
      </c>
      <c r="H15" s="38"/>
      <c r="I15" s="40" t="n">
        <v>0</v>
      </c>
      <c r="J15" s="41" t="n">
        <v>0</v>
      </c>
      <c r="K15" s="41" t="n">
        <v>0</v>
      </c>
      <c r="L15" s="41" t="n">
        <v>0</v>
      </c>
      <c r="M15" s="41" t="n">
        <v>0</v>
      </c>
      <c r="N15" s="42" t="n">
        <v>0</v>
      </c>
      <c r="O15" s="41" t="n">
        <f aca="false">SUM(I15:M15)</f>
        <v>0</v>
      </c>
      <c r="P15" s="46" t="n">
        <v>36907</v>
      </c>
      <c r="Q15" s="38" t="n">
        <v>0</v>
      </c>
      <c r="R15" s="37" t="s">
        <v>135</v>
      </c>
      <c r="S15" s="44" t="n">
        <f aca="false">I15*I$1*Q15</f>
        <v>0</v>
      </c>
      <c r="T15" s="44"/>
      <c r="U15" s="45" t="n">
        <v>148659</v>
      </c>
      <c r="V15" s="44"/>
      <c r="W15" s="46"/>
      <c r="X15" s="46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2.75" hidden="false" customHeight="false" outlineLevel="0" collapsed="false">
      <c r="A16" s="37" t="s">
        <v>136</v>
      </c>
      <c r="B16" s="38" t="s">
        <v>133</v>
      </c>
      <c r="C16" s="38" t="s">
        <v>137</v>
      </c>
      <c r="D16" s="39" t="n">
        <v>36526</v>
      </c>
      <c r="E16" s="39" t="s">
        <v>89</v>
      </c>
      <c r="F16" s="37" t="s">
        <v>134</v>
      </c>
      <c r="G16" s="37" t="s">
        <v>134</v>
      </c>
      <c r="H16" s="38"/>
      <c r="I16" s="40" t="n">
        <v>0</v>
      </c>
      <c r="J16" s="41" t="n">
        <v>0</v>
      </c>
      <c r="K16" s="41" t="n">
        <v>0</v>
      </c>
      <c r="L16" s="41" t="n">
        <v>0</v>
      </c>
      <c r="M16" s="41" t="n">
        <v>0</v>
      </c>
      <c r="N16" s="42" t="n">
        <v>0</v>
      </c>
      <c r="O16" s="41" t="n">
        <f aca="false">SUM(I16:M16)</f>
        <v>0</v>
      </c>
      <c r="P16" s="46" t="n">
        <v>48049</v>
      </c>
      <c r="Q16" s="38" t="n">
        <v>0</v>
      </c>
      <c r="R16" s="37" t="s">
        <v>135</v>
      </c>
      <c r="S16" s="44" t="n">
        <f aca="false">I16*I$1*Q16</f>
        <v>0</v>
      </c>
      <c r="T16" s="44"/>
      <c r="U16" s="45" t="n">
        <v>149173</v>
      </c>
      <c r="V16" s="44"/>
      <c r="W16" s="46"/>
      <c r="X16" s="46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false" customHeight="false" outlineLevel="0" collapsed="false">
      <c r="A17" s="37" t="s">
        <v>91</v>
      </c>
      <c r="B17" s="38" t="s">
        <v>133</v>
      </c>
      <c r="C17" s="38" t="s">
        <v>128</v>
      </c>
      <c r="D17" s="39" t="n">
        <v>36526</v>
      </c>
      <c r="E17" s="39" t="s">
        <v>89</v>
      </c>
      <c r="F17" s="37" t="s">
        <v>134</v>
      </c>
      <c r="G17" s="37" t="s">
        <v>134</v>
      </c>
      <c r="H17" s="38"/>
      <c r="I17" s="40" t="n">
        <v>0</v>
      </c>
      <c r="J17" s="41" t="n">
        <v>0</v>
      </c>
      <c r="K17" s="41" t="n">
        <v>0</v>
      </c>
      <c r="L17" s="41" t="n">
        <v>0</v>
      </c>
      <c r="M17" s="41" t="n">
        <v>0</v>
      </c>
      <c r="N17" s="42" t="n">
        <v>0</v>
      </c>
      <c r="O17" s="41" t="n">
        <f aca="false">SUM(I17:M17)</f>
        <v>0</v>
      </c>
      <c r="P17" s="46" t="n">
        <v>39999</v>
      </c>
      <c r="Q17" s="38" t="n">
        <v>0</v>
      </c>
      <c r="R17" s="37" t="s">
        <v>138</v>
      </c>
      <c r="S17" s="44" t="n">
        <f aca="false">I17*I$1*Q17</f>
        <v>0</v>
      </c>
      <c r="T17" s="44"/>
      <c r="U17" s="45" t="n">
        <v>149337</v>
      </c>
      <c r="V17" s="44"/>
      <c r="W17" s="46"/>
      <c r="X17" s="46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2.75" hidden="false" customHeight="false" outlineLevel="0" collapsed="false">
      <c r="A18" s="37" t="s">
        <v>136</v>
      </c>
      <c r="B18" s="38" t="s">
        <v>133</v>
      </c>
      <c r="C18" s="38" t="s">
        <v>137</v>
      </c>
      <c r="D18" s="39" t="n">
        <v>36526</v>
      </c>
      <c r="E18" s="39" t="s">
        <v>89</v>
      </c>
      <c r="F18" s="37" t="s">
        <v>134</v>
      </c>
      <c r="G18" s="37" t="s">
        <v>134</v>
      </c>
      <c r="H18" s="38"/>
      <c r="I18" s="40" t="n">
        <v>0</v>
      </c>
      <c r="J18" s="41" t="n">
        <v>0</v>
      </c>
      <c r="K18" s="41" t="n">
        <v>0</v>
      </c>
      <c r="L18" s="41" t="n">
        <v>0</v>
      </c>
      <c r="M18" s="41" t="n">
        <v>0</v>
      </c>
      <c r="N18" s="42" t="n">
        <v>0</v>
      </c>
      <c r="O18" s="41" t="n">
        <f aca="false">SUM(I18:M18)</f>
        <v>0</v>
      </c>
      <c r="P18" s="46" t="n">
        <v>48050</v>
      </c>
      <c r="Q18" s="38" t="n">
        <v>0</v>
      </c>
      <c r="R18" s="37" t="s">
        <v>138</v>
      </c>
      <c r="S18" s="44" t="n">
        <f aca="false">I18*I$1*Q18</f>
        <v>0</v>
      </c>
      <c r="T18" s="44"/>
      <c r="U18" s="45" t="n">
        <v>149338</v>
      </c>
      <c r="V18" s="44"/>
      <c r="W18" s="46"/>
      <c r="X18" s="46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37"/>
      <c r="B19" s="38"/>
      <c r="C19" s="38"/>
      <c r="D19" s="39" t="s">
        <v>9</v>
      </c>
      <c r="E19" s="39"/>
      <c r="F19" s="37"/>
      <c r="G19" s="37"/>
      <c r="H19" s="38"/>
      <c r="I19" s="40"/>
      <c r="J19" s="41"/>
      <c r="K19" s="87"/>
      <c r="L19" s="41"/>
      <c r="M19" s="41"/>
      <c r="N19" s="42"/>
      <c r="O19" s="41"/>
      <c r="P19" s="56"/>
      <c r="Q19" s="64"/>
      <c r="R19" s="88"/>
      <c r="S19" s="89"/>
      <c r="T19" s="54"/>
      <c r="U19" s="55"/>
      <c r="V19" s="54"/>
      <c r="W19" s="56"/>
      <c r="X19" s="56"/>
    </row>
    <row r="20" customFormat="false" ht="12.75" hidden="false" customHeight="false" outlineLevel="0" collapsed="false">
      <c r="A20" s="67" t="s">
        <v>108</v>
      </c>
      <c r="B20" s="68" t="s">
        <v>109</v>
      </c>
      <c r="C20" s="68" t="s">
        <v>110</v>
      </c>
      <c r="D20" s="69" t="s">
        <v>111</v>
      </c>
      <c r="E20" s="69"/>
      <c r="F20" s="67" t="s">
        <v>112</v>
      </c>
      <c r="G20" s="67" t="s">
        <v>113</v>
      </c>
      <c r="H20" s="68" t="s">
        <v>114</v>
      </c>
      <c r="I20" s="70" t="s">
        <v>115</v>
      </c>
      <c r="J20" s="68" t="s">
        <v>116</v>
      </c>
      <c r="K20" s="68" t="s">
        <v>117</v>
      </c>
      <c r="L20" s="68" t="s">
        <v>118</v>
      </c>
      <c r="M20" s="68" t="s">
        <v>7</v>
      </c>
      <c r="N20" s="71" t="s">
        <v>119</v>
      </c>
      <c r="O20" s="68" t="s">
        <v>120</v>
      </c>
      <c r="P20" s="72" t="s">
        <v>121</v>
      </c>
      <c r="Q20" s="68" t="s">
        <v>122</v>
      </c>
      <c r="R20" s="67" t="s">
        <v>123</v>
      </c>
      <c r="S20" s="73" t="s">
        <v>124</v>
      </c>
      <c r="T20" s="73" t="s">
        <v>125</v>
      </c>
      <c r="U20" s="74" t="s">
        <v>12</v>
      </c>
      <c r="V20" s="73" t="s">
        <v>126</v>
      </c>
      <c r="W20" s="46"/>
      <c r="X20" s="46"/>
    </row>
    <row r="21" customFormat="false" ht="12.75" hidden="false" customHeight="false" outlineLevel="0" collapsed="false">
      <c r="A21" s="37" t="s">
        <v>91</v>
      </c>
      <c r="B21" s="38" t="s">
        <v>139</v>
      </c>
      <c r="C21" s="38" t="s">
        <v>128</v>
      </c>
      <c r="D21" s="39" t="n">
        <v>36526</v>
      </c>
      <c r="E21" s="39" t="s">
        <v>89</v>
      </c>
      <c r="F21" s="37" t="s">
        <v>92</v>
      </c>
      <c r="G21" s="37" t="s">
        <v>92</v>
      </c>
      <c r="H21" s="38" t="s">
        <v>19</v>
      </c>
      <c r="I21" s="40" t="n">
        <v>0</v>
      </c>
      <c r="J21" s="41" t="n">
        <v>0</v>
      </c>
      <c r="K21" s="41" t="n">
        <v>0</v>
      </c>
      <c r="L21" s="41" t="n">
        <v>0</v>
      </c>
      <c r="M21" s="41" t="n">
        <v>0</v>
      </c>
      <c r="N21" s="42" t="n">
        <v>0</v>
      </c>
      <c r="O21" s="41" t="n">
        <f aca="false">SUM(I21:M21)</f>
        <v>0</v>
      </c>
      <c r="P21" s="46" t="n">
        <v>238</v>
      </c>
      <c r="Q21" s="38" t="n">
        <v>0</v>
      </c>
      <c r="R21" s="37" t="s">
        <v>140</v>
      </c>
      <c r="S21" s="44" t="n">
        <f aca="false">I21*I$1*Q21</f>
        <v>0</v>
      </c>
      <c r="T21" s="44"/>
      <c r="U21" s="45" t="n">
        <v>149902</v>
      </c>
      <c r="V21" s="37"/>
      <c r="W21" s="46"/>
      <c r="X21" s="46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2.75" hidden="false" customHeight="false" outlineLevel="0" collapsed="false">
      <c r="A22" s="75" t="s">
        <v>9</v>
      </c>
      <c r="B22" s="76" t="s">
        <v>9</v>
      </c>
      <c r="C22" s="77" t="s">
        <v>9</v>
      </c>
      <c r="D22" s="78" t="s">
        <v>9</v>
      </c>
      <c r="E22" s="78"/>
      <c r="F22" s="75" t="s">
        <v>9</v>
      </c>
      <c r="G22" s="79" t="s">
        <v>9</v>
      </c>
      <c r="H22" s="76" t="s">
        <v>9</v>
      </c>
      <c r="I22" s="80"/>
      <c r="J22" s="81"/>
      <c r="K22" s="81"/>
      <c r="L22" s="81"/>
      <c r="M22" s="81"/>
      <c r="N22" s="82"/>
      <c r="O22" s="81"/>
      <c r="P22" s="83" t="s">
        <v>9</v>
      </c>
      <c r="Q22" s="76" t="n">
        <f aca="false">SUM(Q21)</f>
        <v>0</v>
      </c>
      <c r="R22" s="75" t="s">
        <v>9</v>
      </c>
      <c r="S22" s="84" t="n">
        <f aca="false">SUM(S21)</f>
        <v>0</v>
      </c>
      <c r="T22" s="84" t="n">
        <f aca="false">SUM(T21)</f>
        <v>0</v>
      </c>
      <c r="U22" s="85"/>
      <c r="V22" s="86"/>
      <c r="W22" s="46"/>
      <c r="X22" s="46"/>
    </row>
    <row r="23" customFormat="false" ht="12.75" hidden="false" customHeight="false" outlineLevel="0" collapsed="false">
      <c r="A23" s="67" t="s">
        <v>108</v>
      </c>
      <c r="B23" s="68" t="s">
        <v>109</v>
      </c>
      <c r="C23" s="68" t="s">
        <v>110</v>
      </c>
      <c r="D23" s="69" t="s">
        <v>111</v>
      </c>
      <c r="E23" s="69"/>
      <c r="F23" s="67" t="s">
        <v>112</v>
      </c>
      <c r="G23" s="67" t="s">
        <v>113</v>
      </c>
      <c r="H23" s="68" t="s">
        <v>114</v>
      </c>
      <c r="I23" s="70" t="s">
        <v>115</v>
      </c>
      <c r="J23" s="68" t="s">
        <v>116</v>
      </c>
      <c r="K23" s="68" t="s">
        <v>117</v>
      </c>
      <c r="L23" s="68" t="s">
        <v>118</v>
      </c>
      <c r="M23" s="68" t="s">
        <v>7</v>
      </c>
      <c r="N23" s="71" t="s">
        <v>119</v>
      </c>
      <c r="O23" s="68" t="s">
        <v>120</v>
      </c>
      <c r="P23" s="72" t="s">
        <v>121</v>
      </c>
      <c r="Q23" s="68" t="s">
        <v>122</v>
      </c>
      <c r="R23" s="67" t="s">
        <v>123</v>
      </c>
      <c r="S23" s="73" t="s">
        <v>124</v>
      </c>
      <c r="T23" s="73" t="s">
        <v>125</v>
      </c>
      <c r="U23" s="74" t="s">
        <v>12</v>
      </c>
      <c r="V23" s="73" t="s">
        <v>126</v>
      </c>
      <c r="W23" s="46"/>
      <c r="X23" s="46"/>
    </row>
    <row r="24" customFormat="false" ht="12.75" hidden="false" customHeight="false" outlineLevel="0" collapsed="false">
      <c r="A24" s="37" t="s">
        <v>91</v>
      </c>
      <c r="B24" s="38" t="s">
        <v>2</v>
      </c>
      <c r="C24" s="38" t="s">
        <v>128</v>
      </c>
      <c r="D24" s="39" t="n">
        <v>36526</v>
      </c>
      <c r="E24" s="39" t="s">
        <v>89</v>
      </c>
      <c r="F24" s="37" t="s">
        <v>92</v>
      </c>
      <c r="G24" s="37" t="s">
        <v>92</v>
      </c>
      <c r="H24" s="38" t="s">
        <v>19</v>
      </c>
      <c r="I24" s="40" t="n">
        <v>0</v>
      </c>
      <c r="J24" s="41" t="n">
        <v>0</v>
      </c>
      <c r="K24" s="41" t="n">
        <v>0</v>
      </c>
      <c r="L24" s="41" t="n">
        <v>0</v>
      </c>
      <c r="M24" s="41" t="n">
        <v>0</v>
      </c>
      <c r="N24" s="42" t="n">
        <v>0</v>
      </c>
      <c r="O24" s="41" t="n">
        <f aca="false">SUM(I24:M24)</f>
        <v>0</v>
      </c>
      <c r="P24" s="46" t="n">
        <v>3.2846</v>
      </c>
      <c r="Q24" s="38" t="n">
        <v>0</v>
      </c>
      <c r="R24" s="37" t="s">
        <v>140</v>
      </c>
      <c r="S24" s="44" t="n">
        <f aca="false">I24*I$1*Q24</f>
        <v>0</v>
      </c>
      <c r="T24" s="44"/>
      <c r="U24" s="45" t="n">
        <v>149876</v>
      </c>
      <c r="V24" s="37"/>
      <c r="W24" s="46"/>
      <c r="X24" s="46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2.75" hidden="false" customHeight="false" outlineLevel="0" collapsed="false">
      <c r="A25" s="75" t="s">
        <v>9</v>
      </c>
      <c r="B25" s="76" t="s">
        <v>9</v>
      </c>
      <c r="C25" s="77" t="s">
        <v>9</v>
      </c>
      <c r="D25" s="78" t="s">
        <v>9</v>
      </c>
      <c r="E25" s="78"/>
      <c r="F25" s="75" t="s">
        <v>9</v>
      </c>
      <c r="G25" s="79" t="s">
        <v>9</v>
      </c>
      <c r="H25" s="76" t="s">
        <v>9</v>
      </c>
      <c r="I25" s="80"/>
      <c r="J25" s="81"/>
      <c r="K25" s="81"/>
      <c r="L25" s="81"/>
      <c r="M25" s="81"/>
      <c r="N25" s="82"/>
      <c r="O25" s="81"/>
      <c r="P25" s="83" t="s">
        <v>9</v>
      </c>
      <c r="Q25" s="76" t="n">
        <f aca="false">SUM(Q24)</f>
        <v>0</v>
      </c>
      <c r="R25" s="75" t="s">
        <v>9</v>
      </c>
      <c r="S25" s="84" t="n">
        <f aca="false">SUM(S24)</f>
        <v>0</v>
      </c>
      <c r="T25" s="84" t="n">
        <f aca="false">SUM(T24)</f>
        <v>0</v>
      </c>
      <c r="U25" s="85"/>
      <c r="V25" s="86"/>
      <c r="W25" s="46"/>
      <c r="X25" s="46"/>
    </row>
    <row r="26" customFormat="false" ht="12.75" hidden="false" customHeight="false" outlineLevel="0" collapsed="false">
      <c r="A26" s="47"/>
      <c r="B26" s="38"/>
      <c r="C26" s="38"/>
      <c r="D26" s="39"/>
      <c r="E26" s="39"/>
      <c r="F26" s="37"/>
      <c r="G26" s="37"/>
      <c r="H26" s="38"/>
      <c r="I26" s="40"/>
      <c r="J26" s="41"/>
      <c r="K26" s="41"/>
      <c r="L26" s="41"/>
      <c r="M26" s="41"/>
      <c r="N26" s="42"/>
      <c r="O26" s="41"/>
      <c r="P26" s="56"/>
      <c r="Q26" s="90"/>
      <c r="R26" s="88"/>
      <c r="S26" s="54"/>
      <c r="T26" s="54"/>
      <c r="U26" s="55"/>
      <c r="V26" s="54"/>
      <c r="W26" s="56"/>
      <c r="X26" s="56"/>
    </row>
    <row r="27" customFormat="false" ht="12.75" hidden="false" customHeight="false" outlineLevel="0" collapsed="false">
      <c r="A27" s="47"/>
      <c r="B27" s="38"/>
      <c r="C27" s="38"/>
      <c r="D27" s="39"/>
      <c r="E27" s="39"/>
      <c r="F27" s="37"/>
      <c r="G27" s="37"/>
      <c r="H27" s="38"/>
      <c r="I27" s="41"/>
      <c r="J27" s="41"/>
      <c r="K27" s="41"/>
      <c r="L27" s="41"/>
      <c r="M27" s="41"/>
      <c r="N27" s="42"/>
      <c r="O27" s="41"/>
      <c r="P27" s="56"/>
      <c r="Q27" s="90"/>
      <c r="R27" s="54"/>
      <c r="S27" s="54"/>
      <c r="T27" s="54"/>
      <c r="U27" s="55"/>
      <c r="V27" s="54"/>
      <c r="W27" s="56"/>
      <c r="X27" s="56"/>
    </row>
    <row r="28" customFormat="false" ht="12.75" hidden="false" customHeight="false" outlineLevel="0" collapsed="false">
      <c r="A28" s="47"/>
      <c r="B28" s="38"/>
      <c r="C28" s="38"/>
      <c r="D28" s="39"/>
      <c r="E28" s="39"/>
      <c r="F28" s="37"/>
      <c r="G28" s="37"/>
      <c r="H28" s="38"/>
      <c r="I28" s="40"/>
      <c r="J28" s="41"/>
      <c r="K28" s="41"/>
      <c r="L28" s="41"/>
      <c r="M28" s="41"/>
      <c r="N28" s="42"/>
      <c r="O28" s="41"/>
      <c r="P28" s="56"/>
      <c r="Q28" s="90"/>
      <c r="R28" s="54"/>
      <c r="S28" s="54"/>
      <c r="T28" s="54"/>
      <c r="U28" s="55"/>
      <c r="V28" s="54"/>
      <c r="W28" s="56"/>
      <c r="X28" s="56"/>
    </row>
    <row r="29" customFormat="false" ht="12.75" hidden="false" customHeight="false" outlineLevel="0" collapsed="false">
      <c r="A29" s="47" t="s">
        <v>141</v>
      </c>
      <c r="B29" s="38"/>
      <c r="C29" s="38"/>
      <c r="D29" s="39"/>
      <c r="E29" s="39"/>
      <c r="F29" s="37"/>
      <c r="G29" s="37"/>
      <c r="H29" s="38"/>
      <c r="I29" s="41"/>
      <c r="J29" s="41"/>
      <c r="K29" s="41"/>
      <c r="L29" s="41"/>
      <c r="M29" s="41"/>
      <c r="N29" s="42"/>
      <c r="O29" s="41"/>
      <c r="P29" s="56"/>
      <c r="Q29" s="90"/>
      <c r="R29" s="54"/>
      <c r="S29" s="54"/>
      <c r="T29" s="54"/>
      <c r="U29" s="55"/>
      <c r="V29" s="54"/>
      <c r="W29" s="56"/>
      <c r="X29" s="56"/>
    </row>
    <row r="30" customFormat="false" ht="12.75" hidden="false" customHeight="false" outlineLevel="0" collapsed="false">
      <c r="A30" s="47"/>
      <c r="B30" s="37" t="s">
        <v>142</v>
      </c>
      <c r="C30" s="38"/>
      <c r="D30" s="39"/>
      <c r="E30" s="39"/>
      <c r="F30" s="37"/>
      <c r="G30" s="37"/>
      <c r="H30" s="38"/>
      <c r="I30" s="40"/>
      <c r="J30" s="41"/>
      <c r="K30" s="41"/>
      <c r="L30" s="41"/>
      <c r="M30" s="41"/>
      <c r="N30" s="42"/>
      <c r="O30" s="41"/>
      <c r="P30" s="56"/>
      <c r="Q30" s="90"/>
      <c r="R30" s="54"/>
      <c r="S30" s="54"/>
      <c r="T30" s="54"/>
      <c r="U30" s="55"/>
      <c r="V30" s="54"/>
      <c r="W30" s="56"/>
      <c r="X30" s="56"/>
    </row>
    <row r="31" customFormat="false" ht="12.75" hidden="false" customHeight="false" outlineLevel="0" collapsed="false">
      <c r="A31" s="47"/>
      <c r="B31" s="38" t="s">
        <v>143</v>
      </c>
      <c r="C31" s="46" t="n">
        <v>149776</v>
      </c>
      <c r="D31" s="39"/>
      <c r="E31" s="39"/>
      <c r="F31" s="37"/>
      <c r="G31" s="37"/>
      <c r="H31" s="38"/>
      <c r="I31" s="41"/>
      <c r="J31" s="41"/>
      <c r="K31" s="41"/>
      <c r="L31" s="41"/>
      <c r="M31" s="41"/>
      <c r="N31" s="42"/>
      <c r="O31" s="41"/>
      <c r="P31" s="56"/>
      <c r="Q31" s="90"/>
      <c r="R31" s="54"/>
      <c r="S31" s="54"/>
      <c r="T31" s="54"/>
      <c r="U31" s="55"/>
      <c r="V31" s="54"/>
      <c r="W31" s="56"/>
      <c r="X31" s="56"/>
    </row>
    <row r="32" customFormat="false" ht="12.75" hidden="false" customHeight="false" outlineLevel="0" collapsed="false">
      <c r="A32" s="47"/>
      <c r="B32" s="38" t="s">
        <v>144</v>
      </c>
      <c r="C32" s="46" t="n">
        <v>149775</v>
      </c>
      <c r="D32" s="39"/>
      <c r="E32" s="39"/>
      <c r="F32" s="37"/>
      <c r="G32" s="37"/>
      <c r="H32" s="38"/>
      <c r="I32" s="41"/>
      <c r="J32" s="41"/>
      <c r="K32" s="41"/>
      <c r="L32" s="41"/>
      <c r="M32" s="41"/>
      <c r="N32" s="42"/>
      <c r="O32" s="41"/>
      <c r="P32" s="56"/>
      <c r="Q32" s="90"/>
      <c r="R32" s="54"/>
      <c r="S32" s="54"/>
      <c r="T32" s="54"/>
      <c r="U32" s="55"/>
      <c r="V32" s="54"/>
      <c r="W32" s="88"/>
      <c r="X32" s="56"/>
    </row>
    <row r="33" customFormat="false" ht="12.75" hidden="false" customHeight="false" outlineLevel="0" collapsed="false">
      <c r="A33" s="47"/>
      <c r="B33" s="38"/>
      <c r="C33" s="38"/>
      <c r="D33" s="39"/>
      <c r="E33" s="39"/>
      <c r="F33" s="37"/>
      <c r="G33" s="37"/>
      <c r="H33" s="38"/>
      <c r="I33" s="41"/>
      <c r="J33" s="41"/>
      <c r="K33" s="41"/>
      <c r="L33" s="41"/>
      <c r="M33" s="41"/>
      <c r="N33" s="42"/>
      <c r="O33" s="41"/>
      <c r="P33" s="56"/>
      <c r="Q33" s="90"/>
      <c r="R33" s="54"/>
      <c r="S33" s="54"/>
      <c r="T33" s="54"/>
      <c r="U33" s="55"/>
      <c r="V33" s="54"/>
      <c r="W33" s="56"/>
      <c r="X33" s="56"/>
    </row>
    <row r="34" customFormat="false" ht="12.75" hidden="false" customHeight="false" outlineLevel="0" collapsed="false">
      <c r="A34" s="47"/>
      <c r="B34" s="38"/>
      <c r="C34" s="38"/>
      <c r="D34" s="39"/>
      <c r="E34" s="39"/>
      <c r="F34" s="37"/>
      <c r="G34" s="37"/>
      <c r="H34" s="38"/>
      <c r="I34" s="41"/>
      <c r="J34" s="41"/>
      <c r="K34" s="41"/>
      <c r="L34" s="41"/>
      <c r="M34" s="41"/>
      <c r="N34" s="42"/>
      <c r="O34" s="41"/>
      <c r="P34" s="56"/>
      <c r="Q34" s="90"/>
      <c r="R34" s="54"/>
      <c r="S34" s="54"/>
      <c r="T34" s="54"/>
      <c r="U34" s="55"/>
      <c r="V34" s="54"/>
      <c r="W34" s="56"/>
      <c r="X34" s="56"/>
    </row>
    <row r="35" customFormat="false" ht="12.75" hidden="false" customHeight="false" outlineLevel="0" collapsed="false">
      <c r="A35" s="47"/>
      <c r="B35" s="38"/>
      <c r="C35" s="38"/>
      <c r="D35" s="39"/>
      <c r="E35" s="39"/>
      <c r="F35" s="37"/>
      <c r="G35" s="37"/>
      <c r="H35" s="38"/>
      <c r="I35" s="40"/>
      <c r="J35" s="41"/>
      <c r="K35" s="41"/>
      <c r="L35" s="41"/>
      <c r="M35" s="41"/>
      <c r="N35" s="42"/>
      <c r="O35" s="41"/>
      <c r="P35" s="56"/>
      <c r="Q35" s="90"/>
      <c r="R35" s="88"/>
      <c r="S35" s="54"/>
      <c r="T35" s="54"/>
      <c r="U35" s="55"/>
      <c r="V35" s="54"/>
      <c r="W35" s="56"/>
      <c r="X35" s="56"/>
    </row>
    <row r="36" customFormat="false" ht="12.75" hidden="false" customHeight="false" outlineLevel="0" collapsed="false">
      <c r="A36" s="47"/>
      <c r="B36" s="38"/>
      <c r="C36" s="38"/>
      <c r="D36" s="39"/>
      <c r="E36" s="39"/>
      <c r="F36" s="37"/>
      <c r="G36" s="37"/>
      <c r="H36" s="38"/>
      <c r="I36" s="40"/>
      <c r="J36" s="41"/>
      <c r="K36" s="41"/>
      <c r="L36" s="41"/>
      <c r="M36" s="41"/>
      <c r="N36" s="42"/>
      <c r="O36" s="41"/>
      <c r="P36" s="56"/>
      <c r="Q36" s="90"/>
      <c r="R36" s="88"/>
      <c r="S36" s="54"/>
      <c r="T36" s="54"/>
      <c r="U36" s="55"/>
      <c r="V36" s="54"/>
      <c r="W36" s="56"/>
      <c r="X36" s="56"/>
    </row>
    <row r="37" customFormat="false" ht="12.75" hidden="false" customHeight="false" outlineLevel="0" collapsed="false">
      <c r="P37" s="91"/>
      <c r="Q37" s="92"/>
      <c r="R37" s="92"/>
      <c r="S37" s="92"/>
      <c r="T37" s="92"/>
      <c r="U37" s="91"/>
      <c r="V37" s="92"/>
      <c r="W37" s="91"/>
    </row>
    <row r="38" customFormat="false" ht="12.75" hidden="false" customHeight="false" outlineLevel="0" collapsed="false">
      <c r="P38" s="91"/>
      <c r="Q38" s="92"/>
      <c r="R38" s="92"/>
      <c r="S38" s="92"/>
      <c r="T38" s="92"/>
      <c r="U38" s="91"/>
      <c r="V38" s="92"/>
      <c r="W38" s="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2" topLeftCell="I148" activePane="bottomRight" state="frozen"/>
      <selection pane="topLeft" activeCell="A1" activeCellId="0" sqref="A1"/>
      <selection pane="topRight" activeCell="I1" activeCellId="0" sqref="I1"/>
      <selection pane="bottomLeft" activeCell="A148" activeCellId="0" sqref="A148"/>
      <selection pane="bottomRight" activeCell="P148" activeCellId="0" sqref="P1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8.85"/>
    <col collapsed="false" customWidth="false" hidden="false" outlineLevel="0" max="2" min="2" style="8" width="9.14"/>
    <col collapsed="false" customWidth="true" hidden="false" outlineLevel="0" max="3" min="3" style="8" width="10.56"/>
    <col collapsed="false" customWidth="true" hidden="false" outlineLevel="0" max="4" min="4" style="8" width="8.7"/>
    <col collapsed="false" customWidth="true" hidden="false" outlineLevel="0" max="5" min="5" style="8" width="10.99"/>
    <col collapsed="false" customWidth="true" hidden="false" outlineLevel="0" max="6" min="6" style="47" width="12.42"/>
    <col collapsed="false" customWidth="true" hidden="false" outlineLevel="0" max="7" min="7" style="47" width="7.99"/>
    <col collapsed="false" customWidth="true" hidden="false" outlineLevel="0" max="8" min="8" style="8" width="6.41"/>
    <col collapsed="false" customWidth="true" hidden="false" outlineLevel="0" max="9" min="9" style="8" width="8.85"/>
    <col collapsed="false" customWidth="true" hidden="true" outlineLevel="0" max="13" min="10" style="8" width="9.06"/>
    <col collapsed="false" customWidth="true" hidden="true" outlineLevel="0" max="14" min="14" style="48" width="9.06"/>
    <col collapsed="false" customWidth="true" hidden="true" outlineLevel="0" max="15" min="15" style="8" width="9.06"/>
    <col collapsed="false" customWidth="true" hidden="false" outlineLevel="0" max="16" min="16" style="8" width="12.28"/>
    <col collapsed="false" customWidth="false" hidden="false" outlineLevel="0" max="17" min="17" style="8" width="9.14"/>
    <col collapsed="false" customWidth="true" hidden="false" outlineLevel="0" max="18" min="18" style="8" width="13.7"/>
    <col collapsed="false" customWidth="true" hidden="false" outlineLevel="0" max="19" min="19" style="23" width="12.85"/>
    <col collapsed="false" customWidth="true" hidden="false" outlineLevel="0" max="20" min="20" style="49" width="13.56"/>
    <col collapsed="false" customWidth="false" hidden="false" outlineLevel="0" max="22" min="21" style="49" width="9.14"/>
    <col collapsed="false" customWidth="true" hidden="false" outlineLevel="0" max="23" min="23" style="8" width="12.42"/>
    <col collapsed="false" customWidth="false" hidden="false" outlineLevel="0" max="257" min="24" style="8" width="9.14"/>
  </cols>
  <sheetData>
    <row r="1" customFormat="false" ht="12.75" hidden="false" customHeight="false" outlineLevel="0" collapsed="false">
      <c r="A1" s="50" t="s">
        <v>145</v>
      </c>
      <c r="B1" s="38"/>
      <c r="C1" s="38"/>
      <c r="D1" s="39"/>
      <c r="E1" s="39"/>
      <c r="F1" s="37" t="s">
        <v>146</v>
      </c>
      <c r="G1" s="37" t="n">
        <v>1</v>
      </c>
      <c r="H1" s="38" t="s">
        <v>98</v>
      </c>
      <c r="I1" s="51" t="n">
        <v>31</v>
      </c>
      <c r="J1" s="52" t="s">
        <v>99</v>
      </c>
      <c r="K1" s="41"/>
      <c r="L1" s="41"/>
      <c r="M1" s="41"/>
      <c r="N1" s="42"/>
      <c r="O1" s="41"/>
      <c r="P1" s="43"/>
      <c r="Q1" s="53"/>
      <c r="R1" s="54"/>
      <c r="S1" s="54"/>
      <c r="T1" s="55"/>
      <c r="U1" s="56"/>
      <c r="V1" s="56"/>
    </row>
    <row r="2" customFormat="false" ht="12.75" hidden="false" customHeight="false" outlineLevel="0" collapsed="false">
      <c r="A2" s="37" t="s">
        <v>100</v>
      </c>
      <c r="B2" s="37"/>
      <c r="C2" s="37"/>
      <c r="D2" s="39"/>
      <c r="E2" s="39"/>
      <c r="F2" s="37"/>
      <c r="G2" s="37"/>
      <c r="H2" s="38"/>
      <c r="I2" s="51"/>
      <c r="J2" s="52" t="s">
        <v>101</v>
      </c>
      <c r="K2" s="41"/>
      <c r="L2" s="41"/>
      <c r="M2" s="41"/>
      <c r="N2" s="42"/>
      <c r="O2" s="41"/>
      <c r="P2" s="43"/>
      <c r="Q2" s="53"/>
      <c r="R2" s="54"/>
      <c r="S2" s="54"/>
      <c r="T2" s="55"/>
      <c r="U2" s="56"/>
      <c r="V2" s="56"/>
    </row>
    <row r="3" customFormat="false" ht="12.75" hidden="false" customHeight="false" outlineLevel="0" collapsed="false">
      <c r="A3" s="37" t="s">
        <v>102</v>
      </c>
      <c r="B3" s="37"/>
      <c r="C3" s="37"/>
      <c r="D3" s="39"/>
      <c r="E3" s="39"/>
      <c r="F3" s="59" t="s">
        <v>9</v>
      </c>
      <c r="G3" s="37" t="s">
        <v>9</v>
      </c>
      <c r="H3" s="53" t="s">
        <v>9</v>
      </c>
      <c r="I3" s="40"/>
      <c r="J3" s="60" t="s">
        <v>9</v>
      </c>
      <c r="K3" s="41"/>
      <c r="L3" s="60" t="s">
        <v>9</v>
      </c>
      <c r="M3" s="41"/>
      <c r="N3" s="42"/>
      <c r="O3" s="60" t="s">
        <v>9</v>
      </c>
      <c r="P3" s="43"/>
      <c r="Q3" s="53"/>
      <c r="R3" s="54"/>
      <c r="S3" s="54"/>
      <c r="T3" s="55"/>
      <c r="U3" s="56"/>
      <c r="V3" s="56"/>
    </row>
    <row r="4" customFormat="false" ht="12.75" hidden="false" customHeight="false" outlineLevel="0" collapsed="false">
      <c r="A4" s="37" t="s">
        <v>103</v>
      </c>
      <c r="B4" s="38"/>
      <c r="C4" s="38"/>
      <c r="D4" s="39"/>
      <c r="E4" s="39"/>
      <c r="F4" s="63"/>
      <c r="G4" s="37"/>
      <c r="H4" s="63"/>
      <c r="I4" s="40"/>
      <c r="J4" s="63"/>
      <c r="K4" s="41"/>
      <c r="L4" s="63"/>
      <c r="M4" s="53"/>
      <c r="N4" s="42"/>
      <c r="O4" s="53"/>
      <c r="P4" s="43"/>
      <c r="Q4" s="53"/>
      <c r="R4" s="54"/>
      <c r="S4" s="54"/>
      <c r="T4" s="65"/>
      <c r="U4" s="56"/>
      <c r="V4" s="56"/>
    </row>
    <row r="5" customFormat="false" ht="12.75" hidden="false" customHeight="false" outlineLevel="0" collapsed="false">
      <c r="A5" s="37" t="s">
        <v>104</v>
      </c>
      <c r="B5" s="38"/>
      <c r="C5" s="66"/>
      <c r="D5" s="39"/>
      <c r="E5" s="39"/>
      <c r="F5" s="63"/>
      <c r="G5" s="37"/>
      <c r="H5" s="63"/>
      <c r="I5" s="40"/>
      <c r="J5" s="63"/>
      <c r="K5" s="41"/>
      <c r="L5" s="63"/>
      <c r="M5" s="53"/>
      <c r="N5" s="42"/>
      <c r="O5" s="53"/>
      <c r="P5" s="43"/>
      <c r="Q5" s="53"/>
      <c r="R5" s="54"/>
      <c r="S5" s="54"/>
      <c r="T5" s="65"/>
      <c r="U5" s="56"/>
      <c r="V5" s="56"/>
    </row>
    <row r="6" customFormat="false" ht="12.75" hidden="false" customHeight="false" outlineLevel="0" collapsed="false">
      <c r="A6" s="37"/>
      <c r="B6" s="38"/>
      <c r="C6" s="66"/>
      <c r="D6" s="39"/>
      <c r="E6" s="39"/>
      <c r="F6" s="63"/>
      <c r="G6" s="37"/>
      <c r="H6" s="63"/>
      <c r="I6" s="40"/>
      <c r="J6" s="63"/>
      <c r="K6" s="41"/>
      <c r="L6" s="63"/>
      <c r="M6" s="53"/>
      <c r="N6" s="42"/>
      <c r="O6" s="53"/>
      <c r="P6" s="43"/>
      <c r="Q6" s="53"/>
      <c r="R6" s="54"/>
      <c r="S6" s="54"/>
      <c r="T6" s="65"/>
      <c r="U6" s="56"/>
      <c r="V6" s="56"/>
    </row>
    <row r="7" customFormat="false" ht="12.75" hidden="false" customHeight="false" outlineLevel="0" collapsed="false">
      <c r="A7" s="37"/>
      <c r="B7" s="38"/>
      <c r="C7" s="66"/>
      <c r="D7" s="39"/>
      <c r="E7" s="39"/>
      <c r="F7" s="63"/>
      <c r="G7" s="37"/>
      <c r="H7" s="63"/>
      <c r="I7" s="40"/>
      <c r="J7" s="63"/>
      <c r="K7" s="41"/>
      <c r="L7" s="63"/>
      <c r="M7" s="53"/>
      <c r="N7" s="42"/>
      <c r="O7" s="53"/>
      <c r="P7" s="43"/>
      <c r="Q7" s="53"/>
      <c r="R7" s="54"/>
      <c r="S7" s="54"/>
      <c r="T7" s="65"/>
      <c r="U7" s="56"/>
      <c r="V7" s="56"/>
    </row>
    <row r="8" customFormat="false" ht="12.75" hidden="false" customHeight="false" outlineLevel="0" collapsed="false">
      <c r="A8" s="37"/>
      <c r="B8" s="38"/>
      <c r="C8" s="66"/>
      <c r="D8" s="39"/>
      <c r="E8" s="39"/>
      <c r="F8" s="63"/>
      <c r="G8" s="37"/>
      <c r="H8" s="63"/>
      <c r="I8" s="40"/>
      <c r="J8" s="63"/>
      <c r="K8" s="41"/>
      <c r="L8" s="63"/>
      <c r="M8" s="53"/>
      <c r="N8" s="42"/>
      <c r="O8" s="53"/>
      <c r="P8" s="43"/>
      <c r="Q8" s="53"/>
      <c r="R8" s="54"/>
      <c r="S8" s="54"/>
      <c r="T8" s="65"/>
      <c r="U8" s="56"/>
      <c r="V8" s="56"/>
    </row>
    <row r="9" customFormat="false" ht="12.75" hidden="false" customHeight="false" outlineLevel="0" collapsed="false">
      <c r="A9" s="37"/>
      <c r="B9" s="38"/>
      <c r="C9" s="66"/>
      <c r="D9" s="39"/>
      <c r="E9" s="39"/>
      <c r="F9" s="63"/>
      <c r="G9" s="37"/>
      <c r="H9" s="63"/>
      <c r="I9" s="40"/>
      <c r="J9" s="63"/>
      <c r="K9" s="41"/>
      <c r="L9" s="63"/>
      <c r="M9" s="53"/>
      <c r="N9" s="42"/>
      <c r="O9" s="53"/>
      <c r="P9" s="43"/>
      <c r="Q9" s="53"/>
      <c r="R9" s="54"/>
      <c r="S9" s="54"/>
      <c r="T9" s="65"/>
      <c r="U9" s="56"/>
      <c r="V9" s="56"/>
    </row>
    <row r="10" customFormat="false" ht="12.75" hidden="false" customHeight="false" outlineLevel="0" collapsed="false">
      <c r="A10" s="37"/>
      <c r="B10" s="38"/>
      <c r="C10" s="38"/>
      <c r="D10" s="39"/>
      <c r="E10" s="39"/>
      <c r="F10" s="63"/>
      <c r="G10" s="37"/>
      <c r="H10" s="63"/>
      <c r="I10" s="40"/>
      <c r="J10" s="63"/>
      <c r="K10" s="41"/>
      <c r="L10" s="63"/>
      <c r="M10" s="53"/>
      <c r="N10" s="42"/>
      <c r="O10" s="53"/>
      <c r="P10" s="43"/>
      <c r="Q10" s="53"/>
      <c r="R10" s="54"/>
      <c r="S10" s="54"/>
      <c r="T10" s="65"/>
      <c r="U10" s="56"/>
      <c r="V10" s="56"/>
    </row>
    <row r="11" customFormat="false" ht="12.75" hidden="false" customHeight="false" outlineLevel="0" collapsed="false">
      <c r="A11" s="93"/>
      <c r="B11" s="90"/>
      <c r="C11" s="88"/>
      <c r="D11" s="94"/>
      <c r="E11" s="94"/>
      <c r="F11" s="93"/>
      <c r="G11" s="95"/>
      <c r="H11" s="90"/>
      <c r="I11" s="96"/>
      <c r="J11" s="87"/>
      <c r="K11" s="87"/>
      <c r="L11" s="87"/>
      <c r="M11" s="87"/>
      <c r="N11" s="97"/>
      <c r="O11" s="87"/>
      <c r="P11" s="98"/>
      <c r="Q11" s="90"/>
      <c r="R11" s="93"/>
      <c r="S11" s="54"/>
      <c r="T11" s="65"/>
      <c r="U11" s="46"/>
      <c r="V11" s="46"/>
    </row>
    <row r="12" customFormat="false" ht="12.75" hidden="false" customHeight="false" outlineLevel="0" collapsed="false">
      <c r="A12" s="99" t="s">
        <v>108</v>
      </c>
      <c r="B12" s="100" t="s">
        <v>109</v>
      </c>
      <c r="C12" s="100" t="s">
        <v>110</v>
      </c>
      <c r="D12" s="101" t="s">
        <v>111</v>
      </c>
      <c r="E12" s="101"/>
      <c r="F12" s="99" t="s">
        <v>112</v>
      </c>
      <c r="G12" s="99" t="s">
        <v>113</v>
      </c>
      <c r="H12" s="100" t="s">
        <v>114</v>
      </c>
      <c r="I12" s="102" t="s">
        <v>115</v>
      </c>
      <c r="J12" s="100" t="s">
        <v>116</v>
      </c>
      <c r="K12" s="100" t="s">
        <v>117</v>
      </c>
      <c r="L12" s="100" t="s">
        <v>118</v>
      </c>
      <c r="M12" s="100" t="s">
        <v>7</v>
      </c>
      <c r="N12" s="103" t="s">
        <v>119</v>
      </c>
      <c r="O12" s="100" t="s">
        <v>120</v>
      </c>
      <c r="P12" s="104" t="s">
        <v>147</v>
      </c>
      <c r="Q12" s="100" t="s">
        <v>122</v>
      </c>
      <c r="R12" s="99" t="s">
        <v>123</v>
      </c>
      <c r="S12" s="105" t="s">
        <v>124</v>
      </c>
      <c r="T12" s="106" t="s">
        <v>148</v>
      </c>
      <c r="U12" s="107"/>
      <c r="V12" s="108" t="s">
        <v>149</v>
      </c>
      <c r="W12" s="108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</row>
    <row r="13" customFormat="false" ht="12.75" hidden="false" customHeight="false" outlineLevel="0" collapsed="false">
      <c r="A13" s="37" t="s">
        <v>150</v>
      </c>
      <c r="B13" s="38" t="s">
        <v>127</v>
      </c>
      <c r="C13" s="38" t="s">
        <v>127</v>
      </c>
      <c r="D13" s="39" t="n">
        <v>34274</v>
      </c>
      <c r="E13" s="39" t="n">
        <v>37042</v>
      </c>
      <c r="F13" s="37" t="s">
        <v>151</v>
      </c>
      <c r="G13" s="37" t="s">
        <v>152</v>
      </c>
      <c r="H13" s="38" t="s">
        <v>153</v>
      </c>
      <c r="I13" s="40" t="n">
        <f aca="false">1.0603/I$1</f>
        <v>0.0342032258064516</v>
      </c>
      <c r="J13" s="41" t="n">
        <v>0</v>
      </c>
      <c r="K13" s="41" t="n">
        <v>0</v>
      </c>
      <c r="L13" s="41" t="n">
        <v>0</v>
      </c>
      <c r="M13" s="41" t="n">
        <v>0</v>
      </c>
      <c r="N13" s="42" t="n">
        <v>0</v>
      </c>
      <c r="O13" s="41" t="n">
        <f aca="false">SUM(I13:M13)</f>
        <v>0.0342032258064516</v>
      </c>
      <c r="P13" s="43" t="n">
        <v>37393</v>
      </c>
      <c r="Q13" s="38" t="n">
        <v>20000</v>
      </c>
      <c r="R13" s="37" t="s">
        <v>154</v>
      </c>
      <c r="S13" s="110" t="n">
        <f aca="false">I13*I$1*Q13</f>
        <v>21206</v>
      </c>
      <c r="T13" s="45" t="n">
        <v>92346</v>
      </c>
      <c r="U13" s="46"/>
      <c r="V13" s="46" t="s">
        <v>155</v>
      </c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2.75" hidden="false" customHeight="false" outlineLevel="0" collapsed="false">
      <c r="A14" s="37" t="s">
        <v>150</v>
      </c>
      <c r="B14" s="38" t="s">
        <v>127</v>
      </c>
      <c r="C14" s="38" t="s">
        <v>128</v>
      </c>
      <c r="D14" s="39" t="n">
        <v>36557</v>
      </c>
      <c r="E14" s="39" t="n">
        <v>37195</v>
      </c>
      <c r="F14" s="37" t="s">
        <v>129</v>
      </c>
      <c r="G14" s="37" t="s">
        <v>130</v>
      </c>
      <c r="H14" s="38"/>
      <c r="I14" s="40" t="n">
        <f aca="false">1.0603/I$1</f>
        <v>0.0342032258064516</v>
      </c>
      <c r="J14" s="41" t="n">
        <v>0</v>
      </c>
      <c r="K14" s="41" t="n">
        <v>0</v>
      </c>
      <c r="L14" s="41" t="n">
        <v>0</v>
      </c>
      <c r="M14" s="41" t="n">
        <v>0</v>
      </c>
      <c r="N14" s="42" t="n">
        <v>0</v>
      </c>
      <c r="O14" s="41" t="n">
        <f aca="false">SUM(I14:M14)</f>
        <v>0.0342032258064516</v>
      </c>
      <c r="P14" s="43" t="n">
        <v>42789</v>
      </c>
      <c r="Q14" s="38" t="n">
        <v>30000</v>
      </c>
      <c r="R14" s="37" t="s">
        <v>131</v>
      </c>
      <c r="S14" s="110" t="n">
        <f aca="false">I14*I$1*Q14</f>
        <v>31809</v>
      </c>
      <c r="T14" s="45" t="n">
        <v>156388</v>
      </c>
      <c r="U14" s="46"/>
      <c r="V14" s="46" t="s">
        <v>155</v>
      </c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2.75" hidden="false" customHeight="false" outlineLevel="0" collapsed="false">
      <c r="A15" s="37" t="s">
        <v>150</v>
      </c>
      <c r="B15" s="38" t="s">
        <v>127</v>
      </c>
      <c r="C15" s="38" t="s">
        <v>128</v>
      </c>
      <c r="D15" s="39" t="n">
        <v>36557</v>
      </c>
      <c r="E15" s="39" t="n">
        <v>37103</v>
      </c>
      <c r="F15" s="37" t="s">
        <v>156</v>
      </c>
      <c r="G15" s="37" t="s">
        <v>130</v>
      </c>
      <c r="H15" s="38"/>
      <c r="I15" s="40" t="n">
        <f aca="false">1.0603/I$1</f>
        <v>0.0342032258064516</v>
      </c>
      <c r="J15" s="41" t="n">
        <v>0</v>
      </c>
      <c r="K15" s="41" t="n">
        <v>0</v>
      </c>
      <c r="L15" s="41" t="n">
        <v>0</v>
      </c>
      <c r="M15" s="41" t="n">
        <v>0</v>
      </c>
      <c r="N15" s="42" t="n">
        <v>0</v>
      </c>
      <c r="O15" s="41" t="n">
        <f aca="false">SUM(I15:M15)</f>
        <v>0.0342032258064516</v>
      </c>
      <c r="P15" s="43" t="n">
        <v>50250</v>
      </c>
      <c r="Q15" s="38" t="n">
        <v>20000</v>
      </c>
      <c r="R15" s="37" t="s">
        <v>157</v>
      </c>
      <c r="S15" s="110" t="n">
        <f aca="false">I15*I$1*Q15</f>
        <v>21206</v>
      </c>
      <c r="T15" s="45" t="n">
        <v>156399</v>
      </c>
      <c r="U15" s="46"/>
      <c r="V15" s="46" t="s">
        <v>155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2.75" hidden="false" customHeight="false" outlineLevel="0" collapsed="false">
      <c r="A16" s="37" t="s">
        <v>150</v>
      </c>
      <c r="B16" s="38" t="s">
        <v>127</v>
      </c>
      <c r="C16" s="38" t="s">
        <v>128</v>
      </c>
      <c r="D16" s="39" t="n">
        <v>36557</v>
      </c>
      <c r="E16" s="39" t="n">
        <v>37955</v>
      </c>
      <c r="F16" s="37" t="s">
        <v>158</v>
      </c>
      <c r="G16" s="37" t="s">
        <v>159</v>
      </c>
      <c r="H16" s="38"/>
      <c r="I16" s="40" t="n">
        <f aca="false">1.0603/I$1</f>
        <v>0.0342032258064516</v>
      </c>
      <c r="J16" s="41" t="n">
        <v>0</v>
      </c>
      <c r="K16" s="41" t="n">
        <v>0</v>
      </c>
      <c r="L16" s="41" t="n">
        <v>0</v>
      </c>
      <c r="M16" s="41" t="n">
        <v>0</v>
      </c>
      <c r="N16" s="42" t="n">
        <v>0</v>
      </c>
      <c r="O16" s="41" t="n">
        <f aca="false">SUM(I16:M16)</f>
        <v>0.0342032258064516</v>
      </c>
      <c r="P16" s="43" t="n">
        <v>62408</v>
      </c>
      <c r="Q16" s="38" t="n">
        <v>40000</v>
      </c>
      <c r="R16" s="37" t="s">
        <v>160</v>
      </c>
      <c r="S16" s="110" t="n">
        <f aca="false">I16*I$1*Q16</f>
        <v>42412</v>
      </c>
      <c r="T16" s="45" t="n">
        <v>156526</v>
      </c>
      <c r="U16" s="46"/>
      <c r="V16" s="46" t="s">
        <v>155</v>
      </c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false" customHeight="false" outlineLevel="0" collapsed="false">
      <c r="A17" s="37" t="s">
        <v>150</v>
      </c>
      <c r="B17" s="38" t="s">
        <v>127</v>
      </c>
      <c r="C17" s="38" t="s">
        <v>128</v>
      </c>
      <c r="D17" s="39" t="n">
        <v>36557</v>
      </c>
      <c r="E17" s="39" t="n">
        <v>38291</v>
      </c>
      <c r="F17" s="37" t="s">
        <v>161</v>
      </c>
      <c r="G17" s="37" t="s">
        <v>130</v>
      </c>
      <c r="H17" s="38"/>
      <c r="I17" s="40" t="n">
        <f aca="false">1.0603/I$1</f>
        <v>0.0342032258064516</v>
      </c>
      <c r="J17" s="41" t="n">
        <v>0</v>
      </c>
      <c r="K17" s="41" t="n">
        <v>0</v>
      </c>
      <c r="L17" s="41" t="n">
        <v>0</v>
      </c>
      <c r="M17" s="41" t="n">
        <v>0</v>
      </c>
      <c r="N17" s="42" t="n">
        <v>0</v>
      </c>
      <c r="O17" s="41" t="n">
        <f aca="false">SUM(I17:M17)</f>
        <v>0.0342032258064516</v>
      </c>
      <c r="P17" s="43" t="n">
        <v>63922</v>
      </c>
      <c r="Q17" s="38" t="n">
        <v>25654</v>
      </c>
      <c r="R17" s="37" t="s">
        <v>162</v>
      </c>
      <c r="S17" s="110" t="n">
        <f aca="false">I17*I$1*Q17</f>
        <v>27200.9362</v>
      </c>
      <c r="T17" s="45" t="n">
        <v>156540</v>
      </c>
      <c r="U17" s="46"/>
      <c r="V17" s="46" t="s">
        <v>155</v>
      </c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2.75" hidden="false" customHeight="false" outlineLevel="0" collapsed="false">
      <c r="A18" s="37" t="s">
        <v>150</v>
      </c>
      <c r="B18" s="38" t="s">
        <v>127</v>
      </c>
      <c r="C18" s="38" t="s">
        <v>127</v>
      </c>
      <c r="D18" s="39" t="n">
        <v>36434</v>
      </c>
      <c r="E18" s="39" t="n">
        <v>37164</v>
      </c>
      <c r="F18" s="37" t="s">
        <v>163</v>
      </c>
      <c r="G18" s="37" t="s">
        <v>164</v>
      </c>
      <c r="H18" s="38" t="s">
        <v>153</v>
      </c>
      <c r="I18" s="40" t="n">
        <v>0.015</v>
      </c>
      <c r="J18" s="41" t="n">
        <v>0</v>
      </c>
      <c r="K18" s="41" t="n">
        <v>0</v>
      </c>
      <c r="L18" s="41" t="n">
        <v>0</v>
      </c>
      <c r="M18" s="41" t="n">
        <v>0</v>
      </c>
      <c r="N18" s="42" t="n">
        <v>0</v>
      </c>
      <c r="O18" s="41" t="n">
        <f aca="false">SUM(I18:M18)</f>
        <v>0.015</v>
      </c>
      <c r="P18" s="43" t="n">
        <v>64937</v>
      </c>
      <c r="Q18" s="38" t="n">
        <v>10000</v>
      </c>
      <c r="R18" s="37" t="s">
        <v>165</v>
      </c>
      <c r="S18" s="110" t="n">
        <f aca="false">I18*I$1*Q18</f>
        <v>4650</v>
      </c>
      <c r="T18" s="45" t="n">
        <v>118000</v>
      </c>
      <c r="U18" s="46"/>
      <c r="V18" s="46" t="s">
        <v>155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2.75" hidden="false" customHeight="false" outlineLevel="0" collapsed="false">
      <c r="A19" s="37" t="s">
        <v>150</v>
      </c>
      <c r="B19" s="38" t="s">
        <v>127</v>
      </c>
      <c r="C19" s="38" t="s">
        <v>127</v>
      </c>
      <c r="D19" s="39" t="n">
        <v>36982</v>
      </c>
      <c r="E19" s="39" t="n">
        <v>37072</v>
      </c>
      <c r="F19" s="37" t="s">
        <v>166</v>
      </c>
      <c r="G19" s="37" t="s">
        <v>167</v>
      </c>
      <c r="H19" s="38" t="s">
        <v>153</v>
      </c>
      <c r="I19" s="40" t="n">
        <v>0.0525</v>
      </c>
      <c r="J19" s="41" t="n">
        <v>0</v>
      </c>
      <c r="K19" s="41" t="n">
        <v>0</v>
      </c>
      <c r="L19" s="41" t="n">
        <v>0</v>
      </c>
      <c r="M19" s="41" t="n">
        <v>0</v>
      </c>
      <c r="N19" s="42" t="n">
        <v>0</v>
      </c>
      <c r="O19" s="41" t="n">
        <f aca="false">SUM(I19:M19)</f>
        <v>0.0525</v>
      </c>
      <c r="P19" s="43"/>
      <c r="Q19" s="38" t="n">
        <v>4600</v>
      </c>
      <c r="R19" s="37" t="s">
        <v>168</v>
      </c>
      <c r="S19" s="110" t="n">
        <f aca="false">I19*I$1*Q19</f>
        <v>7486.5</v>
      </c>
      <c r="T19" s="45"/>
      <c r="U19" s="46"/>
      <c r="V19" s="46" t="s">
        <v>155</v>
      </c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12.75" hidden="false" customHeight="false" outlineLevel="0" collapsed="false">
      <c r="A20" s="37"/>
      <c r="B20" s="38"/>
      <c r="C20" s="38"/>
      <c r="D20" s="39"/>
      <c r="E20" s="39"/>
      <c r="F20" s="37"/>
      <c r="G20" s="37"/>
      <c r="H20" s="38"/>
      <c r="I20" s="40"/>
      <c r="J20" s="41"/>
      <c r="K20" s="41"/>
      <c r="L20" s="41"/>
      <c r="M20" s="41"/>
      <c r="N20" s="42"/>
      <c r="O20" s="41"/>
      <c r="P20" s="43"/>
      <c r="Q20" s="38"/>
      <c r="R20" s="37"/>
      <c r="S20" s="110"/>
      <c r="T20" s="45"/>
      <c r="U20" s="46"/>
      <c r="V20" s="46" t="s">
        <v>155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2.75" hidden="false" customHeight="false" outlineLevel="0" collapsed="false">
      <c r="A21" s="37"/>
      <c r="B21" s="38"/>
      <c r="C21" s="38"/>
      <c r="D21" s="39"/>
      <c r="E21" s="39"/>
      <c r="F21" s="37"/>
      <c r="G21" s="37"/>
      <c r="H21" s="38"/>
      <c r="I21" s="40"/>
      <c r="J21" s="41"/>
      <c r="K21" s="41"/>
      <c r="L21" s="41"/>
      <c r="M21" s="41"/>
      <c r="N21" s="42"/>
      <c r="O21" s="41"/>
      <c r="P21" s="43"/>
      <c r="Q21" s="38"/>
      <c r="R21" s="37"/>
      <c r="S21" s="110"/>
      <c r="T21" s="45"/>
      <c r="U21" s="46"/>
      <c r="V21" s="46" t="s">
        <v>155</v>
      </c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2.75" hidden="false" customHeight="false" outlineLevel="0" collapsed="false">
      <c r="A22" s="37" t="s">
        <v>150</v>
      </c>
      <c r="B22" s="38" t="s">
        <v>127</v>
      </c>
      <c r="C22" s="38" t="s">
        <v>127</v>
      </c>
      <c r="D22" s="39" t="n">
        <v>34274</v>
      </c>
      <c r="E22" s="39" t="n">
        <v>40117</v>
      </c>
      <c r="F22" s="37" t="s">
        <v>152</v>
      </c>
      <c r="G22" s="37" t="s">
        <v>169</v>
      </c>
      <c r="H22" s="38" t="s">
        <v>153</v>
      </c>
      <c r="I22" s="40" t="n">
        <f aca="false">3.145/I$1</f>
        <v>0.101451612903226</v>
      </c>
      <c r="J22" s="41" t="n">
        <v>0</v>
      </c>
      <c r="K22" s="41" t="n">
        <v>0</v>
      </c>
      <c r="L22" s="41" t="n">
        <v>0</v>
      </c>
      <c r="M22" s="41" t="n">
        <v>0</v>
      </c>
      <c r="N22" s="42" t="n">
        <v>0</v>
      </c>
      <c r="O22" s="41" t="n">
        <f aca="false">SUM(I22:M22)</f>
        <v>0.101451612903226</v>
      </c>
      <c r="P22" s="43" t="n">
        <v>37861</v>
      </c>
      <c r="Q22" s="38" t="n">
        <v>15000</v>
      </c>
      <c r="R22" s="37" t="s">
        <v>170</v>
      </c>
      <c r="S22" s="110" t="n">
        <f aca="false">I22*I$1*Q22</f>
        <v>47175</v>
      </c>
      <c r="T22" s="45" t="n">
        <v>93034</v>
      </c>
      <c r="U22" s="46"/>
      <c r="V22" s="46" t="s">
        <v>155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2.75" hidden="false" customHeight="false" outlineLevel="0" collapsed="false">
      <c r="A23" s="37" t="s">
        <v>150</v>
      </c>
      <c r="B23" s="38" t="s">
        <v>127</v>
      </c>
      <c r="C23" s="38" t="s">
        <v>128</v>
      </c>
      <c r="D23" s="39" t="n">
        <v>36557</v>
      </c>
      <c r="E23" s="39" t="n">
        <v>38472</v>
      </c>
      <c r="F23" s="37" t="s">
        <v>130</v>
      </c>
      <c r="G23" s="37" t="s">
        <v>169</v>
      </c>
      <c r="H23" s="38"/>
      <c r="I23" s="40" t="n">
        <f aca="false">3.145/I$1</f>
        <v>0.101451612903226</v>
      </c>
      <c r="J23" s="41" t="n">
        <v>0</v>
      </c>
      <c r="K23" s="41" t="n">
        <v>0</v>
      </c>
      <c r="L23" s="41" t="n">
        <v>0</v>
      </c>
      <c r="M23" s="41" t="n">
        <v>0</v>
      </c>
      <c r="N23" s="42" t="n">
        <v>0</v>
      </c>
      <c r="O23" s="41" t="n">
        <f aca="false">SUM(I23:M23)</f>
        <v>0.101451612903226</v>
      </c>
      <c r="P23" s="43" t="n">
        <v>58654</v>
      </c>
      <c r="Q23" s="38" t="n">
        <v>15000</v>
      </c>
      <c r="R23" s="37" t="s">
        <v>171</v>
      </c>
      <c r="S23" s="110" t="n">
        <f aca="false">I23*I$1*Q23</f>
        <v>47175</v>
      </c>
      <c r="T23" s="45" t="n">
        <v>156408</v>
      </c>
      <c r="U23" s="46"/>
      <c r="V23" s="46" t="s">
        <v>155</v>
      </c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2.75" hidden="false" customHeight="false" outlineLevel="0" collapsed="false">
      <c r="A24" s="37" t="s">
        <v>150</v>
      </c>
      <c r="B24" s="38" t="s">
        <v>127</v>
      </c>
      <c r="C24" s="38" t="s">
        <v>128</v>
      </c>
      <c r="D24" s="39" t="n">
        <v>36557</v>
      </c>
      <c r="E24" s="39" t="n">
        <v>37346</v>
      </c>
      <c r="F24" s="37" t="s">
        <v>130</v>
      </c>
      <c r="G24" s="37" t="s">
        <v>169</v>
      </c>
      <c r="H24" s="38"/>
      <c r="I24" s="40" t="n">
        <f aca="false">2.6805/I$1</f>
        <v>0.0864677419354839</v>
      </c>
      <c r="J24" s="41" t="n">
        <v>0</v>
      </c>
      <c r="K24" s="41" t="n">
        <v>0</v>
      </c>
      <c r="L24" s="41" t="n">
        <v>0</v>
      </c>
      <c r="M24" s="41" t="n">
        <v>0</v>
      </c>
      <c r="N24" s="42" t="n">
        <v>0</v>
      </c>
      <c r="O24" s="41" t="n">
        <f aca="false">SUM(I24:M24)</f>
        <v>0.0864677419354839</v>
      </c>
      <c r="P24" s="43" t="n">
        <v>63115</v>
      </c>
      <c r="Q24" s="38" t="n">
        <v>30000</v>
      </c>
      <c r="R24" s="37" t="s">
        <v>172</v>
      </c>
      <c r="S24" s="110" t="n">
        <f aca="false">I24*I$1*Q24</f>
        <v>80415</v>
      </c>
      <c r="T24" s="45" t="n">
        <v>156532</v>
      </c>
      <c r="U24" s="46"/>
      <c r="V24" s="46" t="s">
        <v>155</v>
      </c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2.75" hidden="false" customHeight="false" outlineLevel="0" collapsed="false">
      <c r="A25" s="37" t="s">
        <v>150</v>
      </c>
      <c r="B25" s="38" t="s">
        <v>127</v>
      </c>
      <c r="C25" s="38" t="s">
        <v>173</v>
      </c>
      <c r="D25" s="39" t="n">
        <v>36746</v>
      </c>
      <c r="E25" s="39" t="n">
        <v>37103</v>
      </c>
      <c r="F25" s="37" t="s">
        <v>130</v>
      </c>
      <c r="G25" s="37" t="s">
        <v>169</v>
      </c>
      <c r="H25" s="38"/>
      <c r="I25" s="40" t="n">
        <f aca="false">3.14/I$1</f>
        <v>0.101290322580645</v>
      </c>
      <c r="J25" s="41"/>
      <c r="K25" s="41"/>
      <c r="L25" s="41"/>
      <c r="M25" s="41"/>
      <c r="N25" s="42"/>
      <c r="O25" s="41"/>
      <c r="P25" s="43" t="n">
        <v>69119</v>
      </c>
      <c r="Q25" s="38" t="n">
        <v>142</v>
      </c>
      <c r="R25" s="37" t="s">
        <v>174</v>
      </c>
      <c r="S25" s="110" t="n">
        <f aca="false">I25*I$1*Q25</f>
        <v>445.88</v>
      </c>
      <c r="T25" s="45" t="n">
        <v>360720</v>
      </c>
      <c r="U25" s="111"/>
      <c r="V25" s="46" t="s">
        <v>155</v>
      </c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2.75" hidden="false" customHeight="false" outlineLevel="0" collapsed="false">
      <c r="A26" s="37"/>
      <c r="B26" s="38"/>
      <c r="C26" s="38"/>
      <c r="D26" s="39"/>
      <c r="E26" s="39"/>
      <c r="F26" s="37"/>
      <c r="G26" s="37"/>
      <c r="H26" s="38"/>
      <c r="I26" s="40"/>
      <c r="J26" s="41"/>
      <c r="K26" s="41"/>
      <c r="L26" s="41"/>
      <c r="M26" s="41"/>
      <c r="N26" s="42"/>
      <c r="O26" s="41"/>
      <c r="P26" s="43"/>
      <c r="Q26" s="112"/>
      <c r="R26" s="37"/>
      <c r="S26" s="44"/>
      <c r="T26" s="45"/>
      <c r="U26" s="46"/>
      <c r="V26" s="46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2.75" hidden="false" customHeight="false" outlineLevel="0" collapsed="false">
      <c r="A27" s="93" t="s">
        <v>9</v>
      </c>
      <c r="B27" s="90" t="s">
        <v>9</v>
      </c>
      <c r="C27" s="88" t="s">
        <v>9</v>
      </c>
      <c r="D27" s="94" t="s">
        <v>9</v>
      </c>
      <c r="E27" s="94"/>
      <c r="F27" s="93" t="s">
        <v>9</v>
      </c>
      <c r="G27" s="95" t="s">
        <v>9</v>
      </c>
      <c r="H27" s="90" t="s">
        <v>9</v>
      </c>
      <c r="I27" s="96"/>
      <c r="J27" s="87"/>
      <c r="K27" s="87"/>
      <c r="L27" s="87"/>
      <c r="M27" s="87"/>
      <c r="N27" s="97"/>
      <c r="O27" s="87"/>
      <c r="P27" s="98" t="s">
        <v>9</v>
      </c>
      <c r="Q27" s="88" t="n">
        <f aca="false">SUM(Q13:Q26)</f>
        <v>210396</v>
      </c>
      <c r="R27" s="93" t="s">
        <v>175</v>
      </c>
      <c r="S27" s="54" t="n">
        <f aca="false">SUM(S13:S26)</f>
        <v>331181.3162</v>
      </c>
      <c r="T27" s="65"/>
      <c r="U27" s="56"/>
      <c r="V27" s="56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  <c r="IW27" s="92"/>
    </row>
    <row r="28" customFormat="false" ht="12.75" hidden="false" customHeight="false" outlineLevel="0" collapsed="false">
      <c r="A28" s="93"/>
      <c r="B28" s="90"/>
      <c r="C28" s="88"/>
      <c r="D28" s="94"/>
      <c r="E28" s="94"/>
      <c r="F28" s="93"/>
      <c r="G28" s="95"/>
      <c r="H28" s="90"/>
      <c r="I28" s="96"/>
      <c r="J28" s="87"/>
      <c r="K28" s="87"/>
      <c r="L28" s="87"/>
      <c r="M28" s="87"/>
      <c r="N28" s="97"/>
      <c r="O28" s="87"/>
      <c r="P28" s="98"/>
      <c r="Q28" s="90"/>
      <c r="R28" s="93" t="s">
        <v>176</v>
      </c>
      <c r="S28" s="54" t="n">
        <v>0</v>
      </c>
      <c r="T28" s="65"/>
      <c r="U28" s="56"/>
      <c r="V28" s="56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  <c r="IW28" s="92"/>
    </row>
    <row r="29" customFormat="false" ht="13.5" hidden="false" customHeight="false" outlineLevel="0" collapsed="false">
      <c r="A29" s="93"/>
      <c r="B29" s="90"/>
      <c r="C29" s="88"/>
      <c r="D29" s="94"/>
      <c r="E29" s="94"/>
      <c r="F29" s="93"/>
      <c r="G29" s="95"/>
      <c r="H29" s="90"/>
      <c r="I29" s="96"/>
      <c r="J29" s="87"/>
      <c r="K29" s="87"/>
      <c r="L29" s="87"/>
      <c r="M29" s="87"/>
      <c r="N29" s="97"/>
      <c r="O29" s="87"/>
      <c r="P29" s="98"/>
      <c r="Q29" s="90"/>
      <c r="R29" s="93" t="s">
        <v>177</v>
      </c>
      <c r="S29" s="113" t="n">
        <f aca="false">+S27-S28</f>
        <v>331181.3162</v>
      </c>
      <c r="T29" s="65"/>
      <c r="U29" s="46"/>
      <c r="V29" s="46"/>
    </row>
    <row r="30" customFormat="false" ht="13.5" hidden="false" customHeight="false" outlineLevel="0" collapsed="false">
      <c r="A30" s="93"/>
      <c r="B30" s="90"/>
      <c r="C30" s="88"/>
      <c r="D30" s="94"/>
      <c r="E30" s="94"/>
      <c r="F30" s="93"/>
      <c r="G30" s="95"/>
      <c r="H30" s="90"/>
      <c r="I30" s="96"/>
      <c r="J30" s="87"/>
      <c r="K30" s="87"/>
      <c r="L30" s="87"/>
      <c r="M30" s="87"/>
      <c r="N30" s="97"/>
      <c r="O30" s="87"/>
      <c r="P30" s="98"/>
      <c r="Q30" s="90"/>
      <c r="R30" s="93"/>
      <c r="S30" s="54"/>
      <c r="T30" s="65"/>
      <c r="U30" s="46"/>
      <c r="V30" s="46"/>
    </row>
    <row r="31" customFormat="false" ht="12.75" hidden="false" customHeight="false" outlineLevel="0" collapsed="false">
      <c r="A31" s="99" t="s">
        <v>108</v>
      </c>
      <c r="B31" s="100" t="s">
        <v>109</v>
      </c>
      <c r="C31" s="100" t="s">
        <v>110</v>
      </c>
      <c r="D31" s="101" t="s">
        <v>111</v>
      </c>
      <c r="E31" s="101"/>
      <c r="F31" s="99" t="s">
        <v>112</v>
      </c>
      <c r="G31" s="99" t="s">
        <v>113</v>
      </c>
      <c r="H31" s="100" t="s">
        <v>114</v>
      </c>
      <c r="I31" s="102" t="s">
        <v>115</v>
      </c>
      <c r="J31" s="100" t="s">
        <v>116</v>
      </c>
      <c r="K31" s="100" t="s">
        <v>117</v>
      </c>
      <c r="L31" s="100" t="s">
        <v>118</v>
      </c>
      <c r="M31" s="100" t="s">
        <v>7</v>
      </c>
      <c r="N31" s="103" t="s">
        <v>119</v>
      </c>
      <c r="O31" s="100" t="s">
        <v>120</v>
      </c>
      <c r="P31" s="104" t="s">
        <v>147</v>
      </c>
      <c r="Q31" s="100" t="s">
        <v>122</v>
      </c>
      <c r="R31" s="99" t="s">
        <v>123</v>
      </c>
      <c r="S31" s="105" t="s">
        <v>132</v>
      </c>
      <c r="T31" s="114" t="s">
        <v>132</v>
      </c>
      <c r="U31" s="106"/>
      <c r="V31" s="107"/>
      <c r="W31" s="107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  <c r="IV31" s="109"/>
      <c r="IW31" s="109"/>
    </row>
    <row r="32" customFormat="false" ht="12.75" hidden="false" customHeight="false" outlineLevel="0" collapsed="false">
      <c r="A32" s="37" t="s">
        <v>150</v>
      </c>
      <c r="B32" s="38" t="s">
        <v>133</v>
      </c>
      <c r="C32" s="38" t="s">
        <v>56</v>
      </c>
      <c r="D32" s="39" t="n">
        <v>37012</v>
      </c>
      <c r="E32" s="39" t="n">
        <v>37376</v>
      </c>
      <c r="F32" s="37" t="s">
        <v>178</v>
      </c>
      <c r="G32" s="37" t="s">
        <v>179</v>
      </c>
      <c r="H32" s="38" t="s">
        <v>180</v>
      </c>
      <c r="I32" s="46" t="n">
        <f aca="false">6.195/I1</f>
        <v>0.199838709677419</v>
      </c>
      <c r="J32" s="41"/>
      <c r="K32" s="41"/>
      <c r="L32" s="41"/>
      <c r="M32" s="41"/>
      <c r="N32" s="42"/>
      <c r="O32" s="41"/>
      <c r="P32" s="43" t="n">
        <v>67207</v>
      </c>
      <c r="Q32" s="38" t="n">
        <v>19293</v>
      </c>
      <c r="R32" s="37" t="s">
        <v>181</v>
      </c>
      <c r="S32" s="45" t="n">
        <f aca="false">I32*I$1*Q32</f>
        <v>119520.135</v>
      </c>
      <c r="T32" s="115"/>
      <c r="U32" s="45" t="n">
        <v>615426</v>
      </c>
      <c r="V32" s="46" t="s">
        <v>182</v>
      </c>
      <c r="W32" s="46"/>
      <c r="X32" s="46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12.75" hidden="false" customHeight="false" outlineLevel="0" collapsed="false">
      <c r="A33" s="57" t="s">
        <v>183</v>
      </c>
      <c r="B33" s="116" t="s">
        <v>133</v>
      </c>
      <c r="C33" s="116" t="s">
        <v>133</v>
      </c>
      <c r="D33" s="117" t="n">
        <v>36982</v>
      </c>
      <c r="E33" s="117" t="n">
        <v>37346</v>
      </c>
      <c r="F33" s="57" t="s">
        <v>184</v>
      </c>
      <c r="G33" s="57" t="s">
        <v>185</v>
      </c>
      <c r="H33" s="116" t="s">
        <v>153</v>
      </c>
      <c r="I33" s="118" t="n">
        <f aca="false">6.195/I$1</f>
        <v>0.199838709677419</v>
      </c>
      <c r="J33" s="119" t="n">
        <v>0</v>
      </c>
      <c r="K33" s="119" t="n">
        <v>0</v>
      </c>
      <c r="L33" s="119" t="n">
        <v>0</v>
      </c>
      <c r="M33" s="119" t="n">
        <v>0</v>
      </c>
      <c r="N33" s="120" t="n">
        <v>0</v>
      </c>
      <c r="O33" s="119" t="n">
        <f aca="false">SUM(I33:M33)</f>
        <v>0.199838709677419</v>
      </c>
      <c r="P33" s="121" t="n">
        <v>67133</v>
      </c>
      <c r="Q33" s="116" t="n">
        <v>4000</v>
      </c>
      <c r="R33" s="57" t="s">
        <v>186</v>
      </c>
      <c r="S33" s="44" t="n">
        <f aca="false">I33*I$1*Q33</f>
        <v>24780</v>
      </c>
      <c r="T33" s="122" t="n">
        <v>4.41</v>
      </c>
      <c r="U33" s="123" t="n">
        <v>690593</v>
      </c>
      <c r="V33" s="124" t="s">
        <v>182</v>
      </c>
      <c r="W33" s="124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125"/>
      <c r="CY33" s="125"/>
      <c r="CZ33" s="125"/>
      <c r="DA33" s="125"/>
      <c r="DB33" s="125"/>
      <c r="DC33" s="125"/>
      <c r="DD33" s="125"/>
      <c r="DE33" s="125"/>
      <c r="DF33" s="125"/>
      <c r="DG33" s="125"/>
      <c r="DH33" s="125"/>
      <c r="DI33" s="125"/>
      <c r="DJ33" s="125"/>
      <c r="DK33" s="125"/>
      <c r="DL33" s="125"/>
      <c r="DM33" s="125"/>
      <c r="DN33" s="125"/>
      <c r="DO33" s="125"/>
      <c r="DP33" s="125"/>
      <c r="DQ33" s="125"/>
      <c r="DR33" s="125"/>
      <c r="DS33" s="125"/>
      <c r="DT33" s="125"/>
      <c r="DU33" s="125"/>
      <c r="DV33" s="125"/>
      <c r="DW33" s="125"/>
      <c r="DX33" s="125"/>
      <c r="DY33" s="125"/>
      <c r="DZ33" s="125"/>
      <c r="EA33" s="125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125"/>
      <c r="FG33" s="125"/>
      <c r="FH33" s="125"/>
      <c r="FI33" s="125"/>
      <c r="FJ33" s="125"/>
      <c r="FK33" s="125"/>
      <c r="FL33" s="125"/>
      <c r="FM33" s="125"/>
      <c r="FN33" s="125"/>
      <c r="FO33" s="125"/>
      <c r="FP33" s="125"/>
      <c r="FQ33" s="125"/>
      <c r="FR33" s="125"/>
      <c r="FS33" s="125"/>
      <c r="FT33" s="125"/>
      <c r="FU33" s="125"/>
      <c r="FV33" s="125"/>
      <c r="FW33" s="125"/>
      <c r="FX33" s="125"/>
      <c r="FY33" s="125"/>
      <c r="FZ33" s="125"/>
      <c r="GA33" s="125"/>
      <c r="GB33" s="125"/>
      <c r="GC33" s="125"/>
      <c r="GD33" s="125"/>
      <c r="GE33" s="125"/>
      <c r="GF33" s="125"/>
      <c r="GG33" s="125"/>
      <c r="GH33" s="125"/>
      <c r="GI33" s="125"/>
      <c r="GJ33" s="125"/>
      <c r="GK33" s="125"/>
      <c r="GL33" s="125"/>
      <c r="GM33" s="125"/>
      <c r="GN33" s="125"/>
      <c r="GO33" s="125"/>
      <c r="GP33" s="125"/>
      <c r="GQ33" s="125"/>
      <c r="GR33" s="125"/>
      <c r="GS33" s="125"/>
      <c r="GT33" s="125"/>
      <c r="GU33" s="125"/>
      <c r="GV33" s="125"/>
      <c r="GW33" s="125"/>
      <c r="GX33" s="125"/>
      <c r="GY33" s="125"/>
      <c r="GZ33" s="125"/>
      <c r="HA33" s="125"/>
      <c r="HB33" s="125"/>
      <c r="HC33" s="125"/>
      <c r="HD33" s="125"/>
      <c r="HE33" s="125"/>
      <c r="HF33" s="125"/>
      <c r="HG33" s="125"/>
      <c r="HH33" s="125"/>
      <c r="HI33" s="125"/>
      <c r="HJ33" s="125"/>
      <c r="HK33" s="125"/>
      <c r="HL33" s="125"/>
      <c r="HM33" s="125"/>
      <c r="HN33" s="125"/>
      <c r="HO33" s="125"/>
      <c r="HP33" s="125"/>
      <c r="HQ33" s="125"/>
      <c r="HR33" s="125"/>
      <c r="HS33" s="125"/>
      <c r="HT33" s="125"/>
      <c r="HU33" s="125"/>
      <c r="HV33" s="125"/>
      <c r="HW33" s="125"/>
      <c r="HX33" s="125"/>
      <c r="HY33" s="125"/>
      <c r="HZ33" s="125"/>
      <c r="IA33" s="125"/>
      <c r="IB33" s="125"/>
      <c r="IC33" s="125"/>
      <c r="ID33" s="125"/>
      <c r="IE33" s="125"/>
      <c r="IF33" s="125"/>
      <c r="IG33" s="125"/>
      <c r="IH33" s="125"/>
      <c r="II33" s="125"/>
      <c r="IJ33" s="125"/>
      <c r="IK33" s="125"/>
      <c r="IL33" s="125"/>
      <c r="IM33" s="125"/>
      <c r="IN33" s="125"/>
      <c r="IO33" s="125"/>
      <c r="IP33" s="125"/>
      <c r="IQ33" s="125"/>
      <c r="IR33" s="125"/>
      <c r="IS33" s="125"/>
      <c r="IT33" s="125"/>
      <c r="IU33" s="125"/>
      <c r="IV33" s="125"/>
      <c r="IW33" s="125"/>
    </row>
    <row r="34" customFormat="false" ht="12.75" hidden="false" customHeight="false" outlineLevel="0" collapsed="false">
      <c r="A34" s="57" t="s">
        <v>183</v>
      </c>
      <c r="B34" s="116" t="s">
        <v>133</v>
      </c>
      <c r="C34" s="116" t="s">
        <v>133</v>
      </c>
      <c r="D34" s="117" t="n">
        <v>36982</v>
      </c>
      <c r="E34" s="117" t="n">
        <v>37346</v>
      </c>
      <c r="F34" s="57" t="s">
        <v>184</v>
      </c>
      <c r="G34" s="57" t="s">
        <v>187</v>
      </c>
      <c r="H34" s="116" t="s">
        <v>153</v>
      </c>
      <c r="I34" s="118" t="n">
        <f aca="false">6.231/I$1</f>
        <v>0.201</v>
      </c>
      <c r="J34" s="119" t="n">
        <v>0</v>
      </c>
      <c r="K34" s="119" t="n">
        <v>0</v>
      </c>
      <c r="L34" s="119" t="n">
        <v>0</v>
      </c>
      <c r="M34" s="119" t="n">
        <v>0</v>
      </c>
      <c r="N34" s="120" t="n">
        <v>0</v>
      </c>
      <c r="O34" s="119" t="n">
        <f aca="false">SUM(I34:M34)</f>
        <v>0.201</v>
      </c>
      <c r="P34" s="121" t="n">
        <v>70197</v>
      </c>
      <c r="Q34" s="116" t="n">
        <v>4000</v>
      </c>
      <c r="R34" s="57" t="s">
        <v>186</v>
      </c>
      <c r="S34" s="44" t="n">
        <f aca="false">I34*I$1*Q34</f>
        <v>24924</v>
      </c>
      <c r="T34" s="122" t="n">
        <v>6.201</v>
      </c>
      <c r="U34" s="123" t="n">
        <v>544527</v>
      </c>
      <c r="V34" s="124" t="s">
        <v>182</v>
      </c>
      <c r="W34" s="124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125"/>
      <c r="CY34" s="125"/>
      <c r="CZ34" s="125"/>
      <c r="DA34" s="125"/>
      <c r="DB34" s="125"/>
      <c r="DC34" s="125"/>
      <c r="DD34" s="125"/>
      <c r="DE34" s="125"/>
      <c r="DF34" s="125"/>
      <c r="DG34" s="125"/>
      <c r="DH34" s="125"/>
      <c r="DI34" s="125"/>
      <c r="DJ34" s="125"/>
      <c r="DK34" s="125"/>
      <c r="DL34" s="125"/>
      <c r="DM34" s="125"/>
      <c r="DN34" s="125"/>
      <c r="DO34" s="125"/>
      <c r="DP34" s="125"/>
      <c r="DQ34" s="125"/>
      <c r="DR34" s="125"/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5"/>
      <c r="EF34" s="125"/>
      <c r="EG34" s="125"/>
      <c r="EH34" s="125"/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125"/>
      <c r="EW34" s="125"/>
      <c r="EX34" s="125"/>
      <c r="EY34" s="125"/>
      <c r="EZ34" s="125"/>
      <c r="FA34" s="125"/>
      <c r="FB34" s="125"/>
      <c r="FC34" s="125"/>
      <c r="FD34" s="125"/>
      <c r="FE34" s="125"/>
      <c r="FF34" s="125"/>
      <c r="FG34" s="125"/>
      <c r="FH34" s="125"/>
      <c r="FI34" s="125"/>
      <c r="FJ34" s="125"/>
      <c r="FK34" s="125"/>
      <c r="FL34" s="125"/>
      <c r="FM34" s="125"/>
      <c r="FN34" s="125"/>
      <c r="FO34" s="125"/>
      <c r="FP34" s="125"/>
      <c r="FQ34" s="125"/>
      <c r="FR34" s="125"/>
      <c r="FS34" s="125"/>
      <c r="FT34" s="125"/>
      <c r="FU34" s="125"/>
      <c r="FV34" s="125"/>
      <c r="FW34" s="125"/>
      <c r="FX34" s="125"/>
      <c r="FY34" s="125"/>
      <c r="FZ34" s="125"/>
      <c r="GA34" s="125"/>
      <c r="GB34" s="125"/>
      <c r="GC34" s="125"/>
      <c r="GD34" s="125"/>
      <c r="GE34" s="125"/>
      <c r="GF34" s="125"/>
      <c r="GG34" s="125"/>
      <c r="GH34" s="125"/>
      <c r="GI34" s="125"/>
      <c r="GJ34" s="125"/>
      <c r="GK34" s="125"/>
      <c r="GL34" s="125"/>
      <c r="GM34" s="125"/>
      <c r="GN34" s="125"/>
      <c r="GO34" s="125"/>
      <c r="GP34" s="125"/>
      <c r="GQ34" s="125"/>
      <c r="GR34" s="125"/>
      <c r="GS34" s="125"/>
      <c r="GT34" s="125"/>
      <c r="GU34" s="125"/>
      <c r="GV34" s="125"/>
      <c r="GW34" s="125"/>
      <c r="GX34" s="125"/>
      <c r="GY34" s="125"/>
      <c r="GZ34" s="125"/>
      <c r="HA34" s="125"/>
      <c r="HB34" s="125"/>
      <c r="HC34" s="125"/>
      <c r="HD34" s="125"/>
      <c r="HE34" s="125"/>
      <c r="HF34" s="125"/>
      <c r="HG34" s="125"/>
      <c r="HH34" s="125"/>
      <c r="HI34" s="125"/>
      <c r="HJ34" s="125"/>
      <c r="HK34" s="125"/>
      <c r="HL34" s="125"/>
      <c r="HM34" s="125"/>
      <c r="HN34" s="125"/>
      <c r="HO34" s="125"/>
      <c r="HP34" s="125"/>
      <c r="HQ34" s="125"/>
      <c r="HR34" s="125"/>
      <c r="HS34" s="125"/>
      <c r="HT34" s="125"/>
      <c r="HU34" s="125"/>
      <c r="HV34" s="125"/>
      <c r="HW34" s="125"/>
      <c r="HX34" s="125"/>
      <c r="HY34" s="125"/>
      <c r="HZ34" s="125"/>
      <c r="IA34" s="125"/>
      <c r="IB34" s="125"/>
      <c r="IC34" s="125"/>
      <c r="ID34" s="125"/>
      <c r="IE34" s="125"/>
      <c r="IF34" s="125"/>
      <c r="IG34" s="125"/>
      <c r="IH34" s="125"/>
      <c r="II34" s="125"/>
      <c r="IJ34" s="125"/>
      <c r="IK34" s="125"/>
      <c r="IL34" s="125"/>
      <c r="IM34" s="125"/>
      <c r="IN34" s="125"/>
      <c r="IO34" s="125"/>
      <c r="IP34" s="125"/>
      <c r="IQ34" s="125"/>
      <c r="IR34" s="125"/>
      <c r="IS34" s="125"/>
      <c r="IT34" s="125"/>
      <c r="IU34" s="125"/>
      <c r="IV34" s="125"/>
      <c r="IW34" s="125"/>
    </row>
    <row r="35" customFormat="false" ht="12.75" hidden="false" customHeight="false" outlineLevel="0" collapsed="false">
      <c r="A35" s="37" t="s">
        <v>150</v>
      </c>
      <c r="B35" s="38" t="s">
        <v>133</v>
      </c>
      <c r="C35" s="37" t="s">
        <v>188</v>
      </c>
      <c r="D35" s="39" t="n">
        <v>36770</v>
      </c>
      <c r="E35" s="39" t="n">
        <v>37134</v>
      </c>
      <c r="F35" s="37" t="s">
        <v>189</v>
      </c>
      <c r="G35" s="37" t="s">
        <v>190</v>
      </c>
      <c r="H35" s="38"/>
      <c r="I35" s="40" t="n">
        <f aca="false">6.201/I$1</f>
        <v>0.200032258064516</v>
      </c>
      <c r="J35" s="41" t="n">
        <v>0</v>
      </c>
      <c r="K35" s="41" t="n">
        <v>0</v>
      </c>
      <c r="L35" s="41" t="n">
        <v>0</v>
      </c>
      <c r="M35" s="41" t="n">
        <v>0</v>
      </c>
      <c r="N35" s="42" t="n">
        <v>0</v>
      </c>
      <c r="O35" s="41" t="n">
        <f aca="false">SUM(I35:M35)</f>
        <v>0.200032258064516</v>
      </c>
      <c r="P35" s="43" t="n">
        <v>69204</v>
      </c>
      <c r="Q35" s="88" t="n">
        <v>2048</v>
      </c>
      <c r="R35" s="37" t="s">
        <v>191</v>
      </c>
      <c r="S35" s="44" t="n">
        <f aca="false">I35*I$1*Q35</f>
        <v>12699.648</v>
      </c>
      <c r="T35" s="115"/>
      <c r="U35" s="45" t="n">
        <v>382565</v>
      </c>
      <c r="V35" s="46" t="s">
        <v>182</v>
      </c>
      <c r="W35" s="46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</row>
    <row r="36" customFormat="false" ht="12.75" hidden="false" customHeight="false" outlineLevel="0" collapsed="false">
      <c r="A36" s="37" t="s">
        <v>150</v>
      </c>
      <c r="B36" s="38" t="s">
        <v>133</v>
      </c>
      <c r="C36" s="37" t="s">
        <v>188</v>
      </c>
      <c r="D36" s="39" t="n">
        <v>36770</v>
      </c>
      <c r="E36" s="39" t="n">
        <v>37134</v>
      </c>
      <c r="F36" s="37" t="s">
        <v>189</v>
      </c>
      <c r="G36" s="37" t="s">
        <v>190</v>
      </c>
      <c r="H36" s="38"/>
      <c r="I36" s="40" t="n">
        <f aca="false">6.201/I$1</f>
        <v>0.200032258064516</v>
      </c>
      <c r="J36" s="41" t="n">
        <v>0</v>
      </c>
      <c r="K36" s="41" t="n">
        <v>0</v>
      </c>
      <c r="L36" s="41" t="n">
        <v>0</v>
      </c>
      <c r="M36" s="41" t="n">
        <v>0</v>
      </c>
      <c r="N36" s="42" t="n">
        <v>0</v>
      </c>
      <c r="O36" s="41" t="n">
        <f aca="false">SUM(I36:M36)</f>
        <v>0.200032258064516</v>
      </c>
      <c r="P36" s="43" t="n">
        <v>69205</v>
      </c>
      <c r="Q36" s="88" t="n">
        <v>2048</v>
      </c>
      <c r="R36" s="37" t="s">
        <v>192</v>
      </c>
      <c r="S36" s="44" t="n">
        <f aca="false">I36*I$1*Q36</f>
        <v>12699.648</v>
      </c>
      <c r="T36" s="115"/>
      <c r="U36" s="45" t="n">
        <v>382544</v>
      </c>
      <c r="V36" s="46" t="s">
        <v>182</v>
      </c>
      <c r="W36" s="46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12.75" hidden="false" customHeight="false" outlineLevel="0" collapsed="false">
      <c r="A37" s="37" t="s">
        <v>150</v>
      </c>
      <c r="B37" s="38" t="s">
        <v>133</v>
      </c>
      <c r="C37" s="37" t="s">
        <v>188</v>
      </c>
      <c r="D37" s="39" t="n">
        <v>36770</v>
      </c>
      <c r="E37" s="39" t="n">
        <v>37134</v>
      </c>
      <c r="F37" s="37" t="s">
        <v>189</v>
      </c>
      <c r="G37" s="37" t="s">
        <v>190</v>
      </c>
      <c r="H37" s="38"/>
      <c r="I37" s="40" t="n">
        <f aca="false">6.201/I$1</f>
        <v>0.200032258064516</v>
      </c>
      <c r="J37" s="41" t="n">
        <v>0</v>
      </c>
      <c r="K37" s="41" t="n">
        <v>0</v>
      </c>
      <c r="L37" s="41" t="n">
        <v>0</v>
      </c>
      <c r="M37" s="41" t="n">
        <v>0</v>
      </c>
      <c r="N37" s="42" t="n">
        <v>0</v>
      </c>
      <c r="O37" s="41" t="n">
        <f aca="false">SUM(I37:M37)</f>
        <v>0.200032258064516</v>
      </c>
      <c r="P37" s="43" t="n">
        <v>69310</v>
      </c>
      <c r="Q37" s="88" t="n">
        <v>2048</v>
      </c>
      <c r="R37" s="37" t="s">
        <v>193</v>
      </c>
      <c r="S37" s="44" t="n">
        <f aca="false">I37*I$1*Q37</f>
        <v>12699.648</v>
      </c>
      <c r="T37" s="115"/>
      <c r="U37" s="45" t="n">
        <v>386340</v>
      </c>
      <c r="V37" s="46" t="s">
        <v>182</v>
      </c>
      <c r="W37" s="46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customFormat="false" ht="12.75" hidden="false" customHeight="false" outlineLevel="0" collapsed="false">
      <c r="A38" s="37" t="s">
        <v>194</v>
      </c>
      <c r="B38" s="38" t="s">
        <v>133</v>
      </c>
      <c r="C38" s="38" t="s">
        <v>195</v>
      </c>
      <c r="D38" s="39" t="n">
        <v>36434</v>
      </c>
      <c r="E38" s="39" t="n">
        <v>36714</v>
      </c>
      <c r="F38" s="37" t="s">
        <v>196</v>
      </c>
      <c r="G38" s="37" t="s">
        <v>195</v>
      </c>
      <c r="H38" s="38"/>
      <c r="I38" s="40" t="n">
        <v>0</v>
      </c>
      <c r="J38" s="41" t="n">
        <v>0</v>
      </c>
      <c r="K38" s="41" t="n">
        <v>0</v>
      </c>
      <c r="L38" s="41" t="n">
        <v>0</v>
      </c>
      <c r="M38" s="41" t="n">
        <v>0</v>
      </c>
      <c r="N38" s="42" t="n">
        <v>0</v>
      </c>
      <c r="O38" s="41" t="n">
        <f aca="false">SUM(I38:M38)</f>
        <v>0</v>
      </c>
      <c r="P38" s="43"/>
      <c r="Q38" s="38" t="n">
        <v>40000</v>
      </c>
      <c r="R38" s="37"/>
      <c r="S38" s="44" t="n">
        <f aca="false">I38*I$1*Q38</f>
        <v>0</v>
      </c>
      <c r="T38" s="44"/>
      <c r="U38" s="45"/>
      <c r="V38" s="46" t="s">
        <v>182</v>
      </c>
      <c r="W38" s="46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</row>
    <row r="39" customFormat="false" ht="12.75" hidden="false" customHeight="false" outlineLevel="0" collapsed="false">
      <c r="A39" s="37"/>
      <c r="B39" s="38"/>
      <c r="C39" s="38"/>
      <c r="D39" s="39"/>
      <c r="E39" s="39"/>
      <c r="F39" s="37"/>
      <c r="G39" s="37"/>
      <c r="H39" s="38"/>
      <c r="I39" s="40"/>
      <c r="J39" s="41"/>
      <c r="K39" s="41"/>
      <c r="L39" s="41"/>
      <c r="M39" s="41"/>
      <c r="N39" s="42"/>
      <c r="O39" s="41"/>
      <c r="P39" s="43"/>
      <c r="Q39" s="38"/>
      <c r="R39" s="37"/>
      <c r="S39" s="44"/>
      <c r="T39" s="44"/>
      <c r="U39" s="45"/>
      <c r="V39" s="46" t="s">
        <v>182</v>
      </c>
      <c r="W39" s="46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</row>
    <row r="40" customFormat="false" ht="12.75" hidden="false" customHeight="false" outlineLevel="0" collapsed="false">
      <c r="A40" s="37"/>
      <c r="B40" s="38"/>
      <c r="C40" s="38"/>
      <c r="D40" s="126"/>
      <c r="E40" s="39"/>
      <c r="F40" s="37"/>
      <c r="G40" s="37"/>
      <c r="H40" s="38"/>
      <c r="I40" s="40"/>
      <c r="J40" s="41"/>
      <c r="K40" s="41"/>
      <c r="L40" s="41"/>
      <c r="M40" s="41"/>
      <c r="N40" s="42"/>
      <c r="O40" s="41"/>
      <c r="P40" s="43"/>
      <c r="Q40" s="88" t="n">
        <f aca="false">SUM(Q32:Q39)</f>
        <v>73437</v>
      </c>
      <c r="R40" s="93" t="s">
        <v>175</v>
      </c>
      <c r="S40" s="54" t="n">
        <f aca="false">SUM(S32:S39)</f>
        <v>207323.079</v>
      </c>
      <c r="T40" s="44"/>
      <c r="U40" s="45"/>
      <c r="V40" s="46" t="s">
        <v>182</v>
      </c>
      <c r="W40" s="46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</row>
    <row r="41" customFormat="false" ht="12.75" hidden="false" customHeight="false" outlineLevel="0" collapsed="false">
      <c r="A41" s="37"/>
      <c r="B41" s="38"/>
      <c r="C41" s="38"/>
      <c r="D41" s="126"/>
      <c r="E41" s="39"/>
      <c r="F41" s="37"/>
      <c r="G41" s="37"/>
      <c r="H41" s="38"/>
      <c r="I41" s="40"/>
      <c r="J41" s="41"/>
      <c r="K41" s="41"/>
      <c r="L41" s="41"/>
      <c r="M41" s="41"/>
      <c r="N41" s="42"/>
      <c r="O41" s="41"/>
      <c r="P41" s="43"/>
      <c r="Q41" s="88"/>
      <c r="R41" s="93" t="s">
        <v>197</v>
      </c>
      <c r="S41" s="54" t="n">
        <v>0</v>
      </c>
      <c r="T41" s="37"/>
      <c r="U41" s="45"/>
      <c r="V41" s="46" t="s">
        <v>182</v>
      </c>
      <c r="W41" s="46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</row>
    <row r="42" customFormat="false" ht="12.75" hidden="false" customHeight="false" outlineLevel="0" collapsed="false">
      <c r="A42" s="37"/>
      <c r="B42" s="38"/>
      <c r="C42" s="38"/>
      <c r="D42" s="39"/>
      <c r="E42" s="39"/>
      <c r="F42" s="37"/>
      <c r="G42" s="37"/>
      <c r="H42" s="38"/>
      <c r="I42" s="40"/>
      <c r="J42" s="41"/>
      <c r="K42" s="41"/>
      <c r="L42" s="41"/>
      <c r="M42" s="41"/>
      <c r="N42" s="42"/>
      <c r="O42" s="41"/>
      <c r="P42" s="43"/>
      <c r="Q42" s="90"/>
      <c r="R42" s="93" t="s">
        <v>176</v>
      </c>
      <c r="S42" s="54" t="n">
        <v>0</v>
      </c>
      <c r="T42" s="44"/>
      <c r="U42" s="45"/>
      <c r="V42" s="46" t="s">
        <v>182</v>
      </c>
      <c r="W42" s="46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</row>
    <row r="43" customFormat="false" ht="13.5" hidden="false" customHeight="false" outlineLevel="0" collapsed="false">
      <c r="A43" s="37"/>
      <c r="B43" s="38"/>
      <c r="C43" s="38"/>
      <c r="D43" s="39"/>
      <c r="E43" s="39"/>
      <c r="F43" s="37"/>
      <c r="G43" s="37"/>
      <c r="H43" s="38"/>
      <c r="I43" s="40"/>
      <c r="J43" s="41"/>
      <c r="K43" s="41"/>
      <c r="L43" s="41"/>
      <c r="M43" s="41"/>
      <c r="N43" s="42"/>
      <c r="O43" s="41"/>
      <c r="P43" s="43"/>
      <c r="Q43" s="90"/>
      <c r="R43" s="93" t="s">
        <v>177</v>
      </c>
      <c r="S43" s="127" t="n">
        <f aca="false">+S40-S42</f>
        <v>207323.079</v>
      </c>
      <c r="T43" s="44"/>
      <c r="U43" s="45"/>
      <c r="V43" s="46" t="s">
        <v>182</v>
      </c>
      <c r="W43" s="46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</row>
    <row r="44" customFormat="false" ht="13.5" hidden="false" customHeight="false" outlineLevel="0" collapsed="false">
      <c r="A44" s="37"/>
      <c r="B44" s="38"/>
      <c r="C44" s="38"/>
      <c r="D44" s="39"/>
      <c r="E44" s="39"/>
      <c r="F44" s="37"/>
      <c r="G44" s="37"/>
      <c r="H44" s="38"/>
      <c r="I44" s="40"/>
      <c r="J44" s="41"/>
      <c r="K44" s="41"/>
      <c r="L44" s="41"/>
      <c r="M44" s="41"/>
      <c r="N44" s="42"/>
      <c r="O44" s="41"/>
      <c r="P44" s="43"/>
      <c r="Q44" s="38"/>
      <c r="R44" s="37"/>
      <c r="S44" s="44"/>
      <c r="T44" s="44"/>
      <c r="U44" s="45"/>
      <c r="V44" s="46"/>
      <c r="W44" s="46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customFormat="false" ht="12.75" hidden="false" customHeight="false" outlineLevel="0" collapsed="false">
      <c r="A45" s="37"/>
      <c r="B45" s="38"/>
      <c r="C45" s="38"/>
      <c r="D45" s="39"/>
      <c r="E45" s="39"/>
      <c r="F45" s="37"/>
      <c r="G45" s="37"/>
      <c r="H45" s="38"/>
      <c r="I45" s="40"/>
      <c r="J45" s="41"/>
      <c r="K45" s="41"/>
      <c r="L45" s="41"/>
      <c r="M45" s="41"/>
      <c r="N45" s="42"/>
      <c r="O45" s="41"/>
      <c r="P45" s="43"/>
      <c r="Q45" s="38"/>
      <c r="R45" s="37"/>
      <c r="S45" s="44"/>
      <c r="T45" s="44"/>
      <c r="U45" s="45"/>
      <c r="V45" s="46"/>
      <c r="W45" s="46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</row>
    <row r="46" customFormat="false" ht="12.75" hidden="false" customHeight="false" outlineLevel="0" collapsed="false">
      <c r="A46" s="99" t="s">
        <v>108</v>
      </c>
      <c r="B46" s="100" t="s">
        <v>109</v>
      </c>
      <c r="C46" s="100" t="s">
        <v>110</v>
      </c>
      <c r="D46" s="101" t="s">
        <v>111</v>
      </c>
      <c r="E46" s="101"/>
      <c r="F46" s="99" t="s">
        <v>112</v>
      </c>
      <c r="G46" s="99" t="s">
        <v>113</v>
      </c>
      <c r="H46" s="100" t="s">
        <v>114</v>
      </c>
      <c r="I46" s="102" t="s">
        <v>115</v>
      </c>
      <c r="J46" s="100" t="s">
        <v>116</v>
      </c>
      <c r="K46" s="100" t="s">
        <v>117</v>
      </c>
      <c r="L46" s="100" t="s">
        <v>118</v>
      </c>
      <c r="M46" s="100" t="s">
        <v>7</v>
      </c>
      <c r="N46" s="103" t="s">
        <v>119</v>
      </c>
      <c r="O46" s="100" t="s">
        <v>120</v>
      </c>
      <c r="P46" s="104" t="s">
        <v>147</v>
      </c>
      <c r="Q46" s="100" t="s">
        <v>122</v>
      </c>
      <c r="R46" s="99" t="s">
        <v>123</v>
      </c>
      <c r="S46" s="105" t="s">
        <v>124</v>
      </c>
      <c r="T46" s="106" t="s">
        <v>148</v>
      </c>
      <c r="U46" s="107"/>
      <c r="V46" s="107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09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109"/>
      <c r="IG46" s="109"/>
      <c r="IH46" s="109"/>
      <c r="II46" s="109"/>
      <c r="IJ46" s="109"/>
      <c r="IK46" s="109"/>
      <c r="IL46" s="109"/>
      <c r="IM46" s="109"/>
      <c r="IN46" s="109"/>
      <c r="IO46" s="109"/>
      <c r="IP46" s="109"/>
      <c r="IQ46" s="109"/>
      <c r="IR46" s="109"/>
      <c r="IS46" s="109"/>
      <c r="IT46" s="109"/>
      <c r="IU46" s="109"/>
      <c r="IV46" s="109"/>
      <c r="IW46" s="109"/>
    </row>
    <row r="47" customFormat="false" ht="12.75" hidden="false" customHeight="false" outlineLevel="0" collapsed="false">
      <c r="A47" s="37" t="s">
        <v>198</v>
      </c>
      <c r="B47" s="38" t="s">
        <v>199</v>
      </c>
      <c r="C47" s="38" t="s">
        <v>199</v>
      </c>
      <c r="D47" s="39" t="s">
        <v>21</v>
      </c>
      <c r="E47" s="39" t="s">
        <v>21</v>
      </c>
      <c r="F47" s="37" t="s">
        <v>200</v>
      </c>
      <c r="G47" s="37" t="s">
        <v>200</v>
      </c>
      <c r="H47" s="38" t="s">
        <v>153</v>
      </c>
      <c r="I47" s="40" t="n">
        <v>0.3753</v>
      </c>
      <c r="J47" s="41" t="n">
        <v>0</v>
      </c>
      <c r="K47" s="41" t="n">
        <v>0</v>
      </c>
      <c r="L47" s="41" t="n">
        <v>0</v>
      </c>
      <c r="M47" s="41" t="n">
        <v>0</v>
      </c>
      <c r="N47" s="42" t="n">
        <v>0</v>
      </c>
      <c r="O47" s="41" t="n">
        <f aca="false">SUM(I47:M47)</f>
        <v>0.3753</v>
      </c>
      <c r="P47" s="43" t="n">
        <v>5085</v>
      </c>
      <c r="Q47" s="38" t="n">
        <v>1722</v>
      </c>
      <c r="R47" s="37"/>
      <c r="S47" s="44" t="n">
        <f aca="false">I47*I$1*Q47</f>
        <v>20034.2646</v>
      </c>
      <c r="T47" s="45"/>
      <c r="U47" s="46"/>
      <c r="V47" s="46" t="s">
        <v>201</v>
      </c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</row>
    <row r="48" customFormat="false" ht="12.75" hidden="false" customHeight="false" outlineLevel="0" collapsed="false">
      <c r="A48" s="37" t="s">
        <v>198</v>
      </c>
      <c r="B48" s="38" t="s">
        <v>199</v>
      </c>
      <c r="C48" s="38" t="s">
        <v>199</v>
      </c>
      <c r="D48" s="39" t="s">
        <v>21</v>
      </c>
      <c r="E48" s="39" t="s">
        <v>21</v>
      </c>
      <c r="F48" s="37" t="s">
        <v>200</v>
      </c>
      <c r="G48" s="37" t="s">
        <v>200</v>
      </c>
      <c r="H48" s="38" t="s">
        <v>153</v>
      </c>
      <c r="I48" s="40" t="n">
        <v>0.3753</v>
      </c>
      <c r="J48" s="41" t="n">
        <v>0</v>
      </c>
      <c r="K48" s="41" t="n">
        <v>0</v>
      </c>
      <c r="L48" s="41" t="n">
        <v>0</v>
      </c>
      <c r="M48" s="41" t="n">
        <v>0</v>
      </c>
      <c r="N48" s="42" t="n">
        <v>0</v>
      </c>
      <c r="O48" s="41" t="n">
        <f aca="false">SUM(I48:M48)</f>
        <v>0.3753</v>
      </c>
      <c r="P48" s="43" t="n">
        <v>5085</v>
      </c>
      <c r="Q48" s="38" t="n">
        <v>1000</v>
      </c>
      <c r="R48" s="37"/>
      <c r="S48" s="44" t="n">
        <f aca="false">I48*I$1*Q48</f>
        <v>11634.3</v>
      </c>
      <c r="T48" s="45"/>
      <c r="U48" s="46"/>
      <c r="V48" s="46" t="s">
        <v>201</v>
      </c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</row>
    <row r="49" customFormat="false" ht="12.75" hidden="false" customHeight="false" outlineLevel="0" collapsed="false">
      <c r="A49" s="37" t="s">
        <v>198</v>
      </c>
      <c r="B49" s="38" t="s">
        <v>199</v>
      </c>
      <c r="C49" s="38" t="s">
        <v>199</v>
      </c>
      <c r="D49" s="39" t="s">
        <v>21</v>
      </c>
      <c r="E49" s="39" t="s">
        <v>21</v>
      </c>
      <c r="F49" s="37" t="s">
        <v>200</v>
      </c>
      <c r="G49" s="37" t="s">
        <v>200</v>
      </c>
      <c r="H49" s="38" t="s">
        <v>153</v>
      </c>
      <c r="I49" s="40" t="n">
        <v>0.059</v>
      </c>
      <c r="J49" s="41" t="n">
        <v>0</v>
      </c>
      <c r="K49" s="41" t="n">
        <v>0</v>
      </c>
      <c r="L49" s="41" t="n">
        <v>0</v>
      </c>
      <c r="M49" s="41" t="n">
        <v>0</v>
      </c>
      <c r="N49" s="42" t="n">
        <v>0</v>
      </c>
      <c r="O49" s="41" t="n">
        <f aca="false">SUM(I49:M49)</f>
        <v>0.059</v>
      </c>
      <c r="P49" s="43" t="n">
        <v>5085</v>
      </c>
      <c r="Q49" s="38" t="n">
        <v>122</v>
      </c>
      <c r="R49" s="37"/>
      <c r="S49" s="44" t="n">
        <f aca="false">I49*I$1*Q49</f>
        <v>223.138</v>
      </c>
      <c r="T49" s="45"/>
      <c r="U49" s="46"/>
      <c r="V49" s="46" t="s">
        <v>201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</row>
    <row r="50" customFormat="false" ht="12.75" hidden="false" customHeight="false" outlineLevel="0" collapsed="false">
      <c r="A50" s="37" t="s">
        <v>198</v>
      </c>
      <c r="B50" s="38" t="s">
        <v>199</v>
      </c>
      <c r="C50" s="38" t="s">
        <v>199</v>
      </c>
      <c r="D50" s="39" t="s">
        <v>21</v>
      </c>
      <c r="E50" s="39" t="s">
        <v>21</v>
      </c>
      <c r="F50" s="37" t="s">
        <v>200</v>
      </c>
      <c r="G50" s="37" t="s">
        <v>200</v>
      </c>
      <c r="H50" s="38" t="s">
        <v>153</v>
      </c>
      <c r="I50" s="40" t="n">
        <v>0.3923</v>
      </c>
      <c r="J50" s="41" t="n">
        <v>0</v>
      </c>
      <c r="K50" s="41" t="n">
        <v>0</v>
      </c>
      <c r="L50" s="41" t="n">
        <v>0</v>
      </c>
      <c r="M50" s="41" t="n">
        <v>0</v>
      </c>
      <c r="N50" s="42" t="n">
        <v>0</v>
      </c>
      <c r="O50" s="41" t="n">
        <f aca="false">SUM(I50:M50)</f>
        <v>0.3923</v>
      </c>
      <c r="P50" s="43" t="n">
        <v>5626</v>
      </c>
      <c r="Q50" s="38" t="n">
        <v>350</v>
      </c>
      <c r="R50" s="37"/>
      <c r="S50" s="44" t="n">
        <f aca="false">I50*I$1*Q50</f>
        <v>4256.455</v>
      </c>
      <c r="T50" s="45"/>
      <c r="U50" s="46"/>
      <c r="V50" s="46" t="s">
        <v>201</v>
      </c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</row>
    <row r="51" customFormat="false" ht="12.75" hidden="false" customHeight="false" outlineLevel="0" collapsed="false">
      <c r="A51" s="37" t="s">
        <v>198</v>
      </c>
      <c r="B51" s="38" t="s">
        <v>199</v>
      </c>
      <c r="C51" s="38" t="s">
        <v>199</v>
      </c>
      <c r="D51" s="39" t="s">
        <v>21</v>
      </c>
      <c r="E51" s="39" t="s">
        <v>21</v>
      </c>
      <c r="F51" s="37" t="s">
        <v>200</v>
      </c>
      <c r="G51" s="37" t="s">
        <v>200</v>
      </c>
      <c r="H51" s="38" t="s">
        <v>153</v>
      </c>
      <c r="I51" s="40" t="n">
        <v>0.4498</v>
      </c>
      <c r="J51" s="41" t="n">
        <v>0</v>
      </c>
      <c r="K51" s="41" t="n">
        <v>0</v>
      </c>
      <c r="L51" s="41" t="n">
        <v>0</v>
      </c>
      <c r="M51" s="41" t="n">
        <v>0</v>
      </c>
      <c r="N51" s="42" t="n">
        <v>0</v>
      </c>
      <c r="O51" s="41" t="n">
        <f aca="false">SUM(I51:M51)</f>
        <v>0.4498</v>
      </c>
      <c r="P51" s="43" t="n">
        <v>5626</v>
      </c>
      <c r="Q51" s="38" t="n">
        <v>138</v>
      </c>
      <c r="R51" s="37"/>
      <c r="S51" s="44" t="n">
        <f aca="false">I51*I$1*Q51</f>
        <v>1924.2444</v>
      </c>
      <c r="T51" s="45"/>
      <c r="U51" s="46"/>
      <c r="V51" s="46" t="s">
        <v>201</v>
      </c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</row>
    <row r="52" customFormat="false" ht="12.75" hidden="false" customHeight="false" outlineLevel="0" collapsed="false">
      <c r="A52" s="37" t="s">
        <v>198</v>
      </c>
      <c r="B52" s="38" t="s">
        <v>199</v>
      </c>
      <c r="C52" s="38" t="s">
        <v>199</v>
      </c>
      <c r="D52" s="39" t="s">
        <v>21</v>
      </c>
      <c r="E52" s="39" t="s">
        <v>21</v>
      </c>
      <c r="F52" s="37" t="s">
        <v>200</v>
      </c>
      <c r="G52" s="37" t="s">
        <v>200</v>
      </c>
      <c r="H52" s="38" t="s">
        <v>153</v>
      </c>
      <c r="I52" s="40" t="n">
        <v>0.7684</v>
      </c>
      <c r="J52" s="41" t="n">
        <v>0</v>
      </c>
      <c r="K52" s="41" t="n">
        <v>0</v>
      </c>
      <c r="L52" s="41" t="n">
        <v>0</v>
      </c>
      <c r="M52" s="41" t="n">
        <v>0</v>
      </c>
      <c r="N52" s="42" t="n">
        <v>0</v>
      </c>
      <c r="O52" s="41" t="n">
        <f aca="false">SUM(I52:M52)</f>
        <v>0.7684</v>
      </c>
      <c r="P52" s="43" t="n">
        <v>5626</v>
      </c>
      <c r="Q52" s="38" t="n">
        <v>75</v>
      </c>
      <c r="R52" s="37"/>
      <c r="S52" s="44" t="n">
        <f aca="false">I52*I$1*Q52</f>
        <v>1786.53</v>
      </c>
      <c r="T52" s="45"/>
      <c r="U52" s="46"/>
      <c r="V52" s="46" t="s">
        <v>201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</row>
    <row r="53" customFormat="false" ht="12.75" hidden="false" customHeight="false" outlineLevel="0" collapsed="false">
      <c r="A53" s="37" t="s">
        <v>202</v>
      </c>
      <c r="B53" s="38" t="s">
        <v>199</v>
      </c>
      <c r="C53" s="38" t="s">
        <v>199</v>
      </c>
      <c r="D53" s="39" t="s">
        <v>21</v>
      </c>
      <c r="E53" s="39" t="s">
        <v>21</v>
      </c>
      <c r="F53" s="37" t="s">
        <v>200</v>
      </c>
      <c r="G53" s="37" t="s">
        <v>200</v>
      </c>
      <c r="H53" s="38" t="s">
        <v>153</v>
      </c>
      <c r="I53" s="40" t="n">
        <v>0.3753</v>
      </c>
      <c r="J53" s="41" t="n">
        <v>0</v>
      </c>
      <c r="K53" s="41" t="n">
        <v>0</v>
      </c>
      <c r="L53" s="41" t="n">
        <v>0</v>
      </c>
      <c r="M53" s="41" t="n">
        <v>0</v>
      </c>
      <c r="N53" s="42" t="n">
        <v>0</v>
      </c>
      <c r="O53" s="41" t="n">
        <f aca="false">SUM(I53:M53)</f>
        <v>0.3753</v>
      </c>
      <c r="P53" s="43" t="n">
        <v>5879</v>
      </c>
      <c r="Q53" s="38" t="n">
        <v>2002</v>
      </c>
      <c r="R53" s="37"/>
      <c r="S53" s="44" t="n">
        <f aca="false">I53*I$1*Q53</f>
        <v>23291.8686</v>
      </c>
      <c r="T53" s="45"/>
      <c r="U53" s="46"/>
      <c r="V53" s="46" t="s">
        <v>201</v>
      </c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</row>
    <row r="54" customFormat="false" ht="12.75" hidden="false" customHeight="false" outlineLevel="0" collapsed="false">
      <c r="A54" s="37" t="s">
        <v>202</v>
      </c>
      <c r="B54" s="38" t="s">
        <v>199</v>
      </c>
      <c r="C54" s="38" t="s">
        <v>199</v>
      </c>
      <c r="D54" s="39" t="s">
        <v>21</v>
      </c>
      <c r="E54" s="39" t="s">
        <v>21</v>
      </c>
      <c r="F54" s="37" t="s">
        <v>200</v>
      </c>
      <c r="G54" s="37" t="s">
        <v>200</v>
      </c>
      <c r="H54" s="38" t="s">
        <v>153</v>
      </c>
      <c r="I54" s="40" t="n">
        <v>0.27</v>
      </c>
      <c r="J54" s="41" t="n">
        <v>0</v>
      </c>
      <c r="K54" s="41" t="n">
        <v>0</v>
      </c>
      <c r="L54" s="41" t="n">
        <v>0</v>
      </c>
      <c r="M54" s="41" t="n">
        <v>0</v>
      </c>
      <c r="N54" s="42" t="n">
        <v>0</v>
      </c>
      <c r="O54" s="41" t="n">
        <f aca="false">SUM(I54:M54)</f>
        <v>0.27</v>
      </c>
      <c r="P54" s="43" t="n">
        <v>5925</v>
      </c>
      <c r="Q54" s="38" t="n">
        <v>22852</v>
      </c>
      <c r="R54" s="37"/>
      <c r="S54" s="44" t="n">
        <f aca="false">I54*I$1*Q54</f>
        <v>191271.24</v>
      </c>
      <c r="T54" s="45"/>
      <c r="U54" s="46"/>
      <c r="V54" s="46" t="s">
        <v>201</v>
      </c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</row>
    <row r="55" customFormat="false" ht="12.75" hidden="false" customHeight="false" outlineLevel="0" collapsed="false">
      <c r="A55" s="37" t="s">
        <v>202</v>
      </c>
      <c r="B55" s="38" t="s">
        <v>199</v>
      </c>
      <c r="C55" s="38" t="s">
        <v>199</v>
      </c>
      <c r="D55" s="39" t="s">
        <v>21</v>
      </c>
      <c r="E55" s="39" t="s">
        <v>21</v>
      </c>
      <c r="F55" s="37" t="s">
        <v>200</v>
      </c>
      <c r="G55" s="37" t="s">
        <v>200</v>
      </c>
      <c r="H55" s="38" t="s">
        <v>153</v>
      </c>
      <c r="I55" s="40" t="n">
        <v>0.3753</v>
      </c>
      <c r="J55" s="41" t="n">
        <v>0</v>
      </c>
      <c r="K55" s="41" t="n">
        <v>0</v>
      </c>
      <c r="L55" s="41" t="n">
        <v>0</v>
      </c>
      <c r="M55" s="41" t="n">
        <v>0</v>
      </c>
      <c r="N55" s="42" t="n">
        <v>0</v>
      </c>
      <c r="O55" s="41" t="n">
        <f aca="false">SUM(I55:M55)</f>
        <v>0.3753</v>
      </c>
      <c r="P55" s="43" t="n">
        <v>6020</v>
      </c>
      <c r="Q55" s="38" t="n">
        <v>1100</v>
      </c>
      <c r="R55" s="37"/>
      <c r="S55" s="44" t="n">
        <f aca="false">I55*I$1*Q55</f>
        <v>12797.73</v>
      </c>
      <c r="T55" s="45"/>
      <c r="U55" s="46"/>
      <c r="V55" s="46" t="s">
        <v>201</v>
      </c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</row>
    <row r="56" customFormat="false" ht="12.75" hidden="false" customHeight="false" outlineLevel="0" collapsed="false">
      <c r="A56" s="37" t="s">
        <v>202</v>
      </c>
      <c r="B56" s="38" t="s">
        <v>199</v>
      </c>
      <c r="C56" s="38" t="s">
        <v>199</v>
      </c>
      <c r="D56" s="39" t="s">
        <v>21</v>
      </c>
      <c r="E56" s="39" t="s">
        <v>21</v>
      </c>
      <c r="F56" s="37" t="s">
        <v>200</v>
      </c>
      <c r="G56" s="37" t="s">
        <v>200</v>
      </c>
      <c r="H56" s="38" t="s">
        <v>153</v>
      </c>
      <c r="I56" s="40" t="n">
        <v>0.29</v>
      </c>
      <c r="J56" s="41" t="n">
        <v>0</v>
      </c>
      <c r="K56" s="41" t="n">
        <v>0</v>
      </c>
      <c r="L56" s="41" t="n">
        <v>0</v>
      </c>
      <c r="M56" s="41" t="n">
        <v>0</v>
      </c>
      <c r="N56" s="42" t="n">
        <v>0</v>
      </c>
      <c r="O56" s="41" t="n">
        <f aca="false">SUM(I56:M56)</f>
        <v>0.29</v>
      </c>
      <c r="P56" s="43" t="n">
        <v>6020</v>
      </c>
      <c r="Q56" s="38" t="n">
        <v>3500</v>
      </c>
      <c r="R56" s="37"/>
      <c r="S56" s="44" t="n">
        <f aca="false">I56*I$1*Q56</f>
        <v>31465</v>
      </c>
      <c r="T56" s="45"/>
      <c r="U56" s="46"/>
      <c r="V56" s="46" t="s">
        <v>201</v>
      </c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</row>
    <row r="57" customFormat="false" ht="12.75" hidden="false" customHeight="false" outlineLevel="0" collapsed="false">
      <c r="A57" s="37" t="s">
        <v>202</v>
      </c>
      <c r="B57" s="38" t="s">
        <v>199</v>
      </c>
      <c r="C57" s="38" t="s">
        <v>199</v>
      </c>
      <c r="D57" s="39" t="s">
        <v>21</v>
      </c>
      <c r="E57" s="39" t="s">
        <v>21</v>
      </c>
      <c r="F57" s="37" t="s">
        <v>200</v>
      </c>
      <c r="G57" s="37" t="s">
        <v>200</v>
      </c>
      <c r="H57" s="38" t="s">
        <v>153</v>
      </c>
      <c r="I57" s="40" t="n">
        <v>0.3753</v>
      </c>
      <c r="J57" s="41" t="n">
        <v>0</v>
      </c>
      <c r="K57" s="41" t="n">
        <v>0</v>
      </c>
      <c r="L57" s="41" t="n">
        <v>0</v>
      </c>
      <c r="M57" s="41" t="n">
        <v>0</v>
      </c>
      <c r="N57" s="42" t="n">
        <v>0</v>
      </c>
      <c r="O57" s="41" t="n">
        <f aca="false">SUM(I57:M57)</f>
        <v>0.3753</v>
      </c>
      <c r="P57" s="43" t="n">
        <v>6089</v>
      </c>
      <c r="Q57" s="38" t="n">
        <v>6669</v>
      </c>
      <c r="R57" s="37"/>
      <c r="S57" s="44" t="n">
        <f aca="false">I57*I$1*Q57</f>
        <v>77589.1467</v>
      </c>
      <c r="T57" s="45"/>
      <c r="U57" s="46"/>
      <c r="V57" s="46" t="s">
        <v>201</v>
      </c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</row>
    <row r="58" customFormat="false" ht="12.75" hidden="false" customHeight="false" outlineLevel="0" collapsed="false">
      <c r="A58" s="37"/>
      <c r="B58" s="38"/>
      <c r="C58" s="38"/>
      <c r="D58" s="39"/>
      <c r="E58" s="39"/>
      <c r="F58" s="37"/>
      <c r="G58" s="37"/>
      <c r="H58" s="38"/>
      <c r="I58" s="40"/>
      <c r="J58" s="41"/>
      <c r="K58" s="41"/>
      <c r="L58" s="41"/>
      <c r="M58" s="41"/>
      <c r="N58" s="42"/>
      <c r="O58" s="41"/>
      <c r="P58" s="43"/>
      <c r="Q58" s="112"/>
      <c r="R58" s="37"/>
      <c r="S58" s="44"/>
      <c r="T58" s="45"/>
      <c r="U58" s="46"/>
      <c r="V58" s="46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</row>
    <row r="59" customFormat="false" ht="12.75" hidden="false" customHeight="false" outlineLevel="0" collapsed="false">
      <c r="A59" s="93" t="s">
        <v>9</v>
      </c>
      <c r="B59" s="90" t="s">
        <v>9</v>
      </c>
      <c r="C59" s="88" t="s">
        <v>9</v>
      </c>
      <c r="D59" s="94" t="s">
        <v>9</v>
      </c>
      <c r="E59" s="94"/>
      <c r="F59" s="93" t="s">
        <v>9</v>
      </c>
      <c r="G59" s="95" t="s">
        <v>9</v>
      </c>
      <c r="H59" s="90" t="s">
        <v>9</v>
      </c>
      <c r="I59" s="96"/>
      <c r="J59" s="87"/>
      <c r="K59" s="87"/>
      <c r="L59" s="87"/>
      <c r="M59" s="87"/>
      <c r="N59" s="97"/>
      <c r="O59" s="87"/>
      <c r="P59" s="98" t="s">
        <v>9</v>
      </c>
      <c r="Q59" s="88" t="n">
        <f aca="false">SUM(Q47:Q58)</f>
        <v>39530</v>
      </c>
      <c r="R59" s="93" t="s">
        <v>175</v>
      </c>
      <c r="S59" s="54" t="n">
        <f aca="false">SUM(S47:S58)</f>
        <v>376273.9173</v>
      </c>
      <c r="T59" s="65"/>
      <c r="U59" s="56"/>
      <c r="V59" s="56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2"/>
      <c r="EE59" s="92"/>
      <c r="EF59" s="92"/>
      <c r="EG59" s="92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2"/>
      <c r="ES59" s="92"/>
      <c r="ET59" s="92"/>
      <c r="EU59" s="92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2"/>
      <c r="FG59" s="92"/>
      <c r="FH59" s="92"/>
      <c r="FI59" s="92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2"/>
      <c r="FU59" s="92"/>
      <c r="FV59" s="92"/>
      <c r="FW59" s="92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2"/>
      <c r="GI59" s="92"/>
      <c r="GJ59" s="92"/>
      <c r="GK59" s="92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2"/>
      <c r="GW59" s="92"/>
      <c r="GX59" s="92"/>
      <c r="GY59" s="92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2"/>
      <c r="HK59" s="92"/>
      <c r="HL59" s="92"/>
      <c r="HM59" s="92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2"/>
      <c r="HY59" s="92"/>
      <c r="HZ59" s="92"/>
      <c r="IA59" s="92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2"/>
      <c r="IM59" s="92"/>
      <c r="IN59" s="92"/>
      <c r="IO59" s="92"/>
      <c r="IP59" s="92"/>
      <c r="IQ59" s="92"/>
      <c r="IR59" s="92"/>
      <c r="IS59" s="92"/>
      <c r="IT59" s="92"/>
      <c r="IU59" s="92"/>
      <c r="IV59" s="92"/>
      <c r="IW59" s="92"/>
    </row>
    <row r="60" customFormat="false" ht="12.75" hidden="false" customHeight="false" outlineLevel="0" collapsed="false">
      <c r="A60" s="93"/>
      <c r="B60" s="90"/>
      <c r="C60" s="88"/>
      <c r="D60" s="94"/>
      <c r="E60" s="94"/>
      <c r="F60" s="93"/>
      <c r="G60" s="95"/>
      <c r="H60" s="90"/>
      <c r="I60" s="96"/>
      <c r="J60" s="87"/>
      <c r="K60" s="87"/>
      <c r="L60" s="87"/>
      <c r="M60" s="87"/>
      <c r="N60" s="97"/>
      <c r="O60" s="87"/>
      <c r="P60" s="98"/>
      <c r="Q60" s="90"/>
      <c r="R60" s="93" t="s">
        <v>176</v>
      </c>
      <c r="S60" s="54" t="n">
        <f aca="false">SUM(S47:S52)</f>
        <v>39858.932</v>
      </c>
      <c r="T60" s="65"/>
      <c r="U60" s="56"/>
      <c r="V60" s="56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2"/>
      <c r="EE60" s="92"/>
      <c r="EF60" s="92"/>
      <c r="EG60" s="92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2"/>
      <c r="ES60" s="92"/>
      <c r="ET60" s="92"/>
      <c r="EU60" s="92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2"/>
      <c r="FG60" s="92"/>
      <c r="FH60" s="92"/>
      <c r="FI60" s="92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2"/>
      <c r="GI60" s="92"/>
      <c r="GJ60" s="92"/>
      <c r="GK60" s="92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2"/>
      <c r="GW60" s="92"/>
      <c r="GX60" s="92"/>
      <c r="GY60" s="92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2"/>
      <c r="HK60" s="92"/>
      <c r="HL60" s="92"/>
      <c r="HM60" s="92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2"/>
      <c r="HY60" s="92"/>
      <c r="HZ60" s="92"/>
      <c r="IA60" s="92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2"/>
      <c r="IM60" s="92"/>
      <c r="IN60" s="92"/>
      <c r="IO60" s="92"/>
      <c r="IP60" s="92"/>
      <c r="IQ60" s="92"/>
      <c r="IR60" s="92"/>
      <c r="IS60" s="92"/>
      <c r="IT60" s="92"/>
      <c r="IU60" s="92"/>
      <c r="IV60" s="92"/>
      <c r="IW60" s="92"/>
    </row>
    <row r="61" customFormat="false" ht="13.5" hidden="false" customHeight="false" outlineLevel="0" collapsed="false">
      <c r="A61" s="93"/>
      <c r="B61" s="90"/>
      <c r="C61" s="88"/>
      <c r="D61" s="94"/>
      <c r="E61" s="94"/>
      <c r="F61" s="93"/>
      <c r="G61" s="95"/>
      <c r="H61" s="90"/>
      <c r="I61" s="96"/>
      <c r="J61" s="87"/>
      <c r="K61" s="87"/>
      <c r="L61" s="87"/>
      <c r="M61" s="87"/>
      <c r="N61" s="97"/>
      <c r="O61" s="87"/>
      <c r="P61" s="98"/>
      <c r="Q61" s="90"/>
      <c r="R61" s="93" t="s">
        <v>177</v>
      </c>
      <c r="S61" s="113" t="n">
        <f aca="false">+S59-S60</f>
        <v>336414.9853</v>
      </c>
      <c r="T61" s="65"/>
      <c r="U61" s="46"/>
      <c r="V61" s="46"/>
    </row>
    <row r="62" customFormat="false" ht="13.5" hidden="false" customHeight="false" outlineLevel="0" collapsed="false">
      <c r="A62" s="93"/>
      <c r="B62" s="90"/>
      <c r="C62" s="88"/>
      <c r="D62" s="94"/>
      <c r="E62" s="94"/>
      <c r="F62" s="93"/>
      <c r="G62" s="95"/>
      <c r="H62" s="90"/>
      <c r="I62" s="96"/>
      <c r="J62" s="87"/>
      <c r="K62" s="87"/>
      <c r="L62" s="87"/>
      <c r="M62" s="87"/>
      <c r="N62" s="97"/>
      <c r="O62" s="87"/>
      <c r="P62" s="98"/>
      <c r="Q62" s="90"/>
      <c r="R62" s="93"/>
      <c r="S62" s="54"/>
      <c r="T62" s="65"/>
      <c r="U62" s="46"/>
      <c r="V62" s="46"/>
    </row>
    <row r="63" customFormat="false" ht="12.75" hidden="false" customHeight="false" outlineLevel="0" collapsed="false">
      <c r="A63" s="128" t="s">
        <v>108</v>
      </c>
      <c r="B63" s="129" t="s">
        <v>109</v>
      </c>
      <c r="C63" s="129" t="s">
        <v>110</v>
      </c>
      <c r="D63" s="130" t="s">
        <v>111</v>
      </c>
      <c r="E63" s="130"/>
      <c r="F63" s="128" t="s">
        <v>112</v>
      </c>
      <c r="G63" s="128" t="s">
        <v>113</v>
      </c>
      <c r="H63" s="129" t="s">
        <v>114</v>
      </c>
      <c r="I63" s="131" t="s">
        <v>115</v>
      </c>
      <c r="J63" s="129" t="s">
        <v>116</v>
      </c>
      <c r="K63" s="129" t="s">
        <v>117</v>
      </c>
      <c r="L63" s="129" t="s">
        <v>118</v>
      </c>
      <c r="M63" s="129" t="s">
        <v>7</v>
      </c>
      <c r="N63" s="132" t="s">
        <v>119</v>
      </c>
      <c r="O63" s="129" t="s">
        <v>120</v>
      </c>
      <c r="P63" s="133" t="s">
        <v>121</v>
      </c>
      <c r="Q63" s="129" t="s">
        <v>122</v>
      </c>
      <c r="R63" s="128" t="s">
        <v>123</v>
      </c>
      <c r="S63" s="105" t="s">
        <v>203</v>
      </c>
      <c r="T63" s="107"/>
      <c r="U63" s="107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134"/>
      <c r="BS63" s="134"/>
      <c r="BT63" s="134"/>
      <c r="BU63" s="134"/>
      <c r="BV63" s="134"/>
      <c r="BW63" s="134"/>
      <c r="BX63" s="134"/>
      <c r="BY63" s="134"/>
      <c r="BZ63" s="134"/>
      <c r="CA63" s="134"/>
      <c r="CB63" s="134"/>
      <c r="CC63" s="134"/>
      <c r="CD63" s="134"/>
      <c r="CE63" s="134"/>
      <c r="CF63" s="134"/>
      <c r="CG63" s="134"/>
      <c r="CH63" s="134"/>
      <c r="CI63" s="134"/>
      <c r="CJ63" s="134"/>
      <c r="CK63" s="134"/>
      <c r="CL63" s="134"/>
      <c r="CM63" s="134"/>
      <c r="CN63" s="134"/>
      <c r="CO63" s="134"/>
      <c r="CP63" s="134"/>
      <c r="CQ63" s="134"/>
      <c r="CR63" s="134"/>
      <c r="CS63" s="134"/>
      <c r="CT63" s="134"/>
      <c r="CU63" s="134"/>
      <c r="CV63" s="134"/>
      <c r="CW63" s="134"/>
      <c r="CX63" s="134"/>
      <c r="CY63" s="134"/>
      <c r="CZ63" s="134"/>
      <c r="DA63" s="134"/>
      <c r="DB63" s="134"/>
      <c r="DC63" s="134"/>
      <c r="DD63" s="134"/>
      <c r="DE63" s="134"/>
      <c r="DF63" s="134"/>
      <c r="DG63" s="134"/>
      <c r="DH63" s="134"/>
      <c r="DI63" s="134"/>
      <c r="DJ63" s="134"/>
      <c r="DK63" s="134"/>
      <c r="DL63" s="134"/>
      <c r="DM63" s="134"/>
      <c r="DN63" s="134"/>
      <c r="DO63" s="134"/>
      <c r="DP63" s="134"/>
      <c r="DQ63" s="134"/>
      <c r="DR63" s="134"/>
      <c r="DS63" s="134"/>
      <c r="DT63" s="134"/>
      <c r="DU63" s="134"/>
      <c r="DV63" s="134"/>
      <c r="DW63" s="134"/>
      <c r="DX63" s="134"/>
      <c r="DY63" s="134"/>
      <c r="DZ63" s="134"/>
      <c r="EA63" s="134"/>
      <c r="EB63" s="134"/>
      <c r="EC63" s="134"/>
      <c r="ED63" s="134"/>
      <c r="EE63" s="134"/>
      <c r="EF63" s="134"/>
      <c r="EG63" s="134"/>
      <c r="EH63" s="134"/>
      <c r="EI63" s="134"/>
      <c r="EJ63" s="134"/>
      <c r="EK63" s="134"/>
      <c r="EL63" s="134"/>
      <c r="EM63" s="134"/>
      <c r="EN63" s="134"/>
      <c r="EO63" s="134"/>
      <c r="EP63" s="134"/>
      <c r="EQ63" s="134"/>
      <c r="ER63" s="134"/>
      <c r="ES63" s="134"/>
      <c r="ET63" s="134"/>
      <c r="EU63" s="134"/>
      <c r="EV63" s="134"/>
      <c r="EW63" s="134"/>
      <c r="EX63" s="134"/>
      <c r="EY63" s="134"/>
      <c r="EZ63" s="134"/>
      <c r="FA63" s="134"/>
      <c r="FB63" s="134"/>
      <c r="FC63" s="134"/>
      <c r="FD63" s="134"/>
      <c r="FE63" s="134"/>
      <c r="FF63" s="134"/>
      <c r="FG63" s="134"/>
      <c r="FH63" s="134"/>
      <c r="FI63" s="134"/>
      <c r="FJ63" s="134"/>
      <c r="FK63" s="134"/>
      <c r="FL63" s="134"/>
      <c r="FM63" s="134"/>
      <c r="FN63" s="134"/>
      <c r="FO63" s="134"/>
      <c r="FP63" s="134"/>
      <c r="FQ63" s="134"/>
      <c r="FR63" s="134"/>
      <c r="FS63" s="134"/>
      <c r="FT63" s="134"/>
      <c r="FU63" s="134"/>
      <c r="FV63" s="134"/>
      <c r="FW63" s="134"/>
      <c r="FX63" s="134"/>
      <c r="FY63" s="134"/>
      <c r="FZ63" s="134"/>
      <c r="GA63" s="134"/>
      <c r="GB63" s="134"/>
      <c r="GC63" s="134"/>
      <c r="GD63" s="134"/>
      <c r="GE63" s="134"/>
      <c r="GF63" s="134"/>
      <c r="GG63" s="134"/>
      <c r="GH63" s="134"/>
      <c r="GI63" s="134"/>
      <c r="GJ63" s="134"/>
      <c r="GK63" s="134"/>
      <c r="GL63" s="134"/>
      <c r="GM63" s="134"/>
      <c r="GN63" s="134"/>
      <c r="GO63" s="134"/>
      <c r="GP63" s="134"/>
      <c r="GQ63" s="134"/>
      <c r="GR63" s="134"/>
      <c r="GS63" s="134"/>
      <c r="GT63" s="134"/>
      <c r="GU63" s="134"/>
      <c r="GV63" s="134"/>
      <c r="GW63" s="134"/>
      <c r="GX63" s="134"/>
      <c r="GY63" s="134"/>
      <c r="GZ63" s="134"/>
      <c r="HA63" s="134"/>
      <c r="HB63" s="134"/>
      <c r="HC63" s="134"/>
      <c r="HD63" s="134"/>
      <c r="HE63" s="134"/>
      <c r="HF63" s="134"/>
      <c r="HG63" s="134"/>
      <c r="HH63" s="134"/>
      <c r="HI63" s="134"/>
      <c r="HJ63" s="134"/>
      <c r="HK63" s="134"/>
      <c r="HL63" s="134"/>
      <c r="HM63" s="134"/>
      <c r="HN63" s="134"/>
      <c r="HO63" s="134"/>
      <c r="HP63" s="134"/>
      <c r="HQ63" s="134"/>
      <c r="HR63" s="134"/>
      <c r="HS63" s="134"/>
      <c r="HT63" s="134"/>
      <c r="HU63" s="134"/>
      <c r="HV63" s="134"/>
      <c r="HW63" s="134"/>
      <c r="HX63" s="134"/>
      <c r="HY63" s="134"/>
      <c r="HZ63" s="134"/>
      <c r="IA63" s="134"/>
      <c r="IB63" s="134"/>
      <c r="IC63" s="134"/>
      <c r="ID63" s="134"/>
      <c r="IE63" s="134"/>
      <c r="IF63" s="134"/>
      <c r="IG63" s="134"/>
      <c r="IH63" s="134"/>
      <c r="II63" s="134"/>
      <c r="IJ63" s="134"/>
      <c r="IK63" s="134"/>
      <c r="IL63" s="134"/>
      <c r="IM63" s="134"/>
      <c r="IN63" s="134"/>
      <c r="IO63" s="134"/>
      <c r="IP63" s="134"/>
      <c r="IQ63" s="134"/>
      <c r="IR63" s="134"/>
      <c r="IS63" s="134"/>
      <c r="IT63" s="134"/>
      <c r="IU63" s="134"/>
      <c r="IV63" s="134"/>
      <c r="IW63" s="134"/>
    </row>
    <row r="64" customFormat="false" ht="12.75" hidden="false" customHeight="false" outlineLevel="0" collapsed="false">
      <c r="A64" s="37" t="s">
        <v>194</v>
      </c>
      <c r="B64" s="37" t="s">
        <v>204</v>
      </c>
      <c r="C64" s="38" t="s">
        <v>205</v>
      </c>
      <c r="D64" s="39" t="n">
        <v>36251</v>
      </c>
      <c r="E64" s="39" t="n">
        <v>37346</v>
      </c>
      <c r="F64" s="37" t="s">
        <v>206</v>
      </c>
      <c r="G64" s="37" t="s">
        <v>207</v>
      </c>
      <c r="H64" s="38" t="s">
        <v>9</v>
      </c>
      <c r="I64" s="41" t="n">
        <f aca="false">6.38/I$1</f>
        <v>0.205806451612903</v>
      </c>
      <c r="J64" s="41" t="n">
        <v>0.003</v>
      </c>
      <c r="K64" s="41" t="n">
        <v>0.0022</v>
      </c>
      <c r="L64" s="41" t="n">
        <v>0</v>
      </c>
      <c r="M64" s="41" t="n">
        <v>0</v>
      </c>
      <c r="N64" s="135" t="n">
        <v>0</v>
      </c>
      <c r="O64" s="41" t="n">
        <f aca="false">SUM(I64:M64)</f>
        <v>0.211006451612903</v>
      </c>
      <c r="P64" s="43" t="n">
        <v>28223</v>
      </c>
      <c r="Q64" s="38" t="n">
        <v>29750</v>
      </c>
      <c r="R64" s="37" t="s">
        <v>208</v>
      </c>
      <c r="S64" s="136" t="n">
        <f aca="false">I64*I$1*Q64</f>
        <v>189805</v>
      </c>
      <c r="T64" s="46" t="s">
        <v>209</v>
      </c>
      <c r="U64" s="46"/>
      <c r="V64" s="46" t="s">
        <v>201</v>
      </c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</row>
    <row r="65" customFormat="false" ht="12.75" hidden="false" customHeight="false" outlineLevel="0" collapsed="false">
      <c r="A65" s="37" t="s">
        <v>108</v>
      </c>
      <c r="B65" s="37" t="s">
        <v>204</v>
      </c>
      <c r="C65" s="38" t="s">
        <v>210</v>
      </c>
      <c r="D65" s="39" t="n">
        <v>36923</v>
      </c>
      <c r="E65" s="39" t="n">
        <v>37802</v>
      </c>
      <c r="F65" s="37"/>
      <c r="G65" s="37"/>
      <c r="H65" s="38" t="s">
        <v>9</v>
      </c>
      <c r="I65" s="41" t="n">
        <f aca="false">1.3566/I1</f>
        <v>0.0437612903225806</v>
      </c>
      <c r="J65" s="41" t="n">
        <v>0.003</v>
      </c>
      <c r="K65" s="41" t="n">
        <v>0.0022</v>
      </c>
      <c r="L65" s="41" t="n">
        <v>0</v>
      </c>
      <c r="M65" s="41" t="n">
        <v>0</v>
      </c>
      <c r="N65" s="135" t="n">
        <v>0</v>
      </c>
      <c r="O65" s="41" t="n">
        <f aca="false">SUM(I65:M65)</f>
        <v>0.0489612903225807</v>
      </c>
      <c r="P65" s="43" t="n">
        <v>28754</v>
      </c>
      <c r="Q65" s="38" t="n">
        <v>15000</v>
      </c>
      <c r="R65" s="37" t="s">
        <v>211</v>
      </c>
      <c r="S65" s="136" t="n">
        <f aca="false">I65*I$1*Q65</f>
        <v>20349</v>
      </c>
      <c r="T65" s="46" t="n">
        <v>592256</v>
      </c>
      <c r="U65" s="46"/>
      <c r="V65" s="46" t="s">
        <v>201</v>
      </c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</row>
    <row r="66" customFormat="false" ht="12.75" hidden="false" customHeight="false" outlineLevel="0" collapsed="false">
      <c r="A66" s="37"/>
      <c r="B66" s="38"/>
      <c r="C66" s="38"/>
      <c r="D66" s="39"/>
      <c r="E66" s="39"/>
      <c r="F66" s="37"/>
      <c r="G66" s="37"/>
      <c r="H66" s="38"/>
      <c r="I66" s="40"/>
      <c r="J66" s="41"/>
      <c r="K66" s="87"/>
      <c r="L66" s="41"/>
      <c r="M66" s="41"/>
      <c r="N66" s="135"/>
      <c r="O66" s="41"/>
      <c r="P66" s="43"/>
      <c r="Q66" s="38"/>
      <c r="R66" s="38"/>
      <c r="S66" s="137"/>
      <c r="T66" s="46"/>
      <c r="U66" s="46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</row>
    <row r="67" customFormat="false" ht="12.75" hidden="false" customHeight="false" outlineLevel="0" collapsed="false">
      <c r="A67" s="37"/>
      <c r="B67" s="38"/>
      <c r="C67" s="38"/>
      <c r="D67" s="39"/>
      <c r="E67" s="39"/>
      <c r="F67" s="37"/>
      <c r="G67" s="37"/>
      <c r="H67" s="38"/>
      <c r="I67" s="40"/>
      <c r="J67" s="41"/>
      <c r="K67" s="41"/>
      <c r="L67" s="41"/>
      <c r="M67" s="41"/>
      <c r="N67" s="42"/>
      <c r="O67" s="41"/>
      <c r="P67" s="43"/>
      <c r="Q67" s="88" t="n">
        <f aca="false">SUM(Q64:Q66)</f>
        <v>44750</v>
      </c>
      <c r="R67" s="93" t="s">
        <v>175</v>
      </c>
      <c r="S67" s="54" t="n">
        <f aca="false">SUM(S64:S66)</f>
        <v>210154</v>
      </c>
      <c r="T67" s="45"/>
      <c r="U67" s="46"/>
      <c r="V67" s="46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</row>
    <row r="68" customFormat="false" ht="12.75" hidden="false" customHeight="false" outlineLevel="0" collapsed="false">
      <c r="A68" s="37"/>
      <c r="B68" s="38"/>
      <c r="C68" s="38"/>
      <c r="D68" s="39"/>
      <c r="E68" s="39"/>
      <c r="F68" s="37"/>
      <c r="G68" s="37"/>
      <c r="H68" s="38"/>
      <c r="I68" s="40"/>
      <c r="J68" s="41"/>
      <c r="K68" s="41"/>
      <c r="L68" s="41"/>
      <c r="M68" s="41"/>
      <c r="N68" s="42"/>
      <c r="O68" s="41"/>
      <c r="P68" s="43"/>
      <c r="Q68" s="90"/>
      <c r="R68" s="93" t="s">
        <v>176</v>
      </c>
      <c r="S68" s="54" t="n">
        <f aca="false">+S64</f>
        <v>189805</v>
      </c>
      <c r="T68" s="45"/>
      <c r="U68" s="46"/>
      <c r="V68" s="46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</row>
    <row r="69" customFormat="false" ht="13.5" hidden="false" customHeight="false" outlineLevel="0" collapsed="false">
      <c r="A69" s="37"/>
      <c r="B69" s="38"/>
      <c r="C69" s="38"/>
      <c r="D69" s="39"/>
      <c r="E69" s="39"/>
      <c r="F69" s="37"/>
      <c r="G69" s="37"/>
      <c r="H69" s="38"/>
      <c r="I69" s="40"/>
      <c r="J69" s="41"/>
      <c r="K69" s="41"/>
      <c r="L69" s="41"/>
      <c r="M69" s="41"/>
      <c r="N69" s="42"/>
      <c r="O69" s="41"/>
      <c r="P69" s="43"/>
      <c r="Q69" s="90"/>
      <c r="R69" s="93" t="s">
        <v>177</v>
      </c>
      <c r="S69" s="113" t="n">
        <f aca="false">+S67-S68</f>
        <v>20349</v>
      </c>
      <c r="T69" s="45"/>
      <c r="U69" s="46"/>
      <c r="V69" s="46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</row>
    <row r="70" customFormat="false" ht="13.5" hidden="false" customHeight="false" outlineLevel="0" collapsed="false">
      <c r="A70" s="75"/>
      <c r="B70" s="77"/>
      <c r="C70" s="77"/>
      <c r="D70" s="78"/>
      <c r="E70" s="78"/>
      <c r="F70" s="75"/>
      <c r="G70" s="75"/>
      <c r="H70" s="77"/>
      <c r="I70" s="80"/>
      <c r="J70" s="81"/>
      <c r="K70" s="81"/>
      <c r="L70" s="81"/>
      <c r="M70" s="81"/>
      <c r="N70" s="82"/>
      <c r="O70" s="81"/>
      <c r="P70" s="138"/>
      <c r="Q70" s="77"/>
      <c r="R70" s="75"/>
      <c r="S70" s="86"/>
      <c r="T70" s="139"/>
      <c r="U70" s="140"/>
      <c r="V70" s="140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  <c r="IW70" s="141"/>
    </row>
    <row r="71" customFormat="false" ht="12.75" hidden="false" customHeight="false" outlineLevel="0" collapsed="false">
      <c r="A71" s="67" t="s">
        <v>108</v>
      </c>
      <c r="B71" s="68" t="s">
        <v>109</v>
      </c>
      <c r="C71" s="68" t="s">
        <v>110</v>
      </c>
      <c r="D71" s="69" t="s">
        <v>111</v>
      </c>
      <c r="E71" s="69"/>
      <c r="F71" s="67" t="s">
        <v>112</v>
      </c>
      <c r="G71" s="67" t="s">
        <v>113</v>
      </c>
      <c r="H71" s="68" t="s">
        <v>212</v>
      </c>
      <c r="I71" s="70" t="s">
        <v>115</v>
      </c>
      <c r="J71" s="68" t="s">
        <v>116</v>
      </c>
      <c r="K71" s="68" t="s">
        <v>117</v>
      </c>
      <c r="L71" s="68" t="s">
        <v>118</v>
      </c>
      <c r="M71" s="68" t="s">
        <v>7</v>
      </c>
      <c r="N71" s="71" t="s">
        <v>119</v>
      </c>
      <c r="O71" s="68" t="s">
        <v>120</v>
      </c>
      <c r="P71" s="142" t="s">
        <v>147</v>
      </c>
      <c r="Q71" s="68" t="s">
        <v>122</v>
      </c>
      <c r="R71" s="67" t="s">
        <v>123</v>
      </c>
      <c r="S71" s="143" t="s">
        <v>124</v>
      </c>
      <c r="T71" s="73" t="s">
        <v>125</v>
      </c>
      <c r="U71" s="74" t="s">
        <v>148</v>
      </c>
      <c r="V71" s="46"/>
      <c r="W71" s="46"/>
    </row>
    <row r="72" customFormat="false" ht="12.75" hidden="false" customHeight="false" outlineLevel="0" collapsed="false">
      <c r="A72" s="37" t="s">
        <v>213</v>
      </c>
      <c r="B72" s="38" t="s">
        <v>214</v>
      </c>
      <c r="C72" s="38" t="s">
        <v>214</v>
      </c>
      <c r="D72" s="39" t="n">
        <v>36100</v>
      </c>
      <c r="E72" s="39" t="n">
        <v>39022</v>
      </c>
      <c r="F72" s="37" t="n">
        <v>1</v>
      </c>
      <c r="G72" s="37" t="n">
        <v>2</v>
      </c>
      <c r="H72" s="38" t="s">
        <v>153</v>
      </c>
      <c r="I72" s="40" t="n">
        <f aca="false">(14.1123+0.2)/I$1</f>
        <v>0.461687096774194</v>
      </c>
      <c r="J72" s="41" t="n">
        <v>0.0054</v>
      </c>
      <c r="K72" s="41" t="n">
        <v>0.0022</v>
      </c>
      <c r="L72" s="41" t="n">
        <v>0.0075</v>
      </c>
      <c r="M72" s="41" t="n">
        <v>0.0012</v>
      </c>
      <c r="N72" s="135" t="n">
        <v>0.007</v>
      </c>
      <c r="O72" s="41" t="n">
        <f aca="false">SUM(I72:M72)</f>
        <v>0.477987096774194</v>
      </c>
      <c r="P72" s="43" t="s">
        <v>215</v>
      </c>
      <c r="Q72" s="38" t="n">
        <v>2017</v>
      </c>
      <c r="R72" s="37" t="s">
        <v>216</v>
      </c>
      <c r="S72" s="110" t="n">
        <f aca="false">I72*I$1*Q72</f>
        <v>28867.9091</v>
      </c>
      <c r="T72" s="44"/>
      <c r="U72" s="46" t="n">
        <v>77758</v>
      </c>
      <c r="V72" s="23" t="s">
        <v>155</v>
      </c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12.75" hidden="false" customHeight="false" outlineLevel="0" collapsed="false">
      <c r="A73" s="37" t="s">
        <v>213</v>
      </c>
      <c r="B73" s="38" t="s">
        <v>214</v>
      </c>
      <c r="C73" s="38" t="s">
        <v>217</v>
      </c>
      <c r="D73" s="39" t="n">
        <v>36100</v>
      </c>
      <c r="E73" s="39" t="n">
        <v>39539</v>
      </c>
      <c r="F73" s="37" t="s">
        <v>218</v>
      </c>
      <c r="G73" s="37" t="s">
        <v>219</v>
      </c>
      <c r="H73" s="38" t="s">
        <v>9</v>
      </c>
      <c r="I73" s="40" t="n">
        <f aca="false">(8.5058)/I$1</f>
        <v>0.27438064516129</v>
      </c>
      <c r="J73" s="41" t="n">
        <v>0.003</v>
      </c>
      <c r="K73" s="41" t="n">
        <v>0.0022</v>
      </c>
      <c r="L73" s="41" t="n">
        <v>0</v>
      </c>
      <c r="M73" s="41" t="n">
        <v>0.0007</v>
      </c>
      <c r="N73" s="135" t="n">
        <v>0</v>
      </c>
      <c r="O73" s="41" t="n">
        <f aca="false">SUM(I73:M73)</f>
        <v>0.28028064516129</v>
      </c>
      <c r="P73" s="43" t="s">
        <v>220</v>
      </c>
      <c r="Q73" s="38" t="n">
        <v>35465</v>
      </c>
      <c r="R73" s="37" t="s">
        <v>221</v>
      </c>
      <c r="S73" s="110" t="n">
        <f aca="false">I73*I$1*Q73</f>
        <v>301658.197</v>
      </c>
      <c r="T73" s="44"/>
      <c r="U73" s="46" t="n">
        <v>77729</v>
      </c>
      <c r="V73" s="23" t="s">
        <v>222</v>
      </c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</row>
    <row r="74" customFormat="false" ht="12.75" hidden="false" customHeight="false" outlineLevel="0" collapsed="false">
      <c r="A74" s="37"/>
      <c r="B74" s="38"/>
      <c r="C74" s="38"/>
      <c r="D74" s="39"/>
      <c r="E74" s="39"/>
      <c r="F74" s="37"/>
      <c r="G74" s="37"/>
      <c r="H74" s="38"/>
      <c r="I74" s="40"/>
      <c r="J74" s="41"/>
      <c r="K74" s="41"/>
      <c r="L74" s="41"/>
      <c r="M74" s="41"/>
      <c r="N74" s="135"/>
      <c r="O74" s="41"/>
      <c r="P74" s="43"/>
      <c r="Q74" s="38"/>
      <c r="R74" s="37"/>
      <c r="S74" s="110"/>
      <c r="T74" s="44"/>
      <c r="U74" s="46"/>
      <c r="V74" s="46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</row>
    <row r="75" customFormat="false" ht="12.75" hidden="false" customHeight="false" outlineLevel="0" collapsed="false">
      <c r="A75" s="37"/>
      <c r="B75" s="38"/>
      <c r="C75" s="38"/>
      <c r="D75" s="39"/>
      <c r="E75" s="39"/>
      <c r="F75" s="37"/>
      <c r="G75" s="37"/>
      <c r="H75" s="38"/>
      <c r="I75" s="40"/>
      <c r="J75" s="41"/>
      <c r="K75" s="41"/>
      <c r="L75" s="41"/>
      <c r="M75" s="41"/>
      <c r="N75" s="42"/>
      <c r="O75" s="41"/>
      <c r="P75" s="43"/>
      <c r="Q75" s="88" t="n">
        <f aca="false">SUM(Q72:Q74)</f>
        <v>37482</v>
      </c>
      <c r="R75" s="93" t="s">
        <v>175</v>
      </c>
      <c r="S75" s="144" t="n">
        <f aca="false">SUM(S72:S74)</f>
        <v>330526.1061</v>
      </c>
      <c r="T75" s="44"/>
      <c r="U75" s="45"/>
      <c r="V75" s="46"/>
      <c r="W75" s="46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</row>
    <row r="76" customFormat="false" ht="12.75" hidden="false" customHeight="false" outlineLevel="0" collapsed="false">
      <c r="A76" s="37"/>
      <c r="B76" s="38"/>
      <c r="C76" s="38"/>
      <c r="D76" s="39"/>
      <c r="E76" s="39"/>
      <c r="F76" s="37"/>
      <c r="G76" s="37"/>
      <c r="H76" s="38"/>
      <c r="I76" s="40"/>
      <c r="J76" s="41"/>
      <c r="K76" s="41"/>
      <c r="L76" s="41"/>
      <c r="M76" s="41"/>
      <c r="N76" s="42"/>
      <c r="O76" s="41"/>
      <c r="P76" s="43"/>
      <c r="Q76" s="90"/>
      <c r="R76" s="93" t="s">
        <v>176</v>
      </c>
      <c r="S76" s="144" t="n">
        <f aca="false">SUM(S73)</f>
        <v>301658.197</v>
      </c>
      <c r="T76" s="44"/>
      <c r="U76" s="45"/>
      <c r="V76" s="46"/>
      <c r="W76" s="46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</row>
    <row r="77" customFormat="false" ht="13.5" hidden="false" customHeight="false" outlineLevel="0" collapsed="false">
      <c r="A77" s="37"/>
      <c r="B77" s="38"/>
      <c r="C77" s="38"/>
      <c r="D77" s="39"/>
      <c r="E77" s="39"/>
      <c r="F77" s="37"/>
      <c r="G77" s="37"/>
      <c r="H77" s="38"/>
      <c r="I77" s="40"/>
      <c r="J77" s="41"/>
      <c r="K77" s="41"/>
      <c r="L77" s="41"/>
      <c r="M77" s="41"/>
      <c r="N77" s="42"/>
      <c r="O77" s="41"/>
      <c r="P77" s="43"/>
      <c r="Q77" s="90"/>
      <c r="R77" s="93" t="s">
        <v>177</v>
      </c>
      <c r="S77" s="145" t="n">
        <f aca="false">+S75-S76</f>
        <v>28867.9091</v>
      </c>
      <c r="T77" s="44"/>
      <c r="U77" s="45"/>
      <c r="V77" s="46"/>
      <c r="W77" s="46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</row>
    <row r="78" customFormat="false" ht="13.5" hidden="false" customHeight="false" outlineLevel="0" collapsed="false">
      <c r="A78" s="37"/>
      <c r="B78" s="38"/>
      <c r="C78" s="38"/>
      <c r="D78" s="39"/>
      <c r="E78" s="39"/>
      <c r="F78" s="37"/>
      <c r="G78" s="37"/>
      <c r="H78" s="38"/>
      <c r="I78" s="40"/>
      <c r="J78" s="41"/>
      <c r="K78" s="41"/>
      <c r="L78" s="41"/>
      <c r="M78" s="41"/>
      <c r="N78" s="42"/>
      <c r="O78" s="41"/>
      <c r="P78" s="43"/>
      <c r="Q78" s="38"/>
      <c r="R78" s="37"/>
      <c r="S78" s="44"/>
      <c r="T78" s="44"/>
      <c r="U78" s="45"/>
      <c r="V78" s="46"/>
      <c r="W78" s="46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</row>
    <row r="79" customFormat="false" ht="12.75" hidden="false" customHeight="false" outlineLevel="0" collapsed="false">
      <c r="A79" s="75"/>
      <c r="B79" s="77"/>
      <c r="C79" s="77"/>
      <c r="D79" s="78"/>
      <c r="E79" s="78"/>
      <c r="F79" s="75"/>
      <c r="G79" s="75"/>
      <c r="H79" s="77"/>
      <c r="I79" s="80"/>
      <c r="J79" s="81"/>
      <c r="K79" s="81"/>
      <c r="L79" s="81"/>
      <c r="M79" s="81"/>
      <c r="N79" s="82"/>
      <c r="O79" s="81"/>
      <c r="P79" s="138"/>
      <c r="Q79" s="77"/>
      <c r="R79" s="75"/>
      <c r="S79" s="86"/>
      <c r="T79" s="139"/>
      <c r="U79" s="140"/>
      <c r="V79" s="140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  <c r="HA79" s="141"/>
      <c r="HB79" s="141"/>
      <c r="HC79" s="141"/>
      <c r="HD79" s="141"/>
      <c r="HE79" s="141"/>
      <c r="HF79" s="141"/>
      <c r="HG79" s="141"/>
      <c r="HH79" s="141"/>
      <c r="HI79" s="141"/>
      <c r="HJ79" s="141"/>
      <c r="HK79" s="141"/>
      <c r="HL79" s="141"/>
      <c r="HM79" s="141"/>
      <c r="HN79" s="141"/>
      <c r="HO79" s="141"/>
      <c r="HP79" s="141"/>
      <c r="HQ79" s="141"/>
      <c r="HR79" s="141"/>
      <c r="HS79" s="141"/>
      <c r="HT79" s="141"/>
      <c r="HU79" s="141"/>
      <c r="HV79" s="141"/>
      <c r="HW79" s="141"/>
      <c r="HX79" s="141"/>
      <c r="HY79" s="141"/>
      <c r="HZ79" s="141"/>
      <c r="IA79" s="141"/>
      <c r="IB79" s="141"/>
      <c r="IC79" s="141"/>
      <c r="ID79" s="141"/>
      <c r="IE79" s="141"/>
      <c r="IF79" s="141"/>
      <c r="IG79" s="141"/>
      <c r="IH79" s="141"/>
      <c r="II79" s="141"/>
      <c r="IJ79" s="141"/>
      <c r="IK79" s="141"/>
      <c r="IL79" s="141"/>
      <c r="IM79" s="141"/>
      <c r="IN79" s="141"/>
      <c r="IO79" s="141"/>
      <c r="IP79" s="141"/>
      <c r="IQ79" s="141"/>
      <c r="IR79" s="141"/>
      <c r="IS79" s="141"/>
      <c r="IT79" s="141"/>
      <c r="IU79" s="141"/>
      <c r="IV79" s="141"/>
      <c r="IW79" s="141"/>
    </row>
    <row r="80" customFormat="false" ht="12.75" hidden="false" customHeight="false" outlineLevel="0" collapsed="false">
      <c r="A80" s="37"/>
      <c r="B80" s="38"/>
      <c r="C80" s="38"/>
      <c r="D80" s="39"/>
      <c r="E80" s="39"/>
      <c r="F80" s="37"/>
      <c r="G80" s="37"/>
      <c r="H80" s="38"/>
      <c r="I80" s="40"/>
      <c r="J80" s="41"/>
      <c r="K80" s="41"/>
      <c r="L80" s="41"/>
      <c r="M80" s="41"/>
      <c r="N80" s="42"/>
      <c r="O80" s="41"/>
      <c r="P80" s="43"/>
      <c r="Q80" s="38"/>
      <c r="R80" s="37"/>
      <c r="S80" s="44"/>
      <c r="T80" s="45"/>
      <c r="U80" s="46"/>
      <c r="V80" s="46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</row>
    <row r="81" customFormat="false" ht="12.75" hidden="false" customHeight="false" outlineLevel="0" collapsed="false">
      <c r="A81" s="128" t="s">
        <v>108</v>
      </c>
      <c r="B81" s="129" t="s">
        <v>109</v>
      </c>
      <c r="C81" s="129" t="s">
        <v>110</v>
      </c>
      <c r="D81" s="130" t="s">
        <v>111</v>
      </c>
      <c r="E81" s="130"/>
      <c r="F81" s="128" t="s">
        <v>112</v>
      </c>
      <c r="G81" s="128" t="s">
        <v>113</v>
      </c>
      <c r="H81" s="129" t="s">
        <v>114</v>
      </c>
      <c r="I81" s="131" t="s">
        <v>115</v>
      </c>
      <c r="J81" s="129" t="s">
        <v>116</v>
      </c>
      <c r="K81" s="129" t="s">
        <v>117</v>
      </c>
      <c r="L81" s="129" t="s">
        <v>118</v>
      </c>
      <c r="M81" s="129" t="s">
        <v>7</v>
      </c>
      <c r="N81" s="132" t="s">
        <v>119</v>
      </c>
      <c r="O81" s="129" t="s">
        <v>120</v>
      </c>
      <c r="P81" s="133" t="s">
        <v>121</v>
      </c>
      <c r="Q81" s="129" t="s">
        <v>122</v>
      </c>
      <c r="R81" s="128" t="s">
        <v>123</v>
      </c>
      <c r="S81" s="105" t="s">
        <v>203</v>
      </c>
      <c r="T81" s="105" t="s">
        <v>223</v>
      </c>
      <c r="U81" s="107"/>
      <c r="V81" s="107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4"/>
      <c r="CC81" s="134"/>
      <c r="CD81" s="134"/>
      <c r="CE81" s="134"/>
      <c r="CF81" s="134"/>
      <c r="CG81" s="134"/>
      <c r="CH81" s="134"/>
      <c r="CI81" s="134"/>
      <c r="CJ81" s="134"/>
      <c r="CK81" s="134"/>
      <c r="CL81" s="134"/>
      <c r="CM81" s="134"/>
      <c r="CN81" s="134"/>
      <c r="CO81" s="134"/>
      <c r="CP81" s="134"/>
      <c r="CQ81" s="134"/>
      <c r="CR81" s="134"/>
      <c r="CS81" s="134"/>
      <c r="CT81" s="134"/>
      <c r="CU81" s="134"/>
      <c r="CV81" s="134"/>
      <c r="CW81" s="134"/>
      <c r="CX81" s="134"/>
      <c r="CY81" s="134"/>
      <c r="CZ81" s="134"/>
      <c r="DA81" s="134"/>
      <c r="DB81" s="134"/>
      <c r="DC81" s="134"/>
      <c r="DD81" s="134"/>
      <c r="DE81" s="134"/>
      <c r="DF81" s="134"/>
      <c r="DG81" s="134"/>
      <c r="DH81" s="134"/>
      <c r="DI81" s="134"/>
      <c r="DJ81" s="134"/>
      <c r="DK81" s="134"/>
      <c r="DL81" s="134"/>
      <c r="DM81" s="134"/>
      <c r="DN81" s="134"/>
      <c r="DO81" s="134"/>
      <c r="DP81" s="134"/>
      <c r="DQ81" s="134"/>
      <c r="DR81" s="134"/>
      <c r="DS81" s="134"/>
      <c r="DT81" s="134"/>
      <c r="DU81" s="134"/>
      <c r="DV81" s="134"/>
      <c r="DW81" s="134"/>
      <c r="DX81" s="134"/>
      <c r="DY81" s="134"/>
      <c r="DZ81" s="134"/>
      <c r="EA81" s="134"/>
      <c r="EB81" s="134"/>
      <c r="EC81" s="134"/>
      <c r="ED81" s="134"/>
      <c r="EE81" s="134"/>
      <c r="EF81" s="134"/>
      <c r="EG81" s="134"/>
      <c r="EH81" s="134"/>
      <c r="EI81" s="134"/>
      <c r="EJ81" s="134"/>
      <c r="EK81" s="134"/>
      <c r="EL81" s="134"/>
      <c r="EM81" s="134"/>
      <c r="EN81" s="134"/>
      <c r="EO81" s="134"/>
      <c r="EP81" s="134"/>
      <c r="EQ81" s="134"/>
      <c r="ER81" s="134"/>
      <c r="ES81" s="134"/>
      <c r="ET81" s="134"/>
      <c r="EU81" s="134"/>
      <c r="EV81" s="134"/>
      <c r="EW81" s="134"/>
      <c r="EX81" s="134"/>
      <c r="EY81" s="134"/>
      <c r="EZ81" s="134"/>
      <c r="FA81" s="134"/>
      <c r="FB81" s="134"/>
      <c r="FC81" s="134"/>
      <c r="FD81" s="134"/>
      <c r="FE81" s="134"/>
      <c r="FF81" s="134"/>
      <c r="FG81" s="134"/>
      <c r="FH81" s="134"/>
      <c r="FI81" s="134"/>
      <c r="FJ81" s="134"/>
      <c r="FK81" s="134"/>
      <c r="FL81" s="134"/>
      <c r="FM81" s="134"/>
      <c r="FN81" s="134"/>
      <c r="FO81" s="134"/>
      <c r="FP81" s="134"/>
      <c r="FQ81" s="134"/>
      <c r="FR81" s="134"/>
      <c r="FS81" s="134"/>
      <c r="FT81" s="134"/>
      <c r="FU81" s="134"/>
      <c r="FV81" s="134"/>
      <c r="FW81" s="134"/>
      <c r="FX81" s="134"/>
      <c r="FY81" s="134"/>
      <c r="FZ81" s="134"/>
      <c r="GA81" s="134"/>
      <c r="GB81" s="134"/>
      <c r="GC81" s="134"/>
      <c r="GD81" s="134"/>
      <c r="GE81" s="134"/>
      <c r="GF81" s="134"/>
      <c r="GG81" s="134"/>
      <c r="GH81" s="134"/>
      <c r="GI81" s="134"/>
      <c r="GJ81" s="134"/>
      <c r="GK81" s="134"/>
      <c r="GL81" s="134"/>
      <c r="GM81" s="134"/>
      <c r="GN81" s="134"/>
      <c r="GO81" s="134"/>
      <c r="GP81" s="134"/>
      <c r="GQ81" s="134"/>
      <c r="GR81" s="134"/>
      <c r="GS81" s="134"/>
      <c r="GT81" s="134"/>
      <c r="GU81" s="134"/>
      <c r="GV81" s="134"/>
      <c r="GW81" s="134"/>
      <c r="GX81" s="134"/>
      <c r="GY81" s="134"/>
      <c r="GZ81" s="134"/>
      <c r="HA81" s="134"/>
      <c r="HB81" s="134"/>
      <c r="HC81" s="134"/>
      <c r="HD81" s="134"/>
      <c r="HE81" s="134"/>
      <c r="HF81" s="134"/>
      <c r="HG81" s="134"/>
      <c r="HH81" s="134"/>
      <c r="HI81" s="134"/>
      <c r="HJ81" s="134"/>
      <c r="HK81" s="134"/>
      <c r="HL81" s="134"/>
      <c r="HM81" s="134"/>
      <c r="HN81" s="134"/>
      <c r="HO81" s="134"/>
      <c r="HP81" s="134"/>
      <c r="HQ81" s="134"/>
      <c r="HR81" s="134"/>
      <c r="HS81" s="134"/>
      <c r="HT81" s="134"/>
      <c r="HU81" s="134"/>
      <c r="HV81" s="134"/>
      <c r="HW81" s="134"/>
      <c r="HX81" s="134"/>
      <c r="HY81" s="134"/>
      <c r="HZ81" s="134"/>
      <c r="IA81" s="134"/>
      <c r="IB81" s="134"/>
      <c r="IC81" s="134"/>
      <c r="ID81" s="134"/>
      <c r="IE81" s="134"/>
      <c r="IF81" s="134"/>
      <c r="IG81" s="134"/>
      <c r="IH81" s="134"/>
      <c r="II81" s="134"/>
      <c r="IJ81" s="134"/>
      <c r="IK81" s="134"/>
      <c r="IL81" s="134"/>
      <c r="IM81" s="134"/>
      <c r="IN81" s="134"/>
      <c r="IO81" s="134"/>
      <c r="IP81" s="134"/>
      <c r="IQ81" s="134"/>
      <c r="IR81" s="134"/>
      <c r="IS81" s="134"/>
      <c r="IT81" s="134"/>
      <c r="IU81" s="134"/>
      <c r="IV81" s="134"/>
      <c r="IW81" s="134"/>
    </row>
    <row r="82" customFormat="false" ht="12.75" hidden="false" customHeight="false" outlineLevel="0" collapsed="false">
      <c r="A82" s="37" t="s">
        <v>213</v>
      </c>
      <c r="B82" s="38" t="s">
        <v>224</v>
      </c>
      <c r="C82" s="38" t="s">
        <v>225</v>
      </c>
      <c r="D82" s="39" t="n">
        <v>36100</v>
      </c>
      <c r="E82" s="39" t="n">
        <v>39387</v>
      </c>
      <c r="F82" s="37" t="s">
        <v>226</v>
      </c>
      <c r="G82" s="37" t="s">
        <v>227</v>
      </c>
      <c r="H82" s="38" t="s">
        <v>9</v>
      </c>
      <c r="I82" s="41" t="n">
        <f aca="false">6.1038/I$1</f>
        <v>0.196896774193548</v>
      </c>
      <c r="J82" s="41" t="n">
        <v>0.0013</v>
      </c>
      <c r="K82" s="41" t="n">
        <v>0.0022</v>
      </c>
      <c r="L82" s="41" t="n">
        <v>0</v>
      </c>
      <c r="M82" s="41" t="n">
        <v>0</v>
      </c>
      <c r="N82" s="135" t="n">
        <v>0.02</v>
      </c>
      <c r="O82" s="41" t="n">
        <f aca="false">SUM(I82:M82)</f>
        <v>0.200396774193548</v>
      </c>
      <c r="P82" s="43" t="s">
        <v>228</v>
      </c>
      <c r="Q82" s="38" t="n">
        <v>117</v>
      </c>
      <c r="R82" s="37" t="s">
        <v>229</v>
      </c>
      <c r="S82" s="44" t="n">
        <f aca="false">I82*I$1*Q82</f>
        <v>714.1446</v>
      </c>
      <c r="T82" s="136"/>
      <c r="U82" s="46" t="n">
        <v>79923</v>
      </c>
      <c r="V82" s="23" t="s">
        <v>230</v>
      </c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</row>
    <row r="83" customFormat="false" ht="12.75" hidden="false" customHeight="false" outlineLevel="0" collapsed="false">
      <c r="A83" s="37" t="s">
        <v>213</v>
      </c>
      <c r="B83" s="38" t="s">
        <v>224</v>
      </c>
      <c r="C83" s="38" t="s">
        <v>225</v>
      </c>
      <c r="D83" s="39" t="n">
        <v>36861</v>
      </c>
      <c r="E83" s="39" t="n">
        <v>37195</v>
      </c>
      <c r="F83" s="37" t="s">
        <v>226</v>
      </c>
      <c r="G83" s="37" t="s">
        <v>227</v>
      </c>
      <c r="H83" s="38" t="s">
        <v>9</v>
      </c>
      <c r="I83" s="41" t="n">
        <f aca="false">6.1038/I$1</f>
        <v>0.196896774193548</v>
      </c>
      <c r="J83" s="41" t="n">
        <v>0.0013</v>
      </c>
      <c r="K83" s="41" t="n">
        <v>0.0022</v>
      </c>
      <c r="L83" s="41" t="n">
        <v>0</v>
      </c>
      <c r="M83" s="41" t="n">
        <v>0</v>
      </c>
      <c r="N83" s="135" t="n">
        <v>0.02</v>
      </c>
      <c r="O83" s="41" t="n">
        <f aca="false">SUM(I83:M83)</f>
        <v>0.200396774193548</v>
      </c>
      <c r="P83" s="43" t="s">
        <v>231</v>
      </c>
      <c r="Q83" s="38" t="n">
        <v>9189</v>
      </c>
      <c r="R83" s="37" t="s">
        <v>232</v>
      </c>
      <c r="S83" s="44" t="n">
        <f aca="false">I83*I$1*Q83</f>
        <v>56087.8182</v>
      </c>
      <c r="T83" s="136"/>
      <c r="U83" s="46" t="n">
        <v>506530</v>
      </c>
      <c r="V83" s="23" t="s">
        <v>230</v>
      </c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</row>
    <row r="84" customFormat="false" ht="12.75" hidden="false" customHeight="false" outlineLevel="0" collapsed="false">
      <c r="A84" s="37"/>
      <c r="B84" s="38"/>
      <c r="C84" s="38"/>
      <c r="D84" s="39"/>
      <c r="E84" s="39"/>
      <c r="F84" s="37"/>
      <c r="G84" s="37"/>
      <c r="H84" s="38"/>
      <c r="I84" s="40"/>
      <c r="J84" s="41"/>
      <c r="K84" s="41"/>
      <c r="L84" s="41"/>
      <c r="M84" s="41"/>
      <c r="N84" s="135"/>
      <c r="O84" s="41"/>
      <c r="P84" s="43"/>
      <c r="Q84" s="38"/>
      <c r="R84" s="37"/>
      <c r="S84" s="44"/>
      <c r="T84" s="44" t="n">
        <f aca="false">SUM(T82:T83)</f>
        <v>0</v>
      </c>
      <c r="U84" s="46"/>
      <c r="V84" s="46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</row>
    <row r="85" customFormat="false" ht="12.75" hidden="false" customHeight="false" outlineLevel="0" collapsed="false">
      <c r="A85" s="37"/>
      <c r="B85" s="38"/>
      <c r="C85" s="38"/>
      <c r="D85" s="39"/>
      <c r="E85" s="39"/>
      <c r="F85" s="37"/>
      <c r="G85" s="37"/>
      <c r="H85" s="38"/>
      <c r="I85" s="40"/>
      <c r="J85" s="41"/>
      <c r="K85" s="41"/>
      <c r="L85" s="41"/>
      <c r="M85" s="41"/>
      <c r="N85" s="42"/>
      <c r="O85" s="41"/>
      <c r="P85" s="43"/>
      <c r="Q85" s="88" t="n">
        <f aca="false">SUM(Q82:Q84)</f>
        <v>9306</v>
      </c>
      <c r="R85" s="93" t="s">
        <v>175</v>
      </c>
      <c r="S85" s="54" t="n">
        <f aca="false">SUM(S82:S84)</f>
        <v>56801.9628</v>
      </c>
      <c r="T85" s="44"/>
      <c r="U85" s="45"/>
      <c r="V85" s="46"/>
      <c r="W85" s="46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</row>
    <row r="86" customFormat="false" ht="12.75" hidden="false" customHeight="false" outlineLevel="0" collapsed="false">
      <c r="A86" s="37"/>
      <c r="B86" s="38"/>
      <c r="C86" s="38"/>
      <c r="D86" s="39"/>
      <c r="E86" s="39"/>
      <c r="F86" s="37"/>
      <c r="G86" s="37"/>
      <c r="H86" s="38"/>
      <c r="I86" s="40"/>
      <c r="J86" s="41"/>
      <c r="K86" s="41"/>
      <c r="L86" s="41"/>
      <c r="M86" s="41"/>
      <c r="N86" s="42"/>
      <c r="O86" s="41"/>
      <c r="P86" s="43"/>
      <c r="Q86" s="90"/>
      <c r="R86" s="93" t="s">
        <v>176</v>
      </c>
      <c r="S86" s="54" t="n">
        <f aca="false">SUM(S83)</f>
        <v>56087.8182</v>
      </c>
      <c r="T86" s="44"/>
      <c r="U86" s="45"/>
      <c r="V86" s="46"/>
      <c r="W86" s="46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</row>
    <row r="87" customFormat="false" ht="13.5" hidden="false" customHeight="false" outlineLevel="0" collapsed="false">
      <c r="A87" s="37"/>
      <c r="B87" s="38"/>
      <c r="C87" s="38"/>
      <c r="D87" s="39"/>
      <c r="E87" s="39"/>
      <c r="F87" s="37"/>
      <c r="G87" s="37"/>
      <c r="H87" s="38"/>
      <c r="I87" s="40"/>
      <c r="J87" s="41"/>
      <c r="K87" s="41"/>
      <c r="L87" s="41"/>
      <c r="M87" s="41"/>
      <c r="N87" s="42"/>
      <c r="O87" s="41"/>
      <c r="P87" s="43"/>
      <c r="Q87" s="90"/>
      <c r="R87" s="93" t="s">
        <v>177</v>
      </c>
      <c r="S87" s="113" t="n">
        <f aca="false">+S85-S86</f>
        <v>714.1446</v>
      </c>
      <c r="T87" s="44"/>
      <c r="U87" s="45"/>
      <c r="V87" s="46"/>
      <c r="W87" s="46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</row>
    <row r="88" customFormat="false" ht="13.5" hidden="false" customHeight="false" outlineLevel="0" collapsed="false">
      <c r="A88" s="37"/>
      <c r="B88" s="38"/>
      <c r="C88" s="38"/>
      <c r="D88" s="39"/>
      <c r="E88" s="39"/>
      <c r="F88" s="37"/>
      <c r="G88" s="37"/>
      <c r="H88" s="38"/>
      <c r="I88" s="40"/>
      <c r="J88" s="41"/>
      <c r="K88" s="41"/>
      <c r="L88" s="41"/>
      <c r="M88" s="41"/>
      <c r="N88" s="42"/>
      <c r="O88" s="41"/>
      <c r="P88" s="43"/>
      <c r="Q88" s="38"/>
      <c r="R88" s="37"/>
      <c r="S88" s="44"/>
      <c r="T88" s="44"/>
      <c r="U88" s="45"/>
      <c r="V88" s="46"/>
      <c r="W88" s="46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</row>
    <row r="89" customFormat="false" ht="12.75" hidden="false" customHeight="false" outlineLevel="0" collapsed="false">
      <c r="A89" s="128" t="s">
        <v>108</v>
      </c>
      <c r="B89" s="129" t="s">
        <v>109</v>
      </c>
      <c r="C89" s="129" t="s">
        <v>110</v>
      </c>
      <c r="D89" s="130" t="s">
        <v>111</v>
      </c>
      <c r="E89" s="130"/>
      <c r="F89" s="128" t="s">
        <v>112</v>
      </c>
      <c r="G89" s="128" t="s">
        <v>113</v>
      </c>
      <c r="H89" s="129" t="s">
        <v>114</v>
      </c>
      <c r="I89" s="131" t="s">
        <v>115</v>
      </c>
      <c r="J89" s="129" t="s">
        <v>116</v>
      </c>
      <c r="K89" s="129" t="s">
        <v>117</v>
      </c>
      <c r="L89" s="129" t="s">
        <v>118</v>
      </c>
      <c r="M89" s="129" t="s">
        <v>7</v>
      </c>
      <c r="N89" s="132" t="s">
        <v>119</v>
      </c>
      <c r="O89" s="129" t="s">
        <v>120</v>
      </c>
      <c r="P89" s="133" t="s">
        <v>121</v>
      </c>
      <c r="Q89" s="129" t="s">
        <v>122</v>
      </c>
      <c r="R89" s="128" t="s">
        <v>123</v>
      </c>
      <c r="S89" s="105" t="s">
        <v>203</v>
      </c>
      <c r="T89" s="107"/>
      <c r="U89" s="107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  <c r="AK89" s="134"/>
      <c r="AL89" s="134"/>
      <c r="AM89" s="134"/>
      <c r="AN89" s="134"/>
      <c r="AO89" s="134"/>
      <c r="AP89" s="134"/>
      <c r="AQ89" s="134"/>
      <c r="AR89" s="134"/>
      <c r="AS89" s="134"/>
      <c r="AT89" s="134"/>
      <c r="AU89" s="134"/>
      <c r="AV89" s="134"/>
      <c r="AW89" s="134"/>
      <c r="AX89" s="134"/>
      <c r="AY89" s="134"/>
      <c r="AZ89" s="134"/>
      <c r="BA89" s="134"/>
      <c r="BB89" s="134"/>
      <c r="BC89" s="134"/>
      <c r="BD89" s="134"/>
      <c r="BE89" s="134"/>
      <c r="BF89" s="134"/>
      <c r="BG89" s="134"/>
      <c r="BH89" s="134"/>
      <c r="BI89" s="134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4"/>
      <c r="CC89" s="134"/>
      <c r="CD89" s="134"/>
      <c r="CE89" s="134"/>
      <c r="CF89" s="134"/>
      <c r="CG89" s="134"/>
      <c r="CH89" s="134"/>
      <c r="CI89" s="134"/>
      <c r="CJ89" s="134"/>
      <c r="CK89" s="134"/>
      <c r="CL89" s="134"/>
      <c r="CM89" s="134"/>
      <c r="CN89" s="134"/>
      <c r="CO89" s="134"/>
      <c r="CP89" s="134"/>
      <c r="CQ89" s="134"/>
      <c r="CR89" s="134"/>
      <c r="CS89" s="134"/>
      <c r="CT89" s="134"/>
      <c r="CU89" s="134"/>
      <c r="CV89" s="134"/>
      <c r="CW89" s="13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134"/>
      <c r="DP89" s="134"/>
      <c r="DQ89" s="134"/>
      <c r="DR89" s="134"/>
      <c r="DS89" s="134"/>
      <c r="DT89" s="134"/>
      <c r="DU89" s="134"/>
      <c r="DV89" s="134"/>
      <c r="DW89" s="134"/>
      <c r="DX89" s="134"/>
      <c r="DY89" s="134"/>
      <c r="DZ89" s="134"/>
      <c r="EA89" s="134"/>
      <c r="EB89" s="134"/>
      <c r="EC89" s="134"/>
      <c r="ED89" s="134"/>
      <c r="EE89" s="134"/>
      <c r="EF89" s="134"/>
      <c r="EG89" s="134"/>
      <c r="EH89" s="134"/>
      <c r="EI89" s="134"/>
      <c r="EJ89" s="134"/>
      <c r="EK89" s="134"/>
      <c r="EL89" s="134"/>
      <c r="EM89" s="134"/>
      <c r="EN89" s="134"/>
      <c r="EO89" s="134"/>
      <c r="EP89" s="134"/>
      <c r="EQ89" s="134"/>
      <c r="ER89" s="134"/>
      <c r="ES89" s="134"/>
      <c r="ET89" s="134"/>
      <c r="EU89" s="134"/>
      <c r="EV89" s="134"/>
      <c r="EW89" s="134"/>
      <c r="EX89" s="134"/>
      <c r="EY89" s="134"/>
      <c r="EZ89" s="134"/>
      <c r="FA89" s="134"/>
      <c r="FB89" s="134"/>
      <c r="FC89" s="134"/>
      <c r="FD89" s="134"/>
      <c r="FE89" s="134"/>
      <c r="FF89" s="134"/>
      <c r="FG89" s="134"/>
      <c r="FH89" s="134"/>
      <c r="FI89" s="134"/>
      <c r="FJ89" s="134"/>
      <c r="FK89" s="134"/>
      <c r="FL89" s="134"/>
      <c r="FM89" s="134"/>
      <c r="FN89" s="134"/>
      <c r="FO89" s="134"/>
      <c r="FP89" s="134"/>
      <c r="FQ89" s="134"/>
      <c r="FR89" s="134"/>
      <c r="FS89" s="134"/>
      <c r="FT89" s="134"/>
      <c r="FU89" s="134"/>
      <c r="FV89" s="134"/>
      <c r="FW89" s="134"/>
      <c r="FX89" s="134"/>
      <c r="FY89" s="134"/>
      <c r="FZ89" s="134"/>
      <c r="GA89" s="134"/>
      <c r="GB89" s="134"/>
      <c r="GC89" s="134"/>
      <c r="GD89" s="134"/>
      <c r="GE89" s="134"/>
      <c r="GF89" s="134"/>
      <c r="GG89" s="134"/>
      <c r="GH89" s="134"/>
      <c r="GI89" s="134"/>
      <c r="GJ89" s="134"/>
      <c r="GK89" s="134"/>
      <c r="GL89" s="134"/>
      <c r="GM89" s="134"/>
      <c r="GN89" s="134"/>
      <c r="GO89" s="134"/>
      <c r="GP89" s="134"/>
      <c r="GQ89" s="134"/>
      <c r="GR89" s="134"/>
      <c r="GS89" s="134"/>
      <c r="GT89" s="134"/>
      <c r="GU89" s="134"/>
      <c r="GV89" s="134"/>
      <c r="GW89" s="134"/>
      <c r="GX89" s="134"/>
      <c r="GY89" s="134"/>
      <c r="GZ89" s="134"/>
      <c r="HA89" s="134"/>
      <c r="HB89" s="134"/>
      <c r="HC89" s="134"/>
      <c r="HD89" s="134"/>
      <c r="HE89" s="134"/>
      <c r="HF89" s="134"/>
      <c r="HG89" s="134"/>
      <c r="HH89" s="134"/>
      <c r="HI89" s="134"/>
      <c r="HJ89" s="134"/>
      <c r="HK89" s="134"/>
      <c r="HL89" s="134"/>
      <c r="HM89" s="134"/>
      <c r="HN89" s="134"/>
      <c r="HO89" s="134"/>
      <c r="HP89" s="134"/>
      <c r="HQ89" s="134"/>
      <c r="HR89" s="134"/>
      <c r="HS89" s="134"/>
      <c r="HT89" s="134"/>
      <c r="HU89" s="134"/>
      <c r="HV89" s="134"/>
      <c r="HW89" s="134"/>
      <c r="HX89" s="134"/>
      <c r="HY89" s="134"/>
      <c r="HZ89" s="134"/>
      <c r="IA89" s="134"/>
      <c r="IB89" s="134"/>
      <c r="IC89" s="134"/>
      <c r="ID89" s="134"/>
      <c r="IE89" s="134"/>
      <c r="IF89" s="134"/>
      <c r="IG89" s="134"/>
      <c r="IH89" s="134"/>
      <c r="II89" s="134"/>
      <c r="IJ89" s="134"/>
      <c r="IK89" s="134"/>
      <c r="IL89" s="134"/>
      <c r="IM89" s="134"/>
      <c r="IN89" s="134"/>
      <c r="IO89" s="134"/>
      <c r="IP89" s="134"/>
      <c r="IQ89" s="134"/>
      <c r="IR89" s="134"/>
      <c r="IS89" s="134"/>
      <c r="IT89" s="134"/>
      <c r="IU89" s="134"/>
      <c r="IV89" s="134"/>
      <c r="IW89" s="134"/>
    </row>
    <row r="90" customFormat="false" ht="12.75" hidden="false" customHeight="false" outlineLevel="0" collapsed="false">
      <c r="A90" s="37" t="s">
        <v>183</v>
      </c>
      <c r="B90" s="37" t="s">
        <v>233</v>
      </c>
      <c r="C90" s="38" t="s">
        <v>233</v>
      </c>
      <c r="D90" s="39" t="s">
        <v>200</v>
      </c>
      <c r="E90" s="39" t="s">
        <v>200</v>
      </c>
      <c r="F90" s="37" t="s">
        <v>21</v>
      </c>
      <c r="G90" s="37" t="s">
        <v>21</v>
      </c>
      <c r="H90" s="38" t="s">
        <v>9</v>
      </c>
      <c r="I90" s="40" t="n">
        <v>0.0729</v>
      </c>
      <c r="J90" s="41" t="n">
        <v>0.003</v>
      </c>
      <c r="K90" s="41" t="n">
        <v>0.0022</v>
      </c>
      <c r="L90" s="41" t="n">
        <v>0</v>
      </c>
      <c r="M90" s="41" t="n">
        <v>0</v>
      </c>
      <c r="N90" s="135" t="n">
        <v>0</v>
      </c>
      <c r="O90" s="41" t="n">
        <f aca="false">SUM(I90:M90)</f>
        <v>0.0781</v>
      </c>
      <c r="P90" s="43" t="s">
        <v>234</v>
      </c>
      <c r="Q90" s="38" t="n">
        <v>25000</v>
      </c>
      <c r="R90" s="37"/>
      <c r="S90" s="136" t="n">
        <f aca="false">I90*I$1*Q90</f>
        <v>56497.5</v>
      </c>
      <c r="T90" s="46"/>
      <c r="U90" s="46"/>
      <c r="V90" s="23" t="s">
        <v>235</v>
      </c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</row>
    <row r="91" customFormat="false" ht="12.75" hidden="false" customHeight="false" outlineLevel="0" collapsed="false">
      <c r="A91" s="37" t="s">
        <v>143</v>
      </c>
      <c r="B91" s="37" t="s">
        <v>236</v>
      </c>
      <c r="C91" s="38" t="s">
        <v>237</v>
      </c>
      <c r="D91" s="39" t="n">
        <v>37012</v>
      </c>
      <c r="E91" s="39" t="n">
        <v>37042</v>
      </c>
      <c r="F91" s="37" t="s">
        <v>238</v>
      </c>
      <c r="G91" s="37" t="s">
        <v>239</v>
      </c>
      <c r="H91" s="38"/>
      <c r="I91" s="40" t="n">
        <v>0.08</v>
      </c>
      <c r="J91" s="41"/>
      <c r="K91" s="41"/>
      <c r="L91" s="41"/>
      <c r="M91" s="41"/>
      <c r="N91" s="135"/>
      <c r="O91" s="41"/>
      <c r="P91" s="43" t="s">
        <v>240</v>
      </c>
      <c r="Q91" s="38" t="n">
        <v>2700</v>
      </c>
      <c r="R91" s="37"/>
      <c r="S91" s="146" t="n">
        <f aca="false">+Q91*I91*I1</f>
        <v>6696</v>
      </c>
      <c r="T91" s="46"/>
      <c r="U91" s="46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</row>
    <row r="92" customFormat="false" ht="12.75" hidden="false" customHeight="false" outlineLevel="0" collapsed="false">
      <c r="A92" s="37" t="s">
        <v>143</v>
      </c>
      <c r="B92" s="38" t="s">
        <v>236</v>
      </c>
      <c r="C92" s="38" t="s">
        <v>150</v>
      </c>
      <c r="D92" s="39" t="n">
        <v>37012</v>
      </c>
      <c r="E92" s="39" t="n">
        <v>37042</v>
      </c>
      <c r="F92" s="37"/>
      <c r="G92" s="37"/>
      <c r="H92" s="38"/>
      <c r="I92" s="51" t="n">
        <v>3000</v>
      </c>
      <c r="J92" s="41"/>
      <c r="K92" s="87"/>
      <c r="L92" s="41"/>
      <c r="M92" s="41"/>
      <c r="N92" s="135"/>
      <c r="O92" s="41"/>
      <c r="P92" s="43" t="n">
        <v>20010011067</v>
      </c>
      <c r="Q92" s="38" t="n">
        <v>300000</v>
      </c>
      <c r="R92" s="38"/>
      <c r="S92" s="137" t="n">
        <v>3000</v>
      </c>
      <c r="T92" s="46"/>
      <c r="U92" s="46"/>
      <c r="V92" s="23" t="n">
        <v>759558</v>
      </c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</row>
    <row r="93" customFormat="false" ht="12.75" hidden="false" customHeight="false" outlineLevel="0" collapsed="false">
      <c r="A93" s="37"/>
      <c r="B93" s="38"/>
      <c r="C93" s="38"/>
      <c r="D93" s="39"/>
      <c r="E93" s="39"/>
      <c r="F93" s="37"/>
      <c r="G93" s="37"/>
      <c r="H93" s="38"/>
      <c r="I93" s="40"/>
      <c r="J93" s="41"/>
      <c r="K93" s="41"/>
      <c r="L93" s="41"/>
      <c r="M93" s="41"/>
      <c r="N93" s="42"/>
      <c r="O93" s="41"/>
      <c r="P93" s="43"/>
      <c r="Q93" s="88" t="n">
        <f aca="false">SUM(Q90:Q92)</f>
        <v>327700</v>
      </c>
      <c r="R93" s="93" t="s">
        <v>175</v>
      </c>
      <c r="S93" s="54" t="n">
        <f aca="false">SUM(S90:S92)</f>
        <v>66193.5</v>
      </c>
      <c r="T93" s="45"/>
      <c r="U93" s="46"/>
      <c r="V93" s="46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</row>
    <row r="94" customFormat="false" ht="12.75" hidden="false" customHeight="false" outlineLevel="0" collapsed="false">
      <c r="A94" s="37"/>
      <c r="B94" s="38"/>
      <c r="C94" s="38"/>
      <c r="D94" s="39"/>
      <c r="E94" s="39"/>
      <c r="F94" s="37"/>
      <c r="G94" s="37"/>
      <c r="H94" s="38"/>
      <c r="I94" s="40"/>
      <c r="J94" s="41"/>
      <c r="K94" s="41"/>
      <c r="L94" s="41"/>
      <c r="M94" s="41"/>
      <c r="N94" s="42"/>
      <c r="O94" s="41"/>
      <c r="P94" s="43"/>
      <c r="Q94" s="90"/>
      <c r="R94" s="93" t="s">
        <v>176</v>
      </c>
      <c r="S94" s="54" t="n">
        <v>0</v>
      </c>
      <c r="T94" s="45"/>
      <c r="U94" s="46"/>
      <c r="V94" s="46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</row>
    <row r="95" customFormat="false" ht="13.5" hidden="false" customHeight="false" outlineLevel="0" collapsed="false">
      <c r="A95" s="37"/>
      <c r="B95" s="38"/>
      <c r="C95" s="38"/>
      <c r="D95" s="39"/>
      <c r="E95" s="39"/>
      <c r="F95" s="37"/>
      <c r="G95" s="37"/>
      <c r="H95" s="38"/>
      <c r="I95" s="40"/>
      <c r="J95" s="41"/>
      <c r="K95" s="41"/>
      <c r="L95" s="41"/>
      <c r="M95" s="41"/>
      <c r="N95" s="42"/>
      <c r="O95" s="41"/>
      <c r="P95" s="43"/>
      <c r="Q95" s="90"/>
      <c r="R95" s="93" t="s">
        <v>177</v>
      </c>
      <c r="S95" s="113" t="n">
        <f aca="false">+S93-S94</f>
        <v>66193.5</v>
      </c>
      <c r="T95" s="45"/>
      <c r="U95" s="46"/>
      <c r="V95" s="46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</row>
    <row r="96" customFormat="false" ht="13.5" hidden="false" customHeight="false" outlineLevel="0" collapsed="false">
      <c r="A96" s="37"/>
      <c r="B96" s="38"/>
      <c r="C96" s="38"/>
      <c r="D96" s="39"/>
      <c r="E96" s="39"/>
      <c r="F96" s="37"/>
      <c r="G96" s="37"/>
      <c r="H96" s="38"/>
      <c r="I96" s="40"/>
      <c r="J96" s="41"/>
      <c r="K96" s="41"/>
      <c r="L96" s="41"/>
      <c r="M96" s="41"/>
      <c r="N96" s="42"/>
      <c r="O96" s="41"/>
      <c r="P96" s="43"/>
      <c r="Q96" s="90"/>
      <c r="R96" s="93"/>
      <c r="S96" s="54"/>
      <c r="T96" s="45"/>
      <c r="U96" s="46"/>
      <c r="V96" s="46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</row>
    <row r="97" customFormat="false" ht="12.75" hidden="false" customHeight="false" outlineLevel="0" collapsed="false">
      <c r="A97" s="128" t="s">
        <v>108</v>
      </c>
      <c r="B97" s="129" t="s">
        <v>109</v>
      </c>
      <c r="C97" s="129" t="s">
        <v>110</v>
      </c>
      <c r="D97" s="130" t="s">
        <v>111</v>
      </c>
      <c r="E97" s="130"/>
      <c r="F97" s="128" t="s">
        <v>112</v>
      </c>
      <c r="G97" s="128" t="s">
        <v>113</v>
      </c>
      <c r="H97" s="129" t="s">
        <v>212</v>
      </c>
      <c r="I97" s="131" t="s">
        <v>115</v>
      </c>
      <c r="J97" s="129" t="s">
        <v>116</v>
      </c>
      <c r="K97" s="129" t="s">
        <v>117</v>
      </c>
      <c r="L97" s="129" t="s">
        <v>118</v>
      </c>
      <c r="M97" s="129" t="s">
        <v>7</v>
      </c>
      <c r="N97" s="147" t="s">
        <v>119</v>
      </c>
      <c r="O97" s="129" t="s">
        <v>120</v>
      </c>
      <c r="P97" s="133" t="s">
        <v>147</v>
      </c>
      <c r="Q97" s="129" t="s">
        <v>122</v>
      </c>
      <c r="R97" s="128" t="s">
        <v>123</v>
      </c>
      <c r="S97" s="105" t="s">
        <v>124</v>
      </c>
      <c r="T97" s="148" t="s">
        <v>148</v>
      </c>
      <c r="U97" s="107"/>
      <c r="V97" s="107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34"/>
      <c r="AR97" s="134"/>
      <c r="AS97" s="134"/>
      <c r="AT97" s="134"/>
      <c r="AU97" s="134"/>
      <c r="AV97" s="134"/>
      <c r="AW97" s="134"/>
      <c r="AX97" s="134"/>
      <c r="AY97" s="134"/>
      <c r="AZ97" s="134"/>
      <c r="BA97" s="134"/>
      <c r="BB97" s="134"/>
      <c r="BC97" s="134"/>
      <c r="BD97" s="134"/>
      <c r="BE97" s="134"/>
      <c r="BF97" s="134"/>
      <c r="BG97" s="134"/>
      <c r="BH97" s="134"/>
      <c r="BI97" s="134"/>
      <c r="BJ97" s="134"/>
      <c r="BK97" s="134"/>
      <c r="BL97" s="134"/>
      <c r="BM97" s="134"/>
      <c r="BN97" s="134"/>
      <c r="BO97" s="134"/>
      <c r="BP97" s="134"/>
      <c r="BQ97" s="134"/>
      <c r="BR97" s="134"/>
      <c r="BS97" s="134"/>
      <c r="BT97" s="134"/>
      <c r="BU97" s="134"/>
      <c r="BV97" s="134"/>
      <c r="BW97" s="134"/>
      <c r="BX97" s="134"/>
      <c r="BY97" s="134"/>
      <c r="BZ97" s="134"/>
      <c r="CA97" s="134"/>
      <c r="CB97" s="134"/>
      <c r="CC97" s="134"/>
      <c r="CD97" s="134"/>
      <c r="CE97" s="134"/>
      <c r="CF97" s="134"/>
      <c r="CG97" s="134"/>
      <c r="CH97" s="134"/>
      <c r="CI97" s="134"/>
      <c r="CJ97" s="134"/>
      <c r="CK97" s="134"/>
      <c r="CL97" s="134"/>
      <c r="CM97" s="134"/>
      <c r="CN97" s="134"/>
      <c r="CO97" s="134"/>
      <c r="CP97" s="134"/>
      <c r="CQ97" s="134"/>
      <c r="CR97" s="134"/>
      <c r="CS97" s="134"/>
      <c r="CT97" s="134"/>
      <c r="CU97" s="134"/>
      <c r="CV97" s="134"/>
      <c r="CW97" s="134"/>
      <c r="CX97" s="134"/>
      <c r="CY97" s="134"/>
      <c r="CZ97" s="134"/>
      <c r="DA97" s="134"/>
      <c r="DB97" s="134"/>
      <c r="DC97" s="134"/>
      <c r="DD97" s="134"/>
      <c r="DE97" s="134"/>
      <c r="DF97" s="134"/>
      <c r="DG97" s="134"/>
      <c r="DH97" s="134"/>
      <c r="DI97" s="134"/>
      <c r="DJ97" s="134"/>
      <c r="DK97" s="134"/>
      <c r="DL97" s="134"/>
      <c r="DM97" s="134"/>
      <c r="DN97" s="134"/>
      <c r="DO97" s="134"/>
      <c r="DP97" s="134"/>
      <c r="DQ97" s="134"/>
      <c r="DR97" s="134"/>
      <c r="DS97" s="134"/>
      <c r="DT97" s="134"/>
      <c r="DU97" s="134"/>
      <c r="DV97" s="134"/>
      <c r="DW97" s="134"/>
      <c r="DX97" s="134"/>
      <c r="DY97" s="134"/>
      <c r="DZ97" s="134"/>
      <c r="EA97" s="134"/>
      <c r="EB97" s="134"/>
      <c r="EC97" s="134"/>
      <c r="ED97" s="134"/>
      <c r="EE97" s="134"/>
      <c r="EF97" s="134"/>
      <c r="EG97" s="134"/>
      <c r="EH97" s="134"/>
      <c r="EI97" s="134"/>
      <c r="EJ97" s="134"/>
      <c r="EK97" s="134"/>
      <c r="EL97" s="134"/>
      <c r="EM97" s="134"/>
      <c r="EN97" s="134"/>
      <c r="EO97" s="134"/>
      <c r="EP97" s="134"/>
      <c r="EQ97" s="134"/>
      <c r="ER97" s="134"/>
      <c r="ES97" s="134"/>
      <c r="ET97" s="134"/>
      <c r="EU97" s="134"/>
      <c r="EV97" s="134"/>
      <c r="EW97" s="134"/>
      <c r="EX97" s="134"/>
      <c r="EY97" s="134"/>
      <c r="EZ97" s="134"/>
      <c r="FA97" s="134"/>
      <c r="FB97" s="134"/>
      <c r="FC97" s="134"/>
      <c r="FD97" s="134"/>
      <c r="FE97" s="134"/>
      <c r="FF97" s="134"/>
      <c r="FG97" s="134"/>
      <c r="FH97" s="134"/>
      <c r="FI97" s="134"/>
      <c r="FJ97" s="134"/>
      <c r="FK97" s="134"/>
      <c r="FL97" s="134"/>
      <c r="FM97" s="134"/>
      <c r="FN97" s="134"/>
      <c r="FO97" s="134"/>
      <c r="FP97" s="134"/>
      <c r="FQ97" s="134"/>
      <c r="FR97" s="134"/>
      <c r="FS97" s="134"/>
      <c r="FT97" s="134"/>
      <c r="FU97" s="134"/>
      <c r="FV97" s="134"/>
      <c r="FW97" s="134"/>
      <c r="FX97" s="134"/>
      <c r="FY97" s="134"/>
      <c r="FZ97" s="134"/>
      <c r="GA97" s="134"/>
      <c r="GB97" s="134"/>
      <c r="GC97" s="134"/>
      <c r="GD97" s="134"/>
      <c r="GE97" s="134"/>
      <c r="GF97" s="134"/>
      <c r="GG97" s="134"/>
      <c r="GH97" s="134"/>
      <c r="GI97" s="134"/>
      <c r="GJ97" s="134"/>
      <c r="GK97" s="134"/>
      <c r="GL97" s="134"/>
      <c r="GM97" s="134"/>
      <c r="GN97" s="134"/>
      <c r="GO97" s="134"/>
      <c r="GP97" s="134"/>
      <c r="GQ97" s="134"/>
      <c r="GR97" s="134"/>
      <c r="GS97" s="134"/>
      <c r="GT97" s="134"/>
      <c r="GU97" s="134"/>
      <c r="GV97" s="134"/>
      <c r="GW97" s="134"/>
      <c r="GX97" s="134"/>
      <c r="GY97" s="134"/>
      <c r="GZ97" s="134"/>
      <c r="HA97" s="134"/>
      <c r="HB97" s="134"/>
      <c r="HC97" s="134"/>
      <c r="HD97" s="134"/>
      <c r="HE97" s="134"/>
      <c r="HF97" s="134"/>
      <c r="HG97" s="134"/>
      <c r="HH97" s="134"/>
      <c r="HI97" s="134"/>
      <c r="HJ97" s="134"/>
      <c r="HK97" s="134"/>
      <c r="HL97" s="134"/>
      <c r="HM97" s="134"/>
      <c r="HN97" s="134"/>
      <c r="HO97" s="134"/>
      <c r="HP97" s="134"/>
      <c r="HQ97" s="134"/>
      <c r="HR97" s="134"/>
      <c r="HS97" s="134"/>
      <c r="HT97" s="134"/>
      <c r="HU97" s="134"/>
      <c r="HV97" s="134"/>
      <c r="HW97" s="134"/>
      <c r="HX97" s="134"/>
      <c r="HY97" s="134"/>
      <c r="HZ97" s="134"/>
      <c r="IA97" s="134"/>
      <c r="IB97" s="134"/>
      <c r="IC97" s="134"/>
      <c r="ID97" s="134"/>
      <c r="IE97" s="134"/>
      <c r="IF97" s="134"/>
      <c r="IG97" s="134"/>
      <c r="IH97" s="134"/>
      <c r="II97" s="134"/>
      <c r="IJ97" s="134"/>
      <c r="IK97" s="134"/>
      <c r="IL97" s="134"/>
      <c r="IM97" s="134"/>
      <c r="IN97" s="134"/>
      <c r="IO97" s="134"/>
      <c r="IP97" s="134"/>
      <c r="IQ97" s="134"/>
      <c r="IR97" s="134"/>
      <c r="IS97" s="134"/>
      <c r="IT97" s="134"/>
      <c r="IU97" s="134"/>
      <c r="IV97" s="134"/>
      <c r="IW97" s="134"/>
    </row>
    <row r="98" customFormat="false" ht="12.75" hidden="false" customHeight="false" outlineLevel="0" collapsed="false">
      <c r="A98" s="37" t="s">
        <v>150</v>
      </c>
      <c r="B98" s="38" t="s">
        <v>241</v>
      </c>
      <c r="C98" s="38" t="s">
        <v>150</v>
      </c>
      <c r="D98" s="39" t="n">
        <v>36892</v>
      </c>
      <c r="E98" s="39" t="s">
        <v>242</v>
      </c>
      <c r="F98" s="37"/>
      <c r="G98" s="37"/>
      <c r="H98" s="38" t="s">
        <v>45</v>
      </c>
      <c r="I98" s="40" t="n">
        <f aca="false">4.28/I$1</f>
        <v>0.138064516129032</v>
      </c>
      <c r="J98" s="41"/>
      <c r="K98" s="87"/>
      <c r="L98" s="41"/>
      <c r="M98" s="41"/>
      <c r="N98" s="42"/>
      <c r="O98" s="41"/>
      <c r="P98" s="43" t="n">
        <v>4862</v>
      </c>
      <c r="Q98" s="38" t="n">
        <v>40217</v>
      </c>
      <c r="R98" s="38"/>
      <c r="S98" s="44" t="n">
        <f aca="false">I98*I$1*Q98</f>
        <v>172128.76</v>
      </c>
      <c r="T98" s="111" t="s">
        <v>243</v>
      </c>
      <c r="U98" s="46"/>
      <c r="V98" s="46" t="s">
        <v>244</v>
      </c>
    </row>
    <row r="99" customFormat="false" ht="12.75" hidden="false" customHeight="false" outlineLevel="0" collapsed="false">
      <c r="A99" s="37" t="s">
        <v>150</v>
      </c>
      <c r="B99" s="38" t="s">
        <v>241</v>
      </c>
      <c r="C99" s="38" t="s">
        <v>128</v>
      </c>
      <c r="D99" s="39"/>
      <c r="E99" s="39"/>
      <c r="F99" s="37"/>
      <c r="G99" s="37"/>
      <c r="H99" s="38"/>
      <c r="I99" s="40" t="n">
        <f aca="false">4.28/I$1</f>
        <v>0.138064516129032</v>
      </c>
      <c r="J99" s="41"/>
      <c r="K99" s="87"/>
      <c r="L99" s="41"/>
      <c r="M99" s="41"/>
      <c r="N99" s="42"/>
      <c r="O99" s="41"/>
      <c r="P99" s="43" t="n">
        <v>712131</v>
      </c>
      <c r="Q99" s="38" t="n">
        <v>3850</v>
      </c>
      <c r="R99" s="38"/>
      <c r="S99" s="44" t="n">
        <f aca="false">I99*I$1*Q99</f>
        <v>16478</v>
      </c>
      <c r="T99" s="45" t="n">
        <v>234462</v>
      </c>
      <c r="U99" s="46"/>
      <c r="V99" s="46"/>
    </row>
    <row r="100" customFormat="false" ht="12.75" hidden="false" customHeight="false" outlineLevel="0" collapsed="false">
      <c r="A100" s="37"/>
      <c r="B100" s="38"/>
      <c r="C100" s="38"/>
      <c r="D100" s="39"/>
      <c r="E100" s="39"/>
      <c r="F100" s="37"/>
      <c r="G100" s="37"/>
      <c r="H100" s="38"/>
      <c r="I100" s="40"/>
      <c r="J100" s="41"/>
      <c r="K100" s="87"/>
      <c r="L100" s="41"/>
      <c r="M100" s="41"/>
      <c r="N100" s="42"/>
      <c r="O100" s="41"/>
      <c r="P100" s="43"/>
      <c r="Q100" s="53"/>
      <c r="R100" s="38"/>
      <c r="S100" s="136"/>
      <c r="T100" s="45"/>
      <c r="U100" s="46"/>
      <c r="V100" s="46"/>
    </row>
    <row r="101" customFormat="false" ht="12.75" hidden="false" customHeight="false" outlineLevel="0" collapsed="false">
      <c r="A101" s="93"/>
      <c r="B101" s="88"/>
      <c r="C101" s="88"/>
      <c r="D101" s="94"/>
      <c r="E101" s="94"/>
      <c r="F101" s="93"/>
      <c r="G101" s="93"/>
      <c r="H101" s="88"/>
      <c r="I101" s="96"/>
      <c r="J101" s="87"/>
      <c r="K101" s="87"/>
      <c r="L101" s="87"/>
      <c r="M101" s="87"/>
      <c r="N101" s="97"/>
      <c r="O101" s="87"/>
      <c r="P101" s="149"/>
      <c r="Q101" s="88" t="n">
        <f aca="false">SUM(Q98:Q100)</f>
        <v>44067</v>
      </c>
      <c r="R101" s="93" t="s">
        <v>175</v>
      </c>
      <c r="S101" s="54" t="n">
        <f aca="false">SUM(S98:S100)</f>
        <v>188606.76</v>
      </c>
      <c r="T101" s="55"/>
      <c r="U101" s="56"/>
      <c r="V101" s="56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50"/>
      <c r="BW101" s="150"/>
      <c r="BX101" s="150"/>
      <c r="BY101" s="150"/>
      <c r="BZ101" s="150"/>
      <c r="CA101" s="150"/>
      <c r="CB101" s="150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T101" s="150"/>
      <c r="CU101" s="150"/>
      <c r="CV101" s="150"/>
      <c r="CW101" s="150"/>
      <c r="CX101" s="150"/>
      <c r="CY101" s="150"/>
      <c r="CZ101" s="150"/>
      <c r="DA101" s="150"/>
      <c r="DB101" s="150"/>
      <c r="DC101" s="150"/>
      <c r="DD101" s="150"/>
      <c r="DE101" s="150"/>
      <c r="DF101" s="150"/>
      <c r="DG101" s="150"/>
      <c r="DH101" s="150"/>
      <c r="DI101" s="150"/>
      <c r="DJ101" s="150"/>
      <c r="DK101" s="150"/>
      <c r="DL101" s="150"/>
      <c r="DM101" s="150"/>
      <c r="DN101" s="150"/>
      <c r="DO101" s="150"/>
      <c r="DP101" s="150"/>
      <c r="DQ101" s="150"/>
      <c r="DR101" s="150"/>
      <c r="DS101" s="150"/>
      <c r="DT101" s="150"/>
      <c r="DU101" s="150"/>
      <c r="DV101" s="150"/>
      <c r="DW101" s="150"/>
      <c r="DX101" s="150"/>
      <c r="DY101" s="150"/>
      <c r="DZ101" s="150"/>
      <c r="EA101" s="150"/>
      <c r="EB101" s="150"/>
      <c r="EC101" s="150"/>
      <c r="ED101" s="150"/>
      <c r="EE101" s="150"/>
      <c r="EF101" s="150"/>
      <c r="EG101" s="150"/>
      <c r="EH101" s="150"/>
      <c r="EI101" s="150"/>
      <c r="EJ101" s="150"/>
      <c r="EK101" s="150"/>
      <c r="EL101" s="150"/>
      <c r="EM101" s="150"/>
      <c r="EN101" s="150"/>
      <c r="EO101" s="150"/>
      <c r="EP101" s="150"/>
      <c r="EQ101" s="150"/>
      <c r="ER101" s="150"/>
      <c r="ES101" s="150"/>
      <c r="ET101" s="150"/>
      <c r="EU101" s="150"/>
      <c r="EV101" s="150"/>
      <c r="EW101" s="150"/>
      <c r="EX101" s="150"/>
      <c r="EY101" s="150"/>
      <c r="EZ101" s="150"/>
      <c r="FA101" s="150"/>
      <c r="FB101" s="150"/>
      <c r="FC101" s="150"/>
      <c r="FD101" s="150"/>
      <c r="FE101" s="150"/>
      <c r="FF101" s="150"/>
      <c r="FG101" s="150"/>
      <c r="FH101" s="150"/>
      <c r="FI101" s="150"/>
      <c r="FJ101" s="150"/>
      <c r="FK101" s="150"/>
      <c r="FL101" s="150"/>
      <c r="FM101" s="150"/>
      <c r="FN101" s="150"/>
      <c r="FO101" s="150"/>
      <c r="FP101" s="150"/>
      <c r="FQ101" s="150"/>
      <c r="FR101" s="150"/>
      <c r="FS101" s="150"/>
      <c r="FT101" s="150"/>
      <c r="FU101" s="150"/>
      <c r="FV101" s="150"/>
      <c r="FW101" s="150"/>
      <c r="FX101" s="150"/>
      <c r="FY101" s="150"/>
      <c r="FZ101" s="150"/>
      <c r="GA101" s="150"/>
      <c r="GB101" s="150"/>
      <c r="GC101" s="150"/>
      <c r="GD101" s="150"/>
      <c r="GE101" s="150"/>
      <c r="GF101" s="150"/>
      <c r="GG101" s="150"/>
      <c r="GH101" s="150"/>
      <c r="GI101" s="150"/>
      <c r="GJ101" s="150"/>
      <c r="GK101" s="150"/>
      <c r="GL101" s="150"/>
      <c r="GM101" s="150"/>
      <c r="GN101" s="150"/>
      <c r="GO101" s="150"/>
      <c r="GP101" s="150"/>
      <c r="GQ101" s="150"/>
      <c r="GR101" s="150"/>
      <c r="GS101" s="150"/>
      <c r="GT101" s="150"/>
      <c r="GU101" s="150"/>
      <c r="GV101" s="150"/>
      <c r="GW101" s="150"/>
      <c r="GX101" s="150"/>
      <c r="GY101" s="150"/>
      <c r="GZ101" s="150"/>
      <c r="HA101" s="150"/>
      <c r="HB101" s="150"/>
      <c r="HC101" s="150"/>
      <c r="HD101" s="150"/>
      <c r="HE101" s="150"/>
      <c r="HF101" s="150"/>
      <c r="HG101" s="150"/>
      <c r="HH101" s="150"/>
      <c r="HI101" s="150"/>
      <c r="HJ101" s="150"/>
      <c r="HK101" s="150"/>
      <c r="HL101" s="150"/>
      <c r="HM101" s="150"/>
      <c r="HN101" s="150"/>
      <c r="HO101" s="150"/>
      <c r="HP101" s="150"/>
      <c r="HQ101" s="150"/>
      <c r="HR101" s="150"/>
      <c r="HS101" s="150"/>
      <c r="HT101" s="150"/>
      <c r="HU101" s="150"/>
      <c r="HV101" s="150"/>
      <c r="HW101" s="150"/>
      <c r="HX101" s="150"/>
      <c r="HY101" s="150"/>
      <c r="HZ101" s="150"/>
      <c r="IA101" s="150"/>
      <c r="IB101" s="150"/>
      <c r="IC101" s="150"/>
      <c r="ID101" s="150"/>
      <c r="IE101" s="150"/>
      <c r="IF101" s="150"/>
      <c r="IG101" s="150"/>
      <c r="IH101" s="150"/>
      <c r="II101" s="150"/>
      <c r="IJ101" s="150"/>
      <c r="IK101" s="150"/>
      <c r="IL101" s="150"/>
      <c r="IM101" s="150"/>
      <c r="IN101" s="150"/>
      <c r="IO101" s="150"/>
      <c r="IP101" s="150"/>
      <c r="IQ101" s="150"/>
      <c r="IR101" s="150"/>
      <c r="IS101" s="150"/>
      <c r="IT101" s="150"/>
      <c r="IU101" s="150"/>
      <c r="IV101" s="150"/>
      <c r="IW101" s="150"/>
    </row>
    <row r="102" customFormat="false" ht="12.75" hidden="false" customHeight="false" outlineLevel="0" collapsed="false">
      <c r="A102" s="37"/>
      <c r="B102" s="38"/>
      <c r="C102" s="38"/>
      <c r="D102" s="39"/>
      <c r="E102" s="39"/>
      <c r="F102" s="37"/>
      <c r="G102" s="37"/>
      <c r="H102" s="38"/>
      <c r="I102" s="40"/>
      <c r="J102" s="41"/>
      <c r="K102" s="41"/>
      <c r="L102" s="41"/>
      <c r="M102" s="41"/>
      <c r="N102" s="42"/>
      <c r="O102" s="41"/>
      <c r="P102" s="43"/>
      <c r="Q102" s="90"/>
      <c r="R102" s="93" t="s">
        <v>176</v>
      </c>
      <c r="S102" s="54" t="n">
        <v>0</v>
      </c>
      <c r="T102" s="45"/>
      <c r="U102" s="46"/>
      <c r="V102" s="46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</row>
    <row r="103" customFormat="false" ht="13.5" hidden="false" customHeight="false" outlineLevel="0" collapsed="false">
      <c r="A103" s="37"/>
      <c r="B103" s="38"/>
      <c r="C103" s="38"/>
      <c r="D103" s="39"/>
      <c r="E103" s="39"/>
      <c r="F103" s="37"/>
      <c r="G103" s="37"/>
      <c r="H103" s="38"/>
      <c r="I103" s="40"/>
      <c r="J103" s="41"/>
      <c r="K103" s="41"/>
      <c r="L103" s="41"/>
      <c r="M103" s="41"/>
      <c r="N103" s="42"/>
      <c r="O103" s="41"/>
      <c r="P103" s="43"/>
      <c r="Q103" s="90"/>
      <c r="R103" s="93" t="s">
        <v>177</v>
      </c>
      <c r="S103" s="127" t="n">
        <f aca="false">+S101-S102</f>
        <v>188606.76</v>
      </c>
      <c r="T103" s="45"/>
      <c r="U103" s="46"/>
      <c r="V103" s="46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</row>
    <row r="104" customFormat="false" ht="13.5" hidden="false" customHeight="false" outlineLevel="0" collapsed="false">
      <c r="A104" s="37"/>
      <c r="B104" s="38"/>
      <c r="C104" s="38"/>
      <c r="D104" s="39"/>
      <c r="E104" s="39"/>
      <c r="F104" s="37"/>
      <c r="G104" s="37"/>
      <c r="H104" s="38"/>
      <c r="I104" s="40"/>
      <c r="J104" s="41"/>
      <c r="K104" s="41"/>
      <c r="L104" s="41"/>
      <c r="M104" s="41"/>
      <c r="N104" s="42"/>
      <c r="O104" s="41"/>
      <c r="P104" s="43"/>
      <c r="Q104" s="38"/>
      <c r="R104" s="37"/>
      <c r="S104" s="44"/>
      <c r="T104" s="45"/>
      <c r="U104" s="46"/>
      <c r="V104" s="46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</row>
    <row r="105" customFormat="false" ht="12.75" hidden="false" customHeight="false" outlineLevel="0" collapsed="false">
      <c r="A105" s="128" t="s">
        <v>108</v>
      </c>
      <c r="B105" s="129" t="s">
        <v>109</v>
      </c>
      <c r="C105" s="129" t="s">
        <v>110</v>
      </c>
      <c r="D105" s="130" t="s">
        <v>111</v>
      </c>
      <c r="E105" s="130"/>
      <c r="F105" s="128" t="s">
        <v>112</v>
      </c>
      <c r="G105" s="128" t="s">
        <v>113</v>
      </c>
      <c r="H105" s="129" t="s">
        <v>114</v>
      </c>
      <c r="I105" s="131" t="s">
        <v>115</v>
      </c>
      <c r="J105" s="129" t="s">
        <v>116</v>
      </c>
      <c r="K105" s="129" t="s">
        <v>117</v>
      </c>
      <c r="L105" s="129" t="s">
        <v>118</v>
      </c>
      <c r="M105" s="129" t="s">
        <v>7</v>
      </c>
      <c r="N105" s="132" t="s">
        <v>119</v>
      </c>
      <c r="O105" s="129" t="s">
        <v>120</v>
      </c>
      <c r="P105" s="133" t="s">
        <v>121</v>
      </c>
      <c r="Q105" s="129" t="s">
        <v>122</v>
      </c>
      <c r="R105" s="128" t="s">
        <v>123</v>
      </c>
      <c r="S105" s="105" t="s">
        <v>203</v>
      </c>
      <c r="T105" s="107"/>
      <c r="U105" s="107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  <c r="BQ105" s="134"/>
      <c r="BR105" s="134"/>
      <c r="BS105" s="134"/>
      <c r="BT105" s="134"/>
      <c r="BU105" s="134"/>
      <c r="BV105" s="134"/>
      <c r="BW105" s="134"/>
      <c r="BX105" s="134"/>
      <c r="BY105" s="134"/>
      <c r="BZ105" s="134"/>
      <c r="CA105" s="134"/>
      <c r="CB105" s="134"/>
      <c r="CC105" s="134"/>
      <c r="CD105" s="134"/>
      <c r="CE105" s="134"/>
      <c r="CF105" s="134"/>
      <c r="CG105" s="134"/>
      <c r="CH105" s="134"/>
      <c r="CI105" s="134"/>
      <c r="CJ105" s="134"/>
      <c r="CK105" s="134"/>
      <c r="CL105" s="134"/>
      <c r="CM105" s="134"/>
      <c r="CN105" s="134"/>
      <c r="CO105" s="134"/>
      <c r="CP105" s="134"/>
      <c r="CQ105" s="134"/>
      <c r="CR105" s="134"/>
      <c r="CS105" s="134"/>
      <c r="CT105" s="134"/>
      <c r="CU105" s="134"/>
      <c r="CV105" s="134"/>
      <c r="CW105" s="134"/>
      <c r="CX105" s="134"/>
      <c r="CY105" s="134"/>
      <c r="CZ105" s="134"/>
      <c r="DA105" s="134"/>
      <c r="DB105" s="134"/>
      <c r="DC105" s="134"/>
      <c r="DD105" s="134"/>
      <c r="DE105" s="134"/>
      <c r="DF105" s="134"/>
      <c r="DG105" s="134"/>
      <c r="DH105" s="134"/>
      <c r="DI105" s="134"/>
      <c r="DJ105" s="134"/>
      <c r="DK105" s="134"/>
      <c r="DL105" s="134"/>
      <c r="DM105" s="134"/>
      <c r="DN105" s="134"/>
      <c r="DO105" s="134"/>
      <c r="DP105" s="134"/>
      <c r="DQ105" s="134"/>
      <c r="DR105" s="134"/>
      <c r="DS105" s="134"/>
      <c r="DT105" s="134"/>
      <c r="DU105" s="134"/>
      <c r="DV105" s="134"/>
      <c r="DW105" s="134"/>
      <c r="DX105" s="134"/>
      <c r="DY105" s="134"/>
      <c r="DZ105" s="134"/>
      <c r="EA105" s="134"/>
      <c r="EB105" s="134"/>
      <c r="EC105" s="134"/>
      <c r="ED105" s="134"/>
      <c r="EE105" s="134"/>
      <c r="EF105" s="134"/>
      <c r="EG105" s="134"/>
      <c r="EH105" s="134"/>
      <c r="EI105" s="134"/>
      <c r="EJ105" s="134"/>
      <c r="EK105" s="134"/>
      <c r="EL105" s="134"/>
      <c r="EM105" s="134"/>
      <c r="EN105" s="134"/>
      <c r="EO105" s="134"/>
      <c r="EP105" s="134"/>
      <c r="EQ105" s="134"/>
      <c r="ER105" s="134"/>
      <c r="ES105" s="134"/>
      <c r="ET105" s="134"/>
      <c r="EU105" s="134"/>
      <c r="EV105" s="134"/>
      <c r="EW105" s="134"/>
      <c r="EX105" s="134"/>
      <c r="EY105" s="134"/>
      <c r="EZ105" s="134"/>
      <c r="FA105" s="134"/>
      <c r="FB105" s="134"/>
      <c r="FC105" s="134"/>
      <c r="FD105" s="134"/>
      <c r="FE105" s="134"/>
      <c r="FF105" s="134"/>
      <c r="FG105" s="134"/>
      <c r="FH105" s="134"/>
      <c r="FI105" s="134"/>
      <c r="FJ105" s="134"/>
      <c r="FK105" s="134"/>
      <c r="FL105" s="134"/>
      <c r="FM105" s="134"/>
      <c r="FN105" s="134"/>
      <c r="FO105" s="134"/>
      <c r="FP105" s="134"/>
      <c r="FQ105" s="134"/>
      <c r="FR105" s="134"/>
      <c r="FS105" s="134"/>
      <c r="FT105" s="134"/>
      <c r="FU105" s="134"/>
      <c r="FV105" s="134"/>
      <c r="FW105" s="134"/>
      <c r="FX105" s="134"/>
      <c r="FY105" s="134"/>
      <c r="FZ105" s="134"/>
      <c r="GA105" s="134"/>
      <c r="GB105" s="134"/>
      <c r="GC105" s="134"/>
      <c r="GD105" s="134"/>
      <c r="GE105" s="134"/>
      <c r="GF105" s="134"/>
      <c r="GG105" s="134"/>
      <c r="GH105" s="134"/>
      <c r="GI105" s="134"/>
      <c r="GJ105" s="134"/>
      <c r="GK105" s="134"/>
      <c r="GL105" s="134"/>
      <c r="GM105" s="134"/>
      <c r="GN105" s="134"/>
      <c r="GO105" s="134"/>
      <c r="GP105" s="134"/>
      <c r="GQ105" s="134"/>
      <c r="GR105" s="134"/>
      <c r="GS105" s="134"/>
      <c r="GT105" s="134"/>
      <c r="GU105" s="134"/>
      <c r="GV105" s="134"/>
      <c r="GW105" s="134"/>
      <c r="GX105" s="134"/>
      <c r="GY105" s="134"/>
      <c r="GZ105" s="134"/>
      <c r="HA105" s="134"/>
      <c r="HB105" s="134"/>
      <c r="HC105" s="134"/>
      <c r="HD105" s="134"/>
      <c r="HE105" s="134"/>
      <c r="HF105" s="134"/>
      <c r="HG105" s="134"/>
      <c r="HH105" s="134"/>
      <c r="HI105" s="134"/>
      <c r="HJ105" s="134"/>
      <c r="HK105" s="134"/>
      <c r="HL105" s="134"/>
      <c r="HM105" s="134"/>
      <c r="HN105" s="134"/>
      <c r="HO105" s="134"/>
      <c r="HP105" s="134"/>
      <c r="HQ105" s="134"/>
      <c r="HR105" s="134"/>
      <c r="HS105" s="134"/>
      <c r="HT105" s="134"/>
      <c r="HU105" s="134"/>
      <c r="HV105" s="134"/>
      <c r="HW105" s="134"/>
      <c r="HX105" s="134"/>
      <c r="HY105" s="134"/>
      <c r="HZ105" s="134"/>
      <c r="IA105" s="134"/>
      <c r="IB105" s="134"/>
      <c r="IC105" s="134"/>
      <c r="ID105" s="134"/>
      <c r="IE105" s="134"/>
      <c r="IF105" s="134"/>
      <c r="IG105" s="134"/>
      <c r="IH105" s="134"/>
      <c r="II105" s="134"/>
      <c r="IJ105" s="134"/>
      <c r="IK105" s="134"/>
      <c r="IL105" s="134"/>
      <c r="IM105" s="134"/>
      <c r="IN105" s="134"/>
      <c r="IO105" s="134"/>
      <c r="IP105" s="134"/>
      <c r="IQ105" s="134"/>
      <c r="IR105" s="134"/>
      <c r="IS105" s="134"/>
      <c r="IT105" s="134"/>
      <c r="IU105" s="134"/>
      <c r="IV105" s="134"/>
      <c r="IW105" s="134"/>
    </row>
    <row r="106" customFormat="false" ht="12.75" hidden="false" customHeight="false" outlineLevel="0" collapsed="false">
      <c r="A106" s="37" t="s">
        <v>194</v>
      </c>
      <c r="B106" s="38" t="s">
        <v>245</v>
      </c>
      <c r="C106" s="38" t="s">
        <v>246</v>
      </c>
      <c r="D106" s="39" t="n">
        <v>36526</v>
      </c>
      <c r="E106" s="39" t="n">
        <v>37560</v>
      </c>
      <c r="F106" s="37" t="s">
        <v>247</v>
      </c>
      <c r="G106" s="37" t="s">
        <v>247</v>
      </c>
      <c r="H106" s="38" t="s">
        <v>153</v>
      </c>
      <c r="I106" s="40" t="n">
        <f aca="false">5.2701/I$1</f>
        <v>0.170003225806452</v>
      </c>
      <c r="J106" s="41" t="n">
        <v>0</v>
      </c>
      <c r="K106" s="41" t="n">
        <v>0</v>
      </c>
      <c r="L106" s="41" t="n">
        <v>0</v>
      </c>
      <c r="M106" s="41" t="n">
        <v>0</v>
      </c>
      <c r="N106" s="135" t="n">
        <v>0.0369</v>
      </c>
      <c r="O106" s="41" t="n">
        <v>0</v>
      </c>
      <c r="P106" s="43" t="n">
        <v>1440</v>
      </c>
      <c r="Q106" s="38" t="n">
        <v>4803</v>
      </c>
      <c r="R106" s="44" t="s">
        <v>9</v>
      </c>
      <c r="S106" s="44" t="n">
        <f aca="false">+I106*Q106*I1</f>
        <v>25312.2903</v>
      </c>
      <c r="T106" s="46" t="n">
        <v>251724</v>
      </c>
      <c r="U106" s="46"/>
      <c r="V106" s="23" t="s">
        <v>248</v>
      </c>
      <c r="W106" s="23" t="s">
        <v>244</v>
      </c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</row>
    <row r="107" customFormat="false" ht="12.75" hidden="false" customHeight="false" outlineLevel="0" collapsed="false">
      <c r="A107" s="37" t="s">
        <v>194</v>
      </c>
      <c r="B107" s="38" t="s">
        <v>245</v>
      </c>
      <c r="C107" s="38" t="s">
        <v>246</v>
      </c>
      <c r="D107" s="39" t="n">
        <v>36526</v>
      </c>
      <c r="E107" s="39" t="n">
        <v>37560</v>
      </c>
      <c r="F107" s="37" t="s">
        <v>247</v>
      </c>
      <c r="G107" s="37" t="s">
        <v>247</v>
      </c>
      <c r="H107" s="38" t="s">
        <v>153</v>
      </c>
      <c r="I107" s="40" t="n">
        <f aca="false">5.45/I$1</f>
        <v>0.175806451612903</v>
      </c>
      <c r="J107" s="41" t="n">
        <v>0</v>
      </c>
      <c r="K107" s="41" t="n">
        <v>0</v>
      </c>
      <c r="L107" s="41" t="n">
        <v>0</v>
      </c>
      <c r="M107" s="41" t="n">
        <v>0</v>
      </c>
      <c r="N107" s="135" t="n">
        <v>0.0369</v>
      </c>
      <c r="O107" s="41" t="n">
        <v>0</v>
      </c>
      <c r="P107" s="43" t="n">
        <v>1548</v>
      </c>
      <c r="Q107" s="38" t="n">
        <v>3841</v>
      </c>
      <c r="R107" s="44" t="s">
        <v>9</v>
      </c>
      <c r="S107" s="44" t="n">
        <f aca="false">+I107*Q107*I1</f>
        <v>20933.45</v>
      </c>
      <c r="T107" s="46" t="n">
        <v>251745</v>
      </c>
      <c r="U107" s="46"/>
      <c r="V107" s="23" t="s">
        <v>248</v>
      </c>
      <c r="W107" s="23" t="s">
        <v>244</v>
      </c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</row>
    <row r="108" customFormat="false" ht="12.75" hidden="false" customHeight="false" outlineLevel="0" collapsed="false">
      <c r="A108" s="37" t="s">
        <v>194</v>
      </c>
      <c r="B108" s="38" t="s">
        <v>245</v>
      </c>
      <c r="C108" s="38" t="s">
        <v>246</v>
      </c>
      <c r="D108" s="39" t="n">
        <v>36039</v>
      </c>
      <c r="E108" s="39" t="n">
        <v>37560</v>
      </c>
      <c r="F108" s="37" t="s">
        <v>249</v>
      </c>
      <c r="G108" s="37"/>
      <c r="H108" s="38" t="s">
        <v>153</v>
      </c>
      <c r="I108" s="40" t="n">
        <v>0.0185</v>
      </c>
      <c r="J108" s="41" t="n">
        <v>0</v>
      </c>
      <c r="K108" s="41" t="n">
        <v>0</v>
      </c>
      <c r="L108" s="41" t="n">
        <v>0</v>
      </c>
      <c r="M108" s="41" t="n">
        <v>0</v>
      </c>
      <c r="N108" s="135" t="n">
        <v>0.0369</v>
      </c>
      <c r="O108" s="41" t="n">
        <v>0</v>
      </c>
      <c r="P108" s="43" t="n">
        <v>2210</v>
      </c>
      <c r="Q108" s="38" t="n">
        <v>709765</v>
      </c>
      <c r="R108" s="44" t="s">
        <v>250</v>
      </c>
      <c r="S108" s="44" t="n">
        <f aca="false">+Q108*I108</f>
        <v>13130.6525</v>
      </c>
      <c r="T108" s="46" t="n">
        <v>251751</v>
      </c>
      <c r="U108" s="46" t="n">
        <v>96005270</v>
      </c>
      <c r="V108" s="23" t="s">
        <v>248</v>
      </c>
      <c r="W108" s="23" t="s">
        <v>244</v>
      </c>
      <c r="X108" s="151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</row>
    <row r="109" customFormat="false" ht="12.75" hidden="false" customHeight="false" outlineLevel="0" collapsed="false">
      <c r="A109" s="37" t="s">
        <v>194</v>
      </c>
      <c r="B109" s="38" t="s">
        <v>245</v>
      </c>
      <c r="C109" s="38" t="s">
        <v>246</v>
      </c>
      <c r="D109" s="39" t="n">
        <v>36039</v>
      </c>
      <c r="E109" s="39" t="n">
        <v>37560</v>
      </c>
      <c r="F109" s="37" t="s">
        <v>249</v>
      </c>
      <c r="G109" s="37"/>
      <c r="H109" s="38" t="s">
        <v>153</v>
      </c>
      <c r="I109" s="40" t="n">
        <f aca="false">1.15/I$1</f>
        <v>0.0370967741935484</v>
      </c>
      <c r="J109" s="41" t="n">
        <v>0</v>
      </c>
      <c r="K109" s="41" t="n">
        <v>0</v>
      </c>
      <c r="L109" s="41" t="n">
        <v>0</v>
      </c>
      <c r="M109" s="41" t="n">
        <v>0</v>
      </c>
      <c r="N109" s="135" t="n">
        <v>0.0369</v>
      </c>
      <c r="O109" s="41" t="n">
        <v>0</v>
      </c>
      <c r="P109" s="43" t="n">
        <v>2210</v>
      </c>
      <c r="Q109" s="38" t="n">
        <v>14388</v>
      </c>
      <c r="R109" s="44" t="s">
        <v>250</v>
      </c>
      <c r="S109" s="44" t="n">
        <f aca="false">+I109*Q109*I1</f>
        <v>16546.2</v>
      </c>
      <c r="T109" s="46" t="n">
        <v>251751</v>
      </c>
      <c r="U109" s="46" t="n">
        <v>96005270</v>
      </c>
      <c r="V109" s="23" t="s">
        <v>248</v>
      </c>
      <c r="W109" s="23" t="s">
        <v>244</v>
      </c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</row>
    <row r="110" customFormat="false" ht="12.75" hidden="false" customHeight="false" outlineLevel="0" collapsed="false">
      <c r="A110" s="37" t="s">
        <v>194</v>
      </c>
      <c r="B110" s="38" t="s">
        <v>245</v>
      </c>
      <c r="C110" s="38" t="s">
        <v>251</v>
      </c>
      <c r="D110" s="39" t="n">
        <v>36039</v>
      </c>
      <c r="E110" s="39" t="n">
        <v>37560</v>
      </c>
      <c r="F110" s="37" t="s">
        <v>249</v>
      </c>
      <c r="G110" s="37"/>
      <c r="H110" s="38" t="s">
        <v>153</v>
      </c>
      <c r="I110" s="40" t="n">
        <v>0.0185</v>
      </c>
      <c r="J110" s="41" t="n">
        <v>0</v>
      </c>
      <c r="K110" s="41" t="n">
        <v>0</v>
      </c>
      <c r="L110" s="41" t="n">
        <v>0</v>
      </c>
      <c r="M110" s="41" t="n">
        <v>0</v>
      </c>
      <c r="N110" s="135" t="n">
        <v>0.0369</v>
      </c>
      <c r="O110" s="41" t="n">
        <v>0</v>
      </c>
      <c r="P110" s="43" t="n">
        <v>2076</v>
      </c>
      <c r="Q110" s="38" t="n">
        <v>11827</v>
      </c>
      <c r="R110" s="44" t="s">
        <v>252</v>
      </c>
      <c r="S110" s="44" t="n">
        <f aca="false">+I110*Q110</f>
        <v>218.7995</v>
      </c>
      <c r="T110" s="46" t="n">
        <v>251691</v>
      </c>
      <c r="U110" s="46" t="n">
        <v>96006727</v>
      </c>
      <c r="V110" s="23" t="s">
        <v>248</v>
      </c>
      <c r="W110" s="23" t="s">
        <v>244</v>
      </c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</row>
    <row r="111" customFormat="false" ht="12.75" hidden="false" customHeight="false" outlineLevel="0" collapsed="false">
      <c r="A111" s="37" t="s">
        <v>194</v>
      </c>
      <c r="B111" s="38" t="s">
        <v>245</v>
      </c>
      <c r="C111" s="38" t="s">
        <v>251</v>
      </c>
      <c r="D111" s="39" t="n">
        <v>36039</v>
      </c>
      <c r="E111" s="39" t="n">
        <v>37560</v>
      </c>
      <c r="F111" s="37" t="s">
        <v>249</v>
      </c>
      <c r="G111" s="37"/>
      <c r="H111" s="38"/>
      <c r="I111" s="40" t="n">
        <f aca="false">1.15/I$1</f>
        <v>0.0370967741935484</v>
      </c>
      <c r="J111" s="41"/>
      <c r="K111" s="41"/>
      <c r="L111" s="41"/>
      <c r="M111" s="41"/>
      <c r="N111" s="135"/>
      <c r="O111" s="41"/>
      <c r="P111" s="43" t="n">
        <v>2076</v>
      </c>
      <c r="Q111" s="38" t="n">
        <v>209</v>
      </c>
      <c r="R111" s="44" t="s">
        <v>252</v>
      </c>
      <c r="S111" s="44" t="n">
        <f aca="false">+I111*Q111</f>
        <v>7.75322580645161</v>
      </c>
      <c r="T111" s="46" t="n">
        <v>251691</v>
      </c>
      <c r="U111" s="46"/>
      <c r="V111" s="23" t="s">
        <v>248</v>
      </c>
      <c r="W111" s="23" t="s">
        <v>244</v>
      </c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</row>
    <row r="112" customFormat="false" ht="12.75" hidden="false" customHeight="false" outlineLevel="0" collapsed="false">
      <c r="A112" s="37" t="s">
        <v>194</v>
      </c>
      <c r="B112" s="38" t="s">
        <v>245</v>
      </c>
      <c r="C112" s="38" t="s">
        <v>251</v>
      </c>
      <c r="D112" s="39" t="n">
        <v>36039</v>
      </c>
      <c r="E112" s="39" t="n">
        <v>37560</v>
      </c>
      <c r="F112" s="37" t="s">
        <v>247</v>
      </c>
      <c r="G112" s="37" t="s">
        <v>247</v>
      </c>
      <c r="H112" s="38" t="s">
        <v>153</v>
      </c>
      <c r="I112" s="40" t="n">
        <f aca="false">5.61/I$1</f>
        <v>0.180967741935484</v>
      </c>
      <c r="J112" s="41" t="n">
        <v>0</v>
      </c>
      <c r="K112" s="41" t="n">
        <v>0</v>
      </c>
      <c r="L112" s="41" t="n">
        <v>0</v>
      </c>
      <c r="M112" s="41" t="n">
        <v>0</v>
      </c>
      <c r="N112" s="135" t="n">
        <v>0.0369</v>
      </c>
      <c r="O112" s="41" t="n">
        <v>0</v>
      </c>
      <c r="P112" s="43" t="n">
        <v>1339</v>
      </c>
      <c r="Q112" s="38" t="n">
        <v>90</v>
      </c>
      <c r="R112" s="44" t="s">
        <v>253</v>
      </c>
      <c r="S112" s="44" t="n">
        <f aca="false">+I112*Q112</f>
        <v>16.2870967741936</v>
      </c>
      <c r="T112" s="46" t="n">
        <v>251714</v>
      </c>
      <c r="U112" s="46"/>
      <c r="V112" s="23" t="s">
        <v>248</v>
      </c>
      <c r="W112" s="23" t="s">
        <v>244</v>
      </c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</row>
    <row r="113" customFormat="false" ht="12.75" hidden="false" customHeight="false" outlineLevel="0" collapsed="false">
      <c r="A113" s="37" t="s">
        <v>254</v>
      </c>
      <c r="B113" s="38" t="s">
        <v>245</v>
      </c>
      <c r="C113" s="38" t="s">
        <v>255</v>
      </c>
      <c r="D113" s="39" t="n">
        <v>36982</v>
      </c>
      <c r="E113" s="39" t="n">
        <v>37195</v>
      </c>
      <c r="F113" s="37" t="s">
        <v>256</v>
      </c>
      <c r="G113" s="37" t="s">
        <v>257</v>
      </c>
      <c r="H113" s="38" t="s">
        <v>153</v>
      </c>
      <c r="I113" s="40" t="n">
        <v>0.0417</v>
      </c>
      <c r="J113" s="41" t="n">
        <v>0</v>
      </c>
      <c r="K113" s="41" t="n">
        <v>0</v>
      </c>
      <c r="L113" s="41" t="n">
        <v>0</v>
      </c>
      <c r="M113" s="41" t="n">
        <v>0</v>
      </c>
      <c r="N113" s="135" t="n">
        <v>0.0369</v>
      </c>
      <c r="O113" s="41" t="n">
        <v>0</v>
      </c>
      <c r="P113" s="43" t="n">
        <v>36521</v>
      </c>
      <c r="Q113" s="38" t="n">
        <v>10000</v>
      </c>
      <c r="R113" s="44"/>
      <c r="S113" s="110" t="n">
        <f aca="false">+I113*Q113*$I$1</f>
        <v>12927</v>
      </c>
      <c r="T113" s="46" t="n">
        <v>703159</v>
      </c>
      <c r="U113" s="46" t="n">
        <v>96006727</v>
      </c>
      <c r="V113" s="23"/>
      <c r="W113" s="23" t="s">
        <v>155</v>
      </c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</row>
    <row r="114" customFormat="false" ht="12.75" hidden="false" customHeight="false" outlineLevel="0" collapsed="false">
      <c r="A114" s="37" t="s">
        <v>258</v>
      </c>
      <c r="B114" s="38" t="s">
        <v>245</v>
      </c>
      <c r="C114" s="38" t="s">
        <v>259</v>
      </c>
      <c r="D114" s="39" t="n">
        <v>36982</v>
      </c>
      <c r="E114" s="39" t="n">
        <v>37042</v>
      </c>
      <c r="F114" s="37" t="s">
        <v>260</v>
      </c>
      <c r="G114" s="37" t="s">
        <v>257</v>
      </c>
      <c r="H114" s="38"/>
      <c r="I114" s="40" t="n">
        <v>0.125</v>
      </c>
      <c r="J114" s="41"/>
      <c r="K114" s="41"/>
      <c r="L114" s="41"/>
      <c r="M114" s="41"/>
      <c r="N114" s="135"/>
      <c r="O114" s="41"/>
      <c r="P114" s="43" t="n">
        <v>36606</v>
      </c>
      <c r="Q114" s="38" t="n">
        <v>10000</v>
      </c>
      <c r="R114" s="44"/>
      <c r="S114" s="110" t="n">
        <f aca="false">+I114*Q114*$I$1</f>
        <v>38750</v>
      </c>
      <c r="T114" s="111" t="s">
        <v>261</v>
      </c>
      <c r="U114" s="46"/>
      <c r="V114" s="23"/>
      <c r="W114" s="23" t="s">
        <v>155</v>
      </c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  <c r="IU114" s="23"/>
      <c r="IV114" s="23"/>
      <c r="IW114" s="23"/>
    </row>
    <row r="115" customFormat="false" ht="12.75" hidden="false" customHeight="false" outlineLevel="0" collapsed="false">
      <c r="A115" s="37" t="s">
        <v>262</v>
      </c>
      <c r="B115" s="38" t="s">
        <v>245</v>
      </c>
      <c r="C115" s="38" t="s">
        <v>259</v>
      </c>
      <c r="D115" s="39" t="n">
        <v>37012</v>
      </c>
      <c r="E115" s="39" t="n">
        <v>37042</v>
      </c>
      <c r="F115" s="37" t="s">
        <v>262</v>
      </c>
      <c r="G115" s="37" t="s">
        <v>262</v>
      </c>
      <c r="H115" s="38"/>
      <c r="I115" s="40" t="n">
        <v>0.015</v>
      </c>
      <c r="J115" s="41"/>
      <c r="K115" s="41"/>
      <c r="L115" s="41"/>
      <c r="M115" s="41"/>
      <c r="N115" s="135"/>
      <c r="O115" s="41"/>
      <c r="P115" s="43" t="n">
        <v>15692</v>
      </c>
      <c r="Q115" s="38" t="n">
        <v>250000</v>
      </c>
      <c r="R115" s="44"/>
      <c r="S115" s="110" t="n">
        <f aca="false">+Q115*I115</f>
        <v>3750</v>
      </c>
      <c r="T115" s="111"/>
      <c r="U115" s="46"/>
      <c r="V115" s="23"/>
      <c r="W115" s="23" t="s">
        <v>155</v>
      </c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  <c r="IU115" s="23"/>
      <c r="IV115" s="23"/>
      <c r="IW115" s="23"/>
    </row>
    <row r="116" customFormat="false" ht="12.75" hidden="false" customHeight="false" outlineLevel="0" collapsed="false">
      <c r="A116" s="50" t="s">
        <v>262</v>
      </c>
      <c r="B116" s="152" t="s">
        <v>245</v>
      </c>
      <c r="C116" s="152" t="s">
        <v>259</v>
      </c>
      <c r="D116" s="153" t="n">
        <v>37226</v>
      </c>
      <c r="E116" s="153" t="n">
        <v>37256</v>
      </c>
      <c r="F116" s="50" t="s">
        <v>262</v>
      </c>
      <c r="G116" s="50" t="s">
        <v>262</v>
      </c>
      <c r="H116" s="152"/>
      <c r="I116" s="154" t="n">
        <v>0.015</v>
      </c>
      <c r="J116" s="155"/>
      <c r="K116" s="155"/>
      <c r="L116" s="155"/>
      <c r="M116" s="155"/>
      <c r="N116" s="156"/>
      <c r="O116" s="155"/>
      <c r="P116" s="157" t="n">
        <v>15692</v>
      </c>
      <c r="Q116" s="152" t="n">
        <v>250000</v>
      </c>
      <c r="R116" s="158"/>
      <c r="S116" s="159" t="n">
        <f aca="false">+Q116*I116</f>
        <v>3750</v>
      </c>
      <c r="T116" s="111"/>
      <c r="U116" s="46"/>
      <c r="V116" s="23"/>
      <c r="W116" s="23" t="s">
        <v>155</v>
      </c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</row>
    <row r="117" customFormat="false" ht="12.75" hidden="false" customHeight="false" outlineLevel="0" collapsed="false">
      <c r="A117" s="50" t="s">
        <v>262</v>
      </c>
      <c r="B117" s="152" t="s">
        <v>245</v>
      </c>
      <c r="C117" s="152" t="s">
        <v>259</v>
      </c>
      <c r="D117" s="153" t="n">
        <v>37043</v>
      </c>
      <c r="E117" s="153" t="n">
        <v>37225</v>
      </c>
      <c r="F117" s="50" t="s">
        <v>262</v>
      </c>
      <c r="G117" s="50" t="s">
        <v>262</v>
      </c>
      <c r="H117" s="152"/>
      <c r="I117" s="154" t="n">
        <v>0.015</v>
      </c>
      <c r="J117" s="155"/>
      <c r="K117" s="155"/>
      <c r="L117" s="155"/>
      <c r="M117" s="155"/>
      <c r="N117" s="156"/>
      <c r="O117" s="155"/>
      <c r="P117" s="157" t="n">
        <v>15692</v>
      </c>
      <c r="Q117" s="152" t="n">
        <v>500000</v>
      </c>
      <c r="R117" s="158"/>
      <c r="S117" s="159" t="n">
        <f aca="false">+Q117*I117</f>
        <v>7500</v>
      </c>
      <c r="T117" s="111"/>
      <c r="U117" s="46"/>
      <c r="V117" s="23"/>
      <c r="W117" s="23" t="s">
        <v>155</v>
      </c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</row>
    <row r="118" customFormat="false" ht="12.75" hidden="false" customHeight="false" outlineLevel="0" collapsed="false">
      <c r="A118" s="37" t="s">
        <v>258</v>
      </c>
      <c r="B118" s="38" t="s">
        <v>245</v>
      </c>
      <c r="C118" s="38" t="s">
        <v>259</v>
      </c>
      <c r="D118" s="39" t="n">
        <v>36982</v>
      </c>
      <c r="E118" s="39" t="n">
        <v>37011</v>
      </c>
      <c r="F118" s="37" t="s">
        <v>260</v>
      </c>
      <c r="G118" s="37" t="s">
        <v>257</v>
      </c>
      <c r="H118" s="38" t="s">
        <v>153</v>
      </c>
      <c r="I118" s="40" t="n">
        <v>0.125</v>
      </c>
      <c r="J118" s="41" t="n">
        <v>0</v>
      </c>
      <c r="K118" s="41" t="n">
        <v>0</v>
      </c>
      <c r="L118" s="41" t="n">
        <v>0</v>
      </c>
      <c r="M118" s="41" t="n">
        <v>0</v>
      </c>
      <c r="N118" s="135" t="n">
        <v>0.0369</v>
      </c>
      <c r="O118" s="41" t="n">
        <v>0</v>
      </c>
      <c r="P118" s="43"/>
      <c r="Q118" s="38" t="n">
        <v>10000</v>
      </c>
      <c r="R118" s="44"/>
      <c r="S118" s="44"/>
      <c r="T118" s="46"/>
      <c r="U118" s="46"/>
      <c r="V118" s="23"/>
      <c r="W118" s="23" t="s">
        <v>155</v>
      </c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</row>
    <row r="119" customFormat="false" ht="12" hidden="false" customHeight="true" outlineLevel="0" collapsed="false">
      <c r="A119" s="37" t="s">
        <v>258</v>
      </c>
      <c r="B119" s="38" t="s">
        <v>245</v>
      </c>
      <c r="C119" s="38" t="s">
        <v>259</v>
      </c>
      <c r="D119" s="39" t="n">
        <v>36982</v>
      </c>
      <c r="E119" s="39" t="n">
        <v>37195</v>
      </c>
      <c r="F119" s="37" t="n">
        <v>1</v>
      </c>
      <c r="G119" s="37" t="n">
        <v>1</v>
      </c>
      <c r="H119" s="38" t="s">
        <v>263</v>
      </c>
      <c r="I119" s="40" t="n">
        <v>0</v>
      </c>
      <c r="J119" s="41"/>
      <c r="K119" s="41"/>
      <c r="L119" s="41"/>
      <c r="M119" s="41"/>
      <c r="N119" s="135"/>
      <c r="O119" s="41"/>
      <c r="P119" s="43" t="n">
        <v>36647</v>
      </c>
      <c r="Q119" s="38" t="n">
        <v>10000</v>
      </c>
      <c r="R119" s="160"/>
      <c r="S119" s="44" t="n">
        <v>0</v>
      </c>
      <c r="T119" s="46" t="s">
        <v>264</v>
      </c>
      <c r="U119" s="46"/>
      <c r="V119" s="23"/>
      <c r="W119" s="23" t="s">
        <v>155</v>
      </c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</row>
    <row r="120" customFormat="false" ht="12" hidden="false" customHeight="true" outlineLevel="0" collapsed="false">
      <c r="A120" s="37"/>
      <c r="B120" s="38"/>
      <c r="C120" s="38"/>
      <c r="D120" s="39"/>
      <c r="E120" s="39"/>
      <c r="F120" s="37"/>
      <c r="G120" s="37"/>
      <c r="H120" s="38"/>
      <c r="I120" s="46"/>
      <c r="J120" s="41"/>
      <c r="K120" s="41"/>
      <c r="L120" s="41"/>
      <c r="M120" s="41"/>
      <c r="N120" s="135"/>
      <c r="O120" s="41"/>
      <c r="P120" s="43"/>
      <c r="Q120" s="38"/>
      <c r="R120" s="160"/>
      <c r="S120" s="45"/>
      <c r="T120" s="46"/>
      <c r="U120" s="46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</row>
    <row r="121" customFormat="false" ht="12.75" hidden="false" customHeight="false" outlineLevel="0" collapsed="false">
      <c r="A121" s="93" t="s">
        <v>9</v>
      </c>
      <c r="B121" s="88" t="s">
        <v>9</v>
      </c>
      <c r="C121" s="88" t="s">
        <v>9</v>
      </c>
      <c r="D121" s="94" t="s">
        <v>9</v>
      </c>
      <c r="E121" s="94" t="s">
        <v>9</v>
      </c>
      <c r="F121" s="93" t="s">
        <v>9</v>
      </c>
      <c r="G121" s="93" t="s">
        <v>9</v>
      </c>
      <c r="H121" s="88" t="s">
        <v>9</v>
      </c>
      <c r="I121" s="96" t="s">
        <v>9</v>
      </c>
      <c r="J121" s="87" t="s">
        <v>9</v>
      </c>
      <c r="K121" s="87" t="s">
        <v>9</v>
      </c>
      <c r="L121" s="87" t="s">
        <v>9</v>
      </c>
      <c r="M121" s="87" t="s">
        <v>265</v>
      </c>
      <c r="N121" s="161" t="s">
        <v>9</v>
      </c>
      <c r="O121" s="87" t="s">
        <v>9</v>
      </c>
      <c r="P121" s="149" t="s">
        <v>9</v>
      </c>
      <c r="Q121" s="88" t="s">
        <v>9</v>
      </c>
      <c r="R121" s="93" t="s">
        <v>9</v>
      </c>
      <c r="S121" s="54"/>
      <c r="T121" s="56"/>
      <c r="U121" s="56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/>
      <c r="CA121" s="150"/>
      <c r="CB121" s="150"/>
      <c r="CC121" s="150"/>
      <c r="CD121" s="150"/>
      <c r="CE121" s="150"/>
      <c r="CF121" s="150"/>
      <c r="CG121" s="150"/>
      <c r="CH121" s="150"/>
      <c r="CI121" s="150"/>
      <c r="CJ121" s="150"/>
      <c r="CK121" s="150"/>
      <c r="CL121" s="150"/>
      <c r="CM121" s="150"/>
      <c r="CN121" s="150"/>
      <c r="CO121" s="150"/>
      <c r="CP121" s="150"/>
      <c r="CQ121" s="150"/>
      <c r="CR121" s="150"/>
      <c r="CS121" s="150"/>
      <c r="CT121" s="150"/>
      <c r="CU121" s="150"/>
      <c r="CV121" s="150"/>
      <c r="CW121" s="150"/>
      <c r="CX121" s="150"/>
      <c r="CY121" s="150"/>
      <c r="CZ121" s="150"/>
      <c r="DA121" s="150"/>
      <c r="DB121" s="150"/>
      <c r="DC121" s="150"/>
      <c r="DD121" s="150"/>
      <c r="DE121" s="150"/>
      <c r="DF121" s="150"/>
      <c r="DG121" s="150"/>
      <c r="DH121" s="150"/>
      <c r="DI121" s="150"/>
      <c r="DJ121" s="150"/>
      <c r="DK121" s="150"/>
      <c r="DL121" s="150"/>
      <c r="DM121" s="150"/>
      <c r="DN121" s="150"/>
      <c r="DO121" s="150"/>
      <c r="DP121" s="150"/>
      <c r="DQ121" s="150"/>
      <c r="DR121" s="150"/>
      <c r="DS121" s="150"/>
      <c r="DT121" s="150"/>
      <c r="DU121" s="150"/>
      <c r="DV121" s="150"/>
      <c r="DW121" s="150"/>
      <c r="DX121" s="150"/>
      <c r="DY121" s="150"/>
      <c r="DZ121" s="150"/>
      <c r="EA121" s="150"/>
      <c r="EB121" s="150"/>
      <c r="EC121" s="150"/>
      <c r="ED121" s="150"/>
      <c r="EE121" s="150"/>
      <c r="EF121" s="150"/>
      <c r="EG121" s="150"/>
      <c r="EH121" s="150"/>
      <c r="EI121" s="150"/>
      <c r="EJ121" s="150"/>
      <c r="EK121" s="150"/>
      <c r="EL121" s="150"/>
      <c r="EM121" s="150"/>
      <c r="EN121" s="150"/>
      <c r="EO121" s="150"/>
      <c r="EP121" s="150"/>
      <c r="EQ121" s="150"/>
      <c r="ER121" s="150"/>
      <c r="ES121" s="150"/>
      <c r="ET121" s="150"/>
      <c r="EU121" s="150"/>
      <c r="EV121" s="150"/>
      <c r="EW121" s="150"/>
      <c r="EX121" s="150"/>
      <c r="EY121" s="150"/>
      <c r="EZ121" s="150"/>
      <c r="FA121" s="150"/>
      <c r="FB121" s="150"/>
      <c r="FC121" s="150"/>
      <c r="FD121" s="150"/>
      <c r="FE121" s="150"/>
      <c r="FF121" s="150"/>
      <c r="FG121" s="150"/>
      <c r="FH121" s="150"/>
      <c r="FI121" s="150"/>
      <c r="FJ121" s="150"/>
      <c r="FK121" s="150"/>
      <c r="FL121" s="150"/>
      <c r="FM121" s="150"/>
      <c r="FN121" s="150"/>
      <c r="FO121" s="150"/>
      <c r="FP121" s="150"/>
      <c r="FQ121" s="150"/>
      <c r="FR121" s="150"/>
      <c r="FS121" s="150"/>
      <c r="FT121" s="150"/>
      <c r="FU121" s="150"/>
      <c r="FV121" s="150"/>
      <c r="FW121" s="150"/>
      <c r="FX121" s="150"/>
      <c r="FY121" s="150"/>
      <c r="FZ121" s="150"/>
      <c r="GA121" s="150"/>
      <c r="GB121" s="150"/>
      <c r="GC121" s="150"/>
      <c r="GD121" s="150"/>
      <c r="GE121" s="150"/>
      <c r="GF121" s="150"/>
      <c r="GG121" s="150"/>
      <c r="GH121" s="150"/>
      <c r="GI121" s="150"/>
      <c r="GJ121" s="150"/>
      <c r="GK121" s="150"/>
      <c r="GL121" s="150"/>
      <c r="GM121" s="150"/>
      <c r="GN121" s="150"/>
      <c r="GO121" s="150"/>
      <c r="GP121" s="150"/>
      <c r="GQ121" s="150"/>
      <c r="GR121" s="150"/>
      <c r="GS121" s="150"/>
      <c r="GT121" s="150"/>
      <c r="GU121" s="150"/>
      <c r="GV121" s="150"/>
      <c r="GW121" s="150"/>
      <c r="GX121" s="150"/>
      <c r="GY121" s="150"/>
      <c r="GZ121" s="150"/>
      <c r="HA121" s="150"/>
      <c r="HB121" s="150"/>
      <c r="HC121" s="150"/>
      <c r="HD121" s="150"/>
      <c r="HE121" s="150"/>
      <c r="HF121" s="150"/>
      <c r="HG121" s="150"/>
      <c r="HH121" s="150"/>
      <c r="HI121" s="150"/>
      <c r="HJ121" s="150"/>
      <c r="HK121" s="150"/>
      <c r="HL121" s="150"/>
      <c r="HM121" s="150"/>
      <c r="HN121" s="150"/>
      <c r="HO121" s="150"/>
      <c r="HP121" s="150"/>
      <c r="HQ121" s="150"/>
      <c r="HR121" s="150"/>
      <c r="HS121" s="150"/>
      <c r="HT121" s="150"/>
      <c r="HU121" s="150"/>
      <c r="HV121" s="150"/>
      <c r="HW121" s="150"/>
      <c r="HX121" s="150"/>
      <c r="HY121" s="150"/>
      <c r="HZ121" s="150"/>
      <c r="IA121" s="150"/>
      <c r="IB121" s="150"/>
      <c r="IC121" s="150"/>
      <c r="ID121" s="150"/>
      <c r="IE121" s="150"/>
      <c r="IF121" s="150"/>
      <c r="IG121" s="150"/>
      <c r="IH121" s="150"/>
      <c r="II121" s="150"/>
      <c r="IJ121" s="150"/>
      <c r="IK121" s="150"/>
      <c r="IL121" s="150"/>
      <c r="IM121" s="150"/>
      <c r="IN121" s="150"/>
      <c r="IO121" s="150"/>
      <c r="IP121" s="150"/>
      <c r="IQ121" s="150"/>
      <c r="IR121" s="150"/>
      <c r="IS121" s="150"/>
      <c r="IT121" s="150"/>
      <c r="IU121" s="150"/>
      <c r="IV121" s="150"/>
      <c r="IW121" s="150"/>
    </row>
    <row r="122" customFormat="false" ht="12.75" hidden="false" customHeight="false" outlineLevel="0" collapsed="false">
      <c r="A122" s="93"/>
      <c r="B122" s="88"/>
      <c r="C122" s="88"/>
      <c r="D122" s="94"/>
      <c r="E122" s="94"/>
      <c r="F122" s="93"/>
      <c r="G122" s="93"/>
      <c r="H122" s="88"/>
      <c r="I122" s="96"/>
      <c r="J122" s="87"/>
      <c r="K122" s="87"/>
      <c r="L122" s="87"/>
      <c r="M122" s="87"/>
      <c r="N122" s="97"/>
      <c r="O122" s="87"/>
      <c r="P122" s="149"/>
      <c r="Q122" s="88" t="n">
        <f aca="false">SUM(Q106:Q121)</f>
        <v>1784923</v>
      </c>
      <c r="R122" s="93" t="s">
        <v>175</v>
      </c>
      <c r="S122" s="54" t="n">
        <f aca="false">SUM(S106:S121)</f>
        <v>142842.432622581</v>
      </c>
      <c r="T122" s="55"/>
      <c r="U122" s="56"/>
      <c r="V122" s="56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/>
      <c r="CA122" s="150"/>
      <c r="CB122" s="150"/>
      <c r="CC122" s="150"/>
      <c r="CD122" s="150"/>
      <c r="CE122" s="150"/>
      <c r="CF122" s="150"/>
      <c r="CG122" s="150"/>
      <c r="CH122" s="150"/>
      <c r="CI122" s="150"/>
      <c r="CJ122" s="150"/>
      <c r="CK122" s="150"/>
      <c r="CL122" s="150"/>
      <c r="CM122" s="150"/>
      <c r="CN122" s="150"/>
      <c r="CO122" s="150"/>
      <c r="CP122" s="150"/>
      <c r="CQ122" s="150"/>
      <c r="CR122" s="150"/>
      <c r="CS122" s="150"/>
      <c r="CT122" s="150"/>
      <c r="CU122" s="150"/>
      <c r="CV122" s="150"/>
      <c r="CW122" s="150"/>
      <c r="CX122" s="150"/>
      <c r="CY122" s="150"/>
      <c r="CZ122" s="150"/>
      <c r="DA122" s="150"/>
      <c r="DB122" s="150"/>
      <c r="DC122" s="150"/>
      <c r="DD122" s="150"/>
      <c r="DE122" s="150"/>
      <c r="DF122" s="150"/>
      <c r="DG122" s="150"/>
      <c r="DH122" s="150"/>
      <c r="DI122" s="150"/>
      <c r="DJ122" s="150"/>
      <c r="DK122" s="150"/>
      <c r="DL122" s="150"/>
      <c r="DM122" s="150"/>
      <c r="DN122" s="150"/>
      <c r="DO122" s="150"/>
      <c r="DP122" s="150"/>
      <c r="DQ122" s="150"/>
      <c r="DR122" s="150"/>
      <c r="DS122" s="150"/>
      <c r="DT122" s="150"/>
      <c r="DU122" s="150"/>
      <c r="DV122" s="150"/>
      <c r="DW122" s="150"/>
      <c r="DX122" s="150"/>
      <c r="DY122" s="150"/>
      <c r="DZ122" s="150"/>
      <c r="EA122" s="150"/>
      <c r="EB122" s="150"/>
      <c r="EC122" s="150"/>
      <c r="ED122" s="150"/>
      <c r="EE122" s="150"/>
      <c r="EF122" s="150"/>
      <c r="EG122" s="150"/>
      <c r="EH122" s="150"/>
      <c r="EI122" s="150"/>
      <c r="EJ122" s="150"/>
      <c r="EK122" s="150"/>
      <c r="EL122" s="150"/>
      <c r="EM122" s="150"/>
      <c r="EN122" s="150"/>
      <c r="EO122" s="150"/>
      <c r="EP122" s="150"/>
      <c r="EQ122" s="150"/>
      <c r="ER122" s="150"/>
      <c r="ES122" s="150"/>
      <c r="ET122" s="150"/>
      <c r="EU122" s="150"/>
      <c r="EV122" s="150"/>
      <c r="EW122" s="150"/>
      <c r="EX122" s="150"/>
      <c r="EY122" s="150"/>
      <c r="EZ122" s="150"/>
      <c r="FA122" s="150"/>
      <c r="FB122" s="150"/>
      <c r="FC122" s="150"/>
      <c r="FD122" s="150"/>
      <c r="FE122" s="150"/>
      <c r="FF122" s="150"/>
      <c r="FG122" s="150"/>
      <c r="FH122" s="150"/>
      <c r="FI122" s="150"/>
      <c r="FJ122" s="150"/>
      <c r="FK122" s="150"/>
      <c r="FL122" s="150"/>
      <c r="FM122" s="150"/>
      <c r="FN122" s="150"/>
      <c r="FO122" s="150"/>
      <c r="FP122" s="150"/>
      <c r="FQ122" s="150"/>
      <c r="FR122" s="150"/>
      <c r="FS122" s="150"/>
      <c r="FT122" s="150"/>
      <c r="FU122" s="150"/>
      <c r="FV122" s="150"/>
      <c r="FW122" s="150"/>
      <c r="FX122" s="150"/>
      <c r="FY122" s="150"/>
      <c r="FZ122" s="150"/>
      <c r="GA122" s="150"/>
      <c r="GB122" s="150"/>
      <c r="GC122" s="150"/>
      <c r="GD122" s="150"/>
      <c r="GE122" s="150"/>
      <c r="GF122" s="150"/>
      <c r="GG122" s="150"/>
      <c r="GH122" s="150"/>
      <c r="GI122" s="150"/>
      <c r="GJ122" s="150"/>
      <c r="GK122" s="150"/>
      <c r="GL122" s="150"/>
      <c r="GM122" s="150"/>
      <c r="GN122" s="150"/>
      <c r="GO122" s="150"/>
      <c r="GP122" s="150"/>
      <c r="GQ122" s="150"/>
      <c r="GR122" s="150"/>
      <c r="GS122" s="150"/>
      <c r="GT122" s="150"/>
      <c r="GU122" s="150"/>
      <c r="GV122" s="150"/>
      <c r="GW122" s="150"/>
      <c r="GX122" s="150"/>
      <c r="GY122" s="150"/>
      <c r="GZ122" s="150"/>
      <c r="HA122" s="150"/>
      <c r="HB122" s="150"/>
      <c r="HC122" s="150"/>
      <c r="HD122" s="150"/>
      <c r="HE122" s="150"/>
      <c r="HF122" s="150"/>
      <c r="HG122" s="150"/>
      <c r="HH122" s="150"/>
      <c r="HI122" s="150"/>
      <c r="HJ122" s="150"/>
      <c r="HK122" s="150"/>
      <c r="HL122" s="150"/>
      <c r="HM122" s="150"/>
      <c r="HN122" s="150"/>
      <c r="HO122" s="150"/>
      <c r="HP122" s="150"/>
      <c r="HQ122" s="150"/>
      <c r="HR122" s="150"/>
      <c r="HS122" s="150"/>
      <c r="HT122" s="150"/>
      <c r="HU122" s="150"/>
      <c r="HV122" s="150"/>
      <c r="HW122" s="150"/>
      <c r="HX122" s="150"/>
      <c r="HY122" s="150"/>
      <c r="HZ122" s="150"/>
      <c r="IA122" s="150"/>
      <c r="IB122" s="150"/>
      <c r="IC122" s="150"/>
      <c r="ID122" s="150"/>
      <c r="IE122" s="150"/>
      <c r="IF122" s="150"/>
      <c r="IG122" s="150"/>
      <c r="IH122" s="150"/>
      <c r="II122" s="150"/>
      <c r="IJ122" s="150"/>
      <c r="IK122" s="150"/>
      <c r="IL122" s="150"/>
      <c r="IM122" s="150"/>
      <c r="IN122" s="150"/>
      <c r="IO122" s="150"/>
      <c r="IP122" s="150"/>
      <c r="IQ122" s="150"/>
      <c r="IR122" s="150"/>
      <c r="IS122" s="150"/>
      <c r="IT122" s="150"/>
      <c r="IU122" s="150"/>
      <c r="IV122" s="150"/>
      <c r="IW122" s="150"/>
    </row>
    <row r="123" customFormat="false" ht="12.75" hidden="false" customHeight="false" outlineLevel="0" collapsed="false">
      <c r="A123" s="37"/>
      <c r="B123" s="38"/>
      <c r="C123" s="38"/>
      <c r="D123" s="39"/>
      <c r="E123" s="39"/>
      <c r="F123" s="37"/>
      <c r="G123" s="37"/>
      <c r="H123" s="38"/>
      <c r="I123" s="40"/>
      <c r="J123" s="41"/>
      <c r="K123" s="41"/>
      <c r="L123" s="41"/>
      <c r="M123" s="41"/>
      <c r="N123" s="42"/>
      <c r="O123" s="41"/>
      <c r="P123" s="43"/>
      <c r="Q123" s="90"/>
      <c r="R123" s="93" t="s">
        <v>176</v>
      </c>
      <c r="S123" s="54" t="n">
        <f aca="false">SUM(S106:S112)</f>
        <v>76165.4326225806</v>
      </c>
      <c r="T123" s="45"/>
      <c r="U123" s="46"/>
      <c r="V123" s="46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</row>
    <row r="124" customFormat="false" ht="13.5" hidden="false" customHeight="false" outlineLevel="0" collapsed="false">
      <c r="A124" s="37"/>
      <c r="B124" s="38"/>
      <c r="C124" s="38"/>
      <c r="D124" s="39"/>
      <c r="E124" s="39"/>
      <c r="F124" s="37"/>
      <c r="G124" s="37"/>
      <c r="H124" s="38"/>
      <c r="I124" s="40"/>
      <c r="J124" s="41"/>
      <c r="K124" s="41"/>
      <c r="L124" s="41"/>
      <c r="M124" s="41"/>
      <c r="N124" s="42"/>
      <c r="O124" s="41"/>
      <c r="P124" s="43"/>
      <c r="Q124" s="90"/>
      <c r="R124" s="93" t="s">
        <v>177</v>
      </c>
      <c r="S124" s="113" t="n">
        <f aca="false">+S122-S123</f>
        <v>66677</v>
      </c>
      <c r="T124" s="45"/>
      <c r="U124" s="46"/>
      <c r="V124" s="46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  <c r="IU124" s="23"/>
      <c r="IV124" s="23"/>
      <c r="IW124" s="23"/>
    </row>
    <row r="125" customFormat="false" ht="13.5" hidden="false" customHeight="false" outlineLevel="0" collapsed="false">
      <c r="A125" s="37"/>
      <c r="B125" s="38"/>
      <c r="C125" s="38"/>
      <c r="D125" s="39"/>
      <c r="E125" s="39"/>
      <c r="F125" s="37"/>
      <c r="G125" s="37"/>
      <c r="H125" s="38"/>
      <c r="I125" s="40"/>
      <c r="J125" s="41"/>
      <c r="K125" s="41"/>
      <c r="L125" s="41"/>
      <c r="M125" s="41"/>
      <c r="N125" s="42"/>
      <c r="O125" s="41"/>
      <c r="P125" s="43"/>
      <c r="Q125" s="38"/>
      <c r="R125" s="37"/>
      <c r="S125" s="44"/>
      <c r="T125" s="45"/>
      <c r="U125" s="46"/>
      <c r="V125" s="46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</row>
    <row r="126" customFormat="false" ht="12.75" hidden="false" customHeight="false" outlineLevel="0" collapsed="false">
      <c r="A126" s="128" t="s">
        <v>108</v>
      </c>
      <c r="B126" s="129" t="s">
        <v>109</v>
      </c>
      <c r="C126" s="129" t="s">
        <v>110</v>
      </c>
      <c r="D126" s="130" t="s">
        <v>111</v>
      </c>
      <c r="E126" s="130"/>
      <c r="F126" s="128" t="s">
        <v>112</v>
      </c>
      <c r="G126" s="128" t="s">
        <v>113</v>
      </c>
      <c r="H126" s="129" t="s">
        <v>114</v>
      </c>
      <c r="I126" s="131" t="s">
        <v>115</v>
      </c>
      <c r="J126" s="129" t="s">
        <v>116</v>
      </c>
      <c r="K126" s="129" t="s">
        <v>117</v>
      </c>
      <c r="L126" s="129" t="s">
        <v>118</v>
      </c>
      <c r="M126" s="129" t="s">
        <v>7</v>
      </c>
      <c r="N126" s="132" t="s">
        <v>119</v>
      </c>
      <c r="O126" s="129" t="s">
        <v>120</v>
      </c>
      <c r="P126" s="133" t="s">
        <v>121</v>
      </c>
      <c r="Q126" s="129" t="s">
        <v>122</v>
      </c>
      <c r="R126" s="128" t="s">
        <v>123</v>
      </c>
      <c r="S126" s="105" t="s">
        <v>203</v>
      </c>
      <c r="T126" s="105" t="s">
        <v>223</v>
      </c>
      <c r="U126" s="107"/>
      <c r="V126" s="107"/>
      <c r="W126" s="134"/>
      <c r="X126" s="134"/>
      <c r="Y126" s="134"/>
      <c r="Z126" s="134"/>
      <c r="AA126" s="134"/>
      <c r="AB126" s="134"/>
      <c r="AC126" s="134"/>
      <c r="AD126" s="134"/>
      <c r="AE126" s="134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4"/>
      <c r="AZ126" s="134"/>
      <c r="BA126" s="134"/>
      <c r="BB126" s="134"/>
      <c r="BC126" s="134"/>
      <c r="BD126" s="134"/>
      <c r="BE126" s="134"/>
      <c r="BF126" s="134"/>
      <c r="BG126" s="134"/>
      <c r="BH126" s="134"/>
      <c r="BI126" s="134"/>
      <c r="BJ126" s="134"/>
      <c r="BK126" s="134"/>
      <c r="BL126" s="134"/>
      <c r="BM126" s="134"/>
      <c r="BN126" s="134"/>
      <c r="BO126" s="134"/>
      <c r="BP126" s="134"/>
      <c r="BQ126" s="134"/>
      <c r="BR126" s="134"/>
      <c r="BS126" s="134"/>
      <c r="BT126" s="134"/>
      <c r="BU126" s="134"/>
      <c r="BV126" s="134"/>
      <c r="BW126" s="134"/>
      <c r="BX126" s="134"/>
      <c r="BY126" s="134"/>
      <c r="BZ126" s="134"/>
      <c r="CA126" s="134"/>
      <c r="CB126" s="134"/>
      <c r="CC126" s="134"/>
      <c r="CD126" s="134"/>
      <c r="CE126" s="134"/>
      <c r="CF126" s="134"/>
      <c r="CG126" s="134"/>
      <c r="CH126" s="134"/>
      <c r="CI126" s="134"/>
      <c r="CJ126" s="134"/>
      <c r="CK126" s="134"/>
      <c r="CL126" s="134"/>
      <c r="CM126" s="134"/>
      <c r="CN126" s="134"/>
      <c r="CO126" s="134"/>
      <c r="CP126" s="134"/>
      <c r="CQ126" s="134"/>
      <c r="CR126" s="134"/>
      <c r="CS126" s="134"/>
      <c r="CT126" s="134"/>
      <c r="CU126" s="134"/>
      <c r="CV126" s="134"/>
      <c r="CW126" s="134"/>
      <c r="CX126" s="134"/>
      <c r="CY126" s="134"/>
      <c r="CZ126" s="134"/>
      <c r="DA126" s="134"/>
      <c r="DB126" s="134"/>
      <c r="DC126" s="134"/>
      <c r="DD126" s="134"/>
      <c r="DE126" s="134"/>
      <c r="DF126" s="134"/>
      <c r="DG126" s="134"/>
      <c r="DH126" s="134"/>
      <c r="DI126" s="134"/>
      <c r="DJ126" s="134"/>
      <c r="DK126" s="134"/>
      <c r="DL126" s="134"/>
      <c r="DM126" s="134"/>
      <c r="DN126" s="134"/>
      <c r="DO126" s="134"/>
      <c r="DP126" s="134"/>
      <c r="DQ126" s="134"/>
      <c r="DR126" s="134"/>
      <c r="DS126" s="134"/>
      <c r="DT126" s="134"/>
      <c r="DU126" s="134"/>
      <c r="DV126" s="134"/>
      <c r="DW126" s="134"/>
      <c r="DX126" s="134"/>
      <c r="DY126" s="134"/>
      <c r="DZ126" s="134"/>
      <c r="EA126" s="134"/>
      <c r="EB126" s="134"/>
      <c r="EC126" s="134"/>
      <c r="ED126" s="134"/>
      <c r="EE126" s="134"/>
      <c r="EF126" s="134"/>
      <c r="EG126" s="134"/>
      <c r="EH126" s="134"/>
      <c r="EI126" s="134"/>
      <c r="EJ126" s="134"/>
      <c r="EK126" s="134"/>
      <c r="EL126" s="134"/>
      <c r="EM126" s="134"/>
      <c r="EN126" s="134"/>
      <c r="EO126" s="134"/>
      <c r="EP126" s="134"/>
      <c r="EQ126" s="134"/>
      <c r="ER126" s="134"/>
      <c r="ES126" s="134"/>
      <c r="ET126" s="134"/>
      <c r="EU126" s="134"/>
      <c r="EV126" s="134"/>
      <c r="EW126" s="134"/>
      <c r="EX126" s="134"/>
      <c r="EY126" s="134"/>
      <c r="EZ126" s="134"/>
      <c r="FA126" s="134"/>
      <c r="FB126" s="134"/>
      <c r="FC126" s="134"/>
      <c r="FD126" s="134"/>
      <c r="FE126" s="134"/>
      <c r="FF126" s="134"/>
      <c r="FG126" s="134"/>
      <c r="FH126" s="134"/>
      <c r="FI126" s="134"/>
      <c r="FJ126" s="134"/>
      <c r="FK126" s="134"/>
      <c r="FL126" s="134"/>
      <c r="FM126" s="134"/>
      <c r="FN126" s="134"/>
      <c r="FO126" s="134"/>
      <c r="FP126" s="134"/>
      <c r="FQ126" s="134"/>
      <c r="FR126" s="134"/>
      <c r="FS126" s="134"/>
      <c r="FT126" s="134"/>
      <c r="FU126" s="134"/>
      <c r="FV126" s="134"/>
      <c r="FW126" s="134"/>
      <c r="FX126" s="134"/>
      <c r="FY126" s="134"/>
      <c r="FZ126" s="134"/>
      <c r="GA126" s="134"/>
      <c r="GB126" s="134"/>
      <c r="GC126" s="134"/>
      <c r="GD126" s="134"/>
      <c r="GE126" s="134"/>
      <c r="GF126" s="134"/>
      <c r="GG126" s="134"/>
      <c r="GH126" s="134"/>
      <c r="GI126" s="134"/>
      <c r="GJ126" s="134"/>
      <c r="GK126" s="134"/>
      <c r="GL126" s="134"/>
      <c r="GM126" s="134"/>
      <c r="GN126" s="134"/>
      <c r="GO126" s="134"/>
      <c r="GP126" s="134"/>
      <c r="GQ126" s="134"/>
      <c r="GR126" s="134"/>
      <c r="GS126" s="134"/>
      <c r="GT126" s="134"/>
      <c r="GU126" s="134"/>
      <c r="GV126" s="134"/>
      <c r="GW126" s="134"/>
      <c r="GX126" s="134"/>
      <c r="GY126" s="134"/>
      <c r="GZ126" s="134"/>
      <c r="HA126" s="134"/>
      <c r="HB126" s="134"/>
      <c r="HC126" s="134"/>
      <c r="HD126" s="134"/>
      <c r="HE126" s="134"/>
      <c r="HF126" s="134"/>
      <c r="HG126" s="134"/>
      <c r="HH126" s="134"/>
      <c r="HI126" s="134"/>
      <c r="HJ126" s="134"/>
      <c r="HK126" s="134"/>
      <c r="HL126" s="134"/>
      <c r="HM126" s="134"/>
      <c r="HN126" s="134"/>
      <c r="HO126" s="134"/>
      <c r="HP126" s="134"/>
      <c r="HQ126" s="134"/>
      <c r="HR126" s="134"/>
      <c r="HS126" s="134"/>
      <c r="HT126" s="134"/>
      <c r="HU126" s="134"/>
      <c r="HV126" s="134"/>
      <c r="HW126" s="134"/>
      <c r="HX126" s="134"/>
      <c r="HY126" s="134"/>
      <c r="HZ126" s="134"/>
      <c r="IA126" s="134"/>
      <c r="IB126" s="134"/>
      <c r="IC126" s="134"/>
      <c r="ID126" s="134"/>
      <c r="IE126" s="134"/>
      <c r="IF126" s="134"/>
      <c r="IG126" s="134"/>
      <c r="IH126" s="134"/>
      <c r="II126" s="134"/>
      <c r="IJ126" s="134"/>
      <c r="IK126" s="134"/>
      <c r="IL126" s="134"/>
      <c r="IM126" s="134"/>
      <c r="IN126" s="134"/>
      <c r="IO126" s="134"/>
      <c r="IP126" s="134"/>
      <c r="IQ126" s="134"/>
      <c r="IR126" s="134"/>
      <c r="IS126" s="134"/>
      <c r="IT126" s="134"/>
      <c r="IU126" s="134"/>
      <c r="IV126" s="134"/>
      <c r="IW126" s="134"/>
    </row>
    <row r="127" customFormat="false" ht="12.75" hidden="false" customHeight="false" outlineLevel="0" collapsed="false">
      <c r="A127" s="37" t="s">
        <v>213</v>
      </c>
      <c r="B127" s="38" t="s">
        <v>245</v>
      </c>
      <c r="C127" s="38" t="s">
        <v>217</v>
      </c>
      <c r="D127" s="39" t="n">
        <v>36342</v>
      </c>
      <c r="E127" s="39" t="n">
        <v>39172</v>
      </c>
      <c r="F127" s="37" t="s">
        <v>266</v>
      </c>
      <c r="G127" s="37" t="s">
        <v>267</v>
      </c>
      <c r="H127" s="38" t="s">
        <v>263</v>
      </c>
      <c r="I127" s="40" t="n">
        <f aca="false">10.81/I$1</f>
        <v>0.348709677419355</v>
      </c>
      <c r="J127" s="41" t="n">
        <v>0</v>
      </c>
      <c r="K127" s="41" t="n">
        <v>0.0022</v>
      </c>
      <c r="L127" s="41" t="n">
        <v>0.0075</v>
      </c>
      <c r="M127" s="41" t="n">
        <v>0</v>
      </c>
      <c r="N127" s="161" t="n">
        <v>0.0131</v>
      </c>
      <c r="O127" s="41" t="n">
        <f aca="false">SUM(I127:M127)</f>
        <v>0.358409677419355</v>
      </c>
      <c r="P127" s="43" t="n">
        <v>29667</v>
      </c>
      <c r="Q127" s="38" t="n">
        <v>35000</v>
      </c>
      <c r="R127" s="162" t="s">
        <v>268</v>
      </c>
      <c r="S127" s="110" t="n">
        <f aca="false">I127*I$1*Q127</f>
        <v>378350</v>
      </c>
      <c r="T127" s="44"/>
      <c r="U127" s="46" t="s">
        <v>269</v>
      </c>
      <c r="V127" s="46"/>
      <c r="W127" s="23" t="s">
        <v>155</v>
      </c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</row>
    <row r="128" customFormat="false" ht="12" hidden="false" customHeight="true" outlineLevel="0" collapsed="false">
      <c r="A128" s="37" t="s">
        <v>143</v>
      </c>
      <c r="B128" s="38" t="s">
        <v>270</v>
      </c>
      <c r="C128" s="38" t="s">
        <v>259</v>
      </c>
      <c r="D128" s="39" t="n">
        <v>36617</v>
      </c>
      <c r="E128" s="39" t="n">
        <v>36829</v>
      </c>
      <c r="F128" s="37" t="n">
        <v>4</v>
      </c>
      <c r="G128" s="37" t="n">
        <v>6</v>
      </c>
      <c r="H128" s="38" t="s">
        <v>153</v>
      </c>
      <c r="I128" s="40" t="n">
        <f aca="false">0.76/I$1</f>
        <v>0.0245161290322581</v>
      </c>
      <c r="J128" s="41" t="n">
        <v>0</v>
      </c>
      <c r="K128" s="41" t="n">
        <v>0</v>
      </c>
      <c r="L128" s="41" t="n">
        <v>0</v>
      </c>
      <c r="M128" s="41" t="n">
        <v>0</v>
      </c>
      <c r="N128" s="135" t="n">
        <v>0.0101</v>
      </c>
      <c r="O128" s="41" t="n">
        <f aca="false">SUM(I128:M128)</f>
        <v>0.0245161290322581</v>
      </c>
      <c r="P128" s="43" t="n">
        <v>33141</v>
      </c>
      <c r="Q128" s="38" t="n">
        <v>0</v>
      </c>
      <c r="R128" s="160" t="s">
        <v>9</v>
      </c>
      <c r="S128" s="110" t="n">
        <f aca="false">I128*I$1*Q128</f>
        <v>0</v>
      </c>
      <c r="T128" s="44"/>
      <c r="U128" s="46" t="n">
        <v>238860</v>
      </c>
      <c r="V128" s="46"/>
      <c r="W128" s="23" t="s">
        <v>222</v>
      </c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  <c r="IU128" s="23"/>
      <c r="IV128" s="23"/>
      <c r="IW128" s="23"/>
    </row>
    <row r="129" customFormat="false" ht="12" hidden="false" customHeight="true" outlineLevel="0" collapsed="false">
      <c r="A129" s="37" t="s">
        <v>271</v>
      </c>
      <c r="B129" s="38" t="s">
        <v>245</v>
      </c>
      <c r="C129" s="38" t="s">
        <v>259</v>
      </c>
      <c r="D129" s="39" t="n">
        <v>36896</v>
      </c>
      <c r="E129" s="39" t="n">
        <v>36922</v>
      </c>
      <c r="F129" s="37" t="s">
        <v>272</v>
      </c>
      <c r="G129" s="37" t="s">
        <v>273</v>
      </c>
      <c r="H129" s="38" t="s">
        <v>153</v>
      </c>
      <c r="I129" s="40" t="n">
        <v>0</v>
      </c>
      <c r="J129" s="41" t="n">
        <v>0</v>
      </c>
      <c r="K129" s="41" t="n">
        <v>0</v>
      </c>
      <c r="L129" s="41" t="n">
        <v>0</v>
      </c>
      <c r="M129" s="41" t="n">
        <v>0</v>
      </c>
      <c r="N129" s="135" t="n">
        <v>0.0101</v>
      </c>
      <c r="O129" s="41" t="n">
        <f aca="false">SUM(I129:M129)</f>
        <v>0</v>
      </c>
      <c r="P129" s="43" t="n">
        <v>2891</v>
      </c>
      <c r="Q129" s="38" t="n">
        <v>5000</v>
      </c>
      <c r="R129" s="160" t="s">
        <v>274</v>
      </c>
      <c r="S129" s="163"/>
      <c r="T129" s="44"/>
      <c r="U129" s="46" t="n">
        <v>238860</v>
      </c>
      <c r="V129" s="46"/>
      <c r="W129" s="23" t="s">
        <v>155</v>
      </c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  <c r="IU129" s="23"/>
      <c r="IV129" s="23"/>
      <c r="IW129" s="23"/>
    </row>
    <row r="130" customFormat="false" ht="12.75" hidden="false" customHeight="false" outlineLevel="0" collapsed="false">
      <c r="A130" s="93" t="s">
        <v>9</v>
      </c>
      <c r="B130" s="88" t="s">
        <v>9</v>
      </c>
      <c r="C130" s="88" t="s">
        <v>9</v>
      </c>
      <c r="D130" s="94" t="s">
        <v>9</v>
      </c>
      <c r="E130" s="94" t="s">
        <v>9</v>
      </c>
      <c r="F130" s="93" t="s">
        <v>9</v>
      </c>
      <c r="G130" s="93" t="s">
        <v>9</v>
      </c>
      <c r="H130" s="88" t="s">
        <v>9</v>
      </c>
      <c r="I130" s="96" t="s">
        <v>9</v>
      </c>
      <c r="J130" s="87" t="s">
        <v>9</v>
      </c>
      <c r="K130" s="87" t="s">
        <v>9</v>
      </c>
      <c r="L130" s="87" t="s">
        <v>9</v>
      </c>
      <c r="M130" s="87" t="s">
        <v>265</v>
      </c>
      <c r="N130" s="161" t="s">
        <v>9</v>
      </c>
      <c r="O130" s="87" t="s">
        <v>9</v>
      </c>
      <c r="P130" s="149" t="s">
        <v>9</v>
      </c>
      <c r="Q130" s="88" t="s">
        <v>9</v>
      </c>
      <c r="R130" s="93" t="s">
        <v>9</v>
      </c>
      <c r="S130" s="144"/>
      <c r="T130" s="54" t="n">
        <f aca="false">SUM(T126:T128)</f>
        <v>0</v>
      </c>
      <c r="U130" s="56"/>
      <c r="V130" s="56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150"/>
      <c r="BN130" s="150"/>
      <c r="BO130" s="150"/>
      <c r="BP130" s="150"/>
      <c r="BQ130" s="150"/>
      <c r="BR130" s="150"/>
      <c r="BS130" s="150"/>
      <c r="BT130" s="150"/>
      <c r="BU130" s="150"/>
      <c r="BV130" s="150"/>
      <c r="BW130" s="150"/>
      <c r="BX130" s="150"/>
      <c r="BY130" s="150"/>
      <c r="BZ130" s="150"/>
      <c r="CA130" s="150"/>
      <c r="CB130" s="150"/>
      <c r="CC130" s="150"/>
      <c r="CD130" s="150"/>
      <c r="CE130" s="150"/>
      <c r="CF130" s="150"/>
      <c r="CG130" s="150"/>
      <c r="CH130" s="150"/>
      <c r="CI130" s="150"/>
      <c r="CJ130" s="150"/>
      <c r="CK130" s="150"/>
      <c r="CL130" s="150"/>
      <c r="CM130" s="150"/>
      <c r="CN130" s="150"/>
      <c r="CO130" s="150"/>
      <c r="CP130" s="150"/>
      <c r="CQ130" s="150"/>
      <c r="CR130" s="150"/>
      <c r="CS130" s="150"/>
      <c r="CT130" s="150"/>
      <c r="CU130" s="150"/>
      <c r="CV130" s="150"/>
      <c r="CW130" s="150"/>
      <c r="CX130" s="150"/>
      <c r="CY130" s="150"/>
      <c r="CZ130" s="150"/>
      <c r="DA130" s="150"/>
      <c r="DB130" s="150"/>
      <c r="DC130" s="150"/>
      <c r="DD130" s="150"/>
      <c r="DE130" s="150"/>
      <c r="DF130" s="150"/>
      <c r="DG130" s="150"/>
      <c r="DH130" s="150"/>
      <c r="DI130" s="150"/>
      <c r="DJ130" s="150"/>
      <c r="DK130" s="150"/>
      <c r="DL130" s="150"/>
      <c r="DM130" s="150"/>
      <c r="DN130" s="150"/>
      <c r="DO130" s="150"/>
      <c r="DP130" s="150"/>
      <c r="DQ130" s="150"/>
      <c r="DR130" s="150"/>
      <c r="DS130" s="150"/>
      <c r="DT130" s="150"/>
      <c r="DU130" s="150"/>
      <c r="DV130" s="150"/>
      <c r="DW130" s="150"/>
      <c r="DX130" s="150"/>
      <c r="DY130" s="150"/>
      <c r="DZ130" s="150"/>
      <c r="EA130" s="150"/>
      <c r="EB130" s="150"/>
      <c r="EC130" s="150"/>
      <c r="ED130" s="150"/>
      <c r="EE130" s="150"/>
      <c r="EF130" s="150"/>
      <c r="EG130" s="150"/>
      <c r="EH130" s="150"/>
      <c r="EI130" s="150"/>
      <c r="EJ130" s="150"/>
      <c r="EK130" s="150"/>
      <c r="EL130" s="150"/>
      <c r="EM130" s="150"/>
      <c r="EN130" s="150"/>
      <c r="EO130" s="150"/>
      <c r="EP130" s="150"/>
      <c r="EQ130" s="150"/>
      <c r="ER130" s="150"/>
      <c r="ES130" s="150"/>
      <c r="ET130" s="150"/>
      <c r="EU130" s="150"/>
      <c r="EV130" s="150"/>
      <c r="EW130" s="150"/>
      <c r="EX130" s="150"/>
      <c r="EY130" s="150"/>
      <c r="EZ130" s="150"/>
      <c r="FA130" s="150"/>
      <c r="FB130" s="150"/>
      <c r="FC130" s="150"/>
      <c r="FD130" s="150"/>
      <c r="FE130" s="150"/>
      <c r="FF130" s="150"/>
      <c r="FG130" s="150"/>
      <c r="FH130" s="150"/>
      <c r="FI130" s="150"/>
      <c r="FJ130" s="150"/>
      <c r="FK130" s="150"/>
      <c r="FL130" s="150"/>
      <c r="FM130" s="150"/>
      <c r="FN130" s="150"/>
      <c r="FO130" s="150"/>
      <c r="FP130" s="150"/>
      <c r="FQ130" s="150"/>
      <c r="FR130" s="150"/>
      <c r="FS130" s="150"/>
      <c r="FT130" s="150"/>
      <c r="FU130" s="150"/>
      <c r="FV130" s="150"/>
      <c r="FW130" s="150"/>
      <c r="FX130" s="150"/>
      <c r="FY130" s="150"/>
      <c r="FZ130" s="150"/>
      <c r="GA130" s="150"/>
      <c r="GB130" s="150"/>
      <c r="GC130" s="150"/>
      <c r="GD130" s="150"/>
      <c r="GE130" s="150"/>
      <c r="GF130" s="150"/>
      <c r="GG130" s="150"/>
      <c r="GH130" s="150"/>
      <c r="GI130" s="150"/>
      <c r="GJ130" s="150"/>
      <c r="GK130" s="150"/>
      <c r="GL130" s="150"/>
      <c r="GM130" s="150"/>
      <c r="GN130" s="150"/>
      <c r="GO130" s="150"/>
      <c r="GP130" s="150"/>
      <c r="GQ130" s="150"/>
      <c r="GR130" s="150"/>
      <c r="GS130" s="150"/>
      <c r="GT130" s="150"/>
      <c r="GU130" s="150"/>
      <c r="GV130" s="150"/>
      <c r="GW130" s="150"/>
      <c r="GX130" s="150"/>
      <c r="GY130" s="150"/>
      <c r="GZ130" s="150"/>
      <c r="HA130" s="150"/>
      <c r="HB130" s="150"/>
      <c r="HC130" s="150"/>
      <c r="HD130" s="150"/>
      <c r="HE130" s="150"/>
      <c r="HF130" s="150"/>
      <c r="HG130" s="150"/>
      <c r="HH130" s="150"/>
      <c r="HI130" s="150"/>
      <c r="HJ130" s="150"/>
      <c r="HK130" s="150"/>
      <c r="HL130" s="150"/>
      <c r="HM130" s="150"/>
      <c r="HN130" s="150"/>
      <c r="HO130" s="150"/>
      <c r="HP130" s="150"/>
      <c r="HQ130" s="150"/>
      <c r="HR130" s="150"/>
      <c r="HS130" s="150"/>
      <c r="HT130" s="150"/>
      <c r="HU130" s="150"/>
      <c r="HV130" s="150"/>
      <c r="HW130" s="150"/>
      <c r="HX130" s="150"/>
      <c r="HY130" s="150"/>
      <c r="HZ130" s="150"/>
      <c r="IA130" s="150"/>
      <c r="IB130" s="150"/>
      <c r="IC130" s="150"/>
      <c r="ID130" s="150"/>
      <c r="IE130" s="150"/>
      <c r="IF130" s="150"/>
      <c r="IG130" s="150"/>
      <c r="IH130" s="150"/>
      <c r="II130" s="150"/>
      <c r="IJ130" s="150"/>
      <c r="IK130" s="150"/>
      <c r="IL130" s="150"/>
      <c r="IM130" s="150"/>
      <c r="IN130" s="150"/>
      <c r="IO130" s="150"/>
      <c r="IP130" s="150"/>
      <c r="IQ130" s="150"/>
      <c r="IR130" s="150"/>
      <c r="IS130" s="150"/>
      <c r="IT130" s="150"/>
      <c r="IU130" s="150"/>
      <c r="IV130" s="150"/>
      <c r="IW130" s="150"/>
    </row>
    <row r="131" customFormat="false" ht="12.75" hidden="false" customHeight="false" outlineLevel="0" collapsed="false">
      <c r="A131" s="93"/>
      <c r="B131" s="88"/>
      <c r="C131" s="88" t="n">
        <f aca="false">65000/12</f>
        <v>5416.66666666667</v>
      </c>
      <c r="D131" s="94"/>
      <c r="E131" s="94"/>
      <c r="F131" s="93"/>
      <c r="G131" s="93"/>
      <c r="H131" s="88"/>
      <c r="I131" s="96"/>
      <c r="J131" s="87"/>
      <c r="K131" s="87"/>
      <c r="L131" s="87"/>
      <c r="M131" s="87"/>
      <c r="N131" s="97"/>
      <c r="O131" s="87"/>
      <c r="P131" s="149"/>
      <c r="Q131" s="88" t="n">
        <f aca="false">SUM(Q127:Q130)</f>
        <v>40000</v>
      </c>
      <c r="R131" s="93" t="s">
        <v>175</v>
      </c>
      <c r="S131" s="144" t="n">
        <f aca="false">SUM(S127:S130)</f>
        <v>378350</v>
      </c>
      <c r="T131" s="54"/>
      <c r="U131" s="55"/>
      <c r="V131" s="56"/>
      <c r="W131" s="56"/>
      <c r="X131" s="150"/>
      <c r="Y131" s="150"/>
      <c r="Z131" s="150"/>
      <c r="AA131" s="150"/>
      <c r="AB131" s="150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  <c r="BI131" s="150"/>
      <c r="BJ131" s="150"/>
      <c r="BK131" s="150"/>
      <c r="BL131" s="150"/>
      <c r="BM131" s="150"/>
      <c r="BN131" s="150"/>
      <c r="BO131" s="150"/>
      <c r="BP131" s="150"/>
      <c r="BQ131" s="150"/>
      <c r="BR131" s="150"/>
      <c r="BS131" s="150"/>
      <c r="BT131" s="150"/>
      <c r="BU131" s="150"/>
      <c r="BV131" s="150"/>
      <c r="BW131" s="150"/>
      <c r="BX131" s="150"/>
      <c r="BY131" s="150"/>
      <c r="BZ131" s="150"/>
      <c r="CA131" s="150"/>
      <c r="CB131" s="150"/>
      <c r="CC131" s="150"/>
      <c r="CD131" s="150"/>
      <c r="CE131" s="150"/>
      <c r="CF131" s="150"/>
      <c r="CG131" s="150"/>
      <c r="CH131" s="150"/>
      <c r="CI131" s="150"/>
      <c r="CJ131" s="150"/>
      <c r="CK131" s="150"/>
      <c r="CL131" s="150"/>
      <c r="CM131" s="150"/>
      <c r="CN131" s="150"/>
      <c r="CO131" s="150"/>
      <c r="CP131" s="150"/>
      <c r="CQ131" s="150"/>
      <c r="CR131" s="150"/>
      <c r="CS131" s="150"/>
      <c r="CT131" s="150"/>
      <c r="CU131" s="150"/>
      <c r="CV131" s="150"/>
      <c r="CW131" s="150"/>
      <c r="CX131" s="150"/>
      <c r="CY131" s="150"/>
      <c r="CZ131" s="150"/>
      <c r="DA131" s="150"/>
      <c r="DB131" s="150"/>
      <c r="DC131" s="150"/>
      <c r="DD131" s="150"/>
      <c r="DE131" s="150"/>
      <c r="DF131" s="150"/>
      <c r="DG131" s="150"/>
      <c r="DH131" s="150"/>
      <c r="DI131" s="150"/>
      <c r="DJ131" s="150"/>
      <c r="DK131" s="150"/>
      <c r="DL131" s="150"/>
      <c r="DM131" s="150"/>
      <c r="DN131" s="150"/>
      <c r="DO131" s="150"/>
      <c r="DP131" s="150"/>
      <c r="DQ131" s="150"/>
      <c r="DR131" s="150"/>
      <c r="DS131" s="150"/>
      <c r="DT131" s="150"/>
      <c r="DU131" s="150"/>
      <c r="DV131" s="150"/>
      <c r="DW131" s="150"/>
      <c r="DX131" s="150"/>
      <c r="DY131" s="150"/>
      <c r="DZ131" s="150"/>
      <c r="EA131" s="150"/>
      <c r="EB131" s="150"/>
      <c r="EC131" s="150"/>
      <c r="ED131" s="150"/>
      <c r="EE131" s="150"/>
      <c r="EF131" s="150"/>
      <c r="EG131" s="150"/>
      <c r="EH131" s="150"/>
      <c r="EI131" s="150"/>
      <c r="EJ131" s="150"/>
      <c r="EK131" s="150"/>
      <c r="EL131" s="150"/>
      <c r="EM131" s="150"/>
      <c r="EN131" s="150"/>
      <c r="EO131" s="150"/>
      <c r="EP131" s="150"/>
      <c r="EQ131" s="150"/>
      <c r="ER131" s="150"/>
      <c r="ES131" s="150"/>
      <c r="ET131" s="150"/>
      <c r="EU131" s="150"/>
      <c r="EV131" s="150"/>
      <c r="EW131" s="150"/>
      <c r="EX131" s="150"/>
      <c r="EY131" s="150"/>
      <c r="EZ131" s="150"/>
      <c r="FA131" s="150"/>
      <c r="FB131" s="150"/>
      <c r="FC131" s="150"/>
      <c r="FD131" s="150"/>
      <c r="FE131" s="150"/>
      <c r="FF131" s="150"/>
      <c r="FG131" s="150"/>
      <c r="FH131" s="150"/>
      <c r="FI131" s="150"/>
      <c r="FJ131" s="150"/>
      <c r="FK131" s="150"/>
      <c r="FL131" s="150"/>
      <c r="FM131" s="150"/>
      <c r="FN131" s="150"/>
      <c r="FO131" s="150"/>
      <c r="FP131" s="150"/>
      <c r="FQ131" s="150"/>
      <c r="FR131" s="150"/>
      <c r="FS131" s="150"/>
      <c r="FT131" s="150"/>
      <c r="FU131" s="150"/>
      <c r="FV131" s="150"/>
      <c r="FW131" s="150"/>
      <c r="FX131" s="150"/>
      <c r="FY131" s="150"/>
      <c r="FZ131" s="150"/>
      <c r="GA131" s="150"/>
      <c r="GB131" s="150"/>
      <c r="GC131" s="150"/>
      <c r="GD131" s="150"/>
      <c r="GE131" s="150"/>
      <c r="GF131" s="150"/>
      <c r="GG131" s="150"/>
      <c r="GH131" s="150"/>
      <c r="GI131" s="150"/>
      <c r="GJ131" s="150"/>
      <c r="GK131" s="150"/>
      <c r="GL131" s="150"/>
      <c r="GM131" s="150"/>
      <c r="GN131" s="150"/>
      <c r="GO131" s="150"/>
      <c r="GP131" s="150"/>
      <c r="GQ131" s="150"/>
      <c r="GR131" s="150"/>
      <c r="GS131" s="150"/>
      <c r="GT131" s="150"/>
      <c r="GU131" s="150"/>
      <c r="GV131" s="150"/>
      <c r="GW131" s="150"/>
      <c r="GX131" s="150"/>
      <c r="GY131" s="150"/>
      <c r="GZ131" s="150"/>
      <c r="HA131" s="150"/>
      <c r="HB131" s="150"/>
      <c r="HC131" s="150"/>
      <c r="HD131" s="150"/>
      <c r="HE131" s="150"/>
      <c r="HF131" s="150"/>
      <c r="HG131" s="150"/>
      <c r="HH131" s="150"/>
      <c r="HI131" s="150"/>
      <c r="HJ131" s="150"/>
      <c r="HK131" s="150"/>
      <c r="HL131" s="150"/>
      <c r="HM131" s="150"/>
      <c r="HN131" s="150"/>
      <c r="HO131" s="150"/>
      <c r="HP131" s="150"/>
      <c r="HQ131" s="150"/>
      <c r="HR131" s="150"/>
      <c r="HS131" s="150"/>
      <c r="HT131" s="150"/>
      <c r="HU131" s="150"/>
      <c r="HV131" s="150"/>
      <c r="HW131" s="150"/>
      <c r="HX131" s="150"/>
      <c r="HY131" s="150"/>
      <c r="HZ131" s="150"/>
      <c r="IA131" s="150"/>
      <c r="IB131" s="150"/>
      <c r="IC131" s="150"/>
      <c r="ID131" s="150"/>
      <c r="IE131" s="150"/>
      <c r="IF131" s="150"/>
      <c r="IG131" s="150"/>
      <c r="IH131" s="150"/>
      <c r="II131" s="150"/>
      <c r="IJ131" s="150"/>
      <c r="IK131" s="150"/>
      <c r="IL131" s="150"/>
      <c r="IM131" s="150"/>
      <c r="IN131" s="150"/>
      <c r="IO131" s="150"/>
      <c r="IP131" s="150"/>
      <c r="IQ131" s="150"/>
      <c r="IR131" s="150"/>
      <c r="IS131" s="150"/>
      <c r="IT131" s="150"/>
      <c r="IU131" s="150"/>
      <c r="IV131" s="150"/>
      <c r="IW131" s="150"/>
    </row>
    <row r="132" customFormat="false" ht="12.75" hidden="false" customHeight="false" outlineLevel="0" collapsed="false">
      <c r="A132" s="37"/>
      <c r="B132" s="38"/>
      <c r="C132" s="38"/>
      <c r="D132" s="39"/>
      <c r="E132" s="39"/>
      <c r="F132" s="37"/>
      <c r="G132" s="37"/>
      <c r="H132" s="38"/>
      <c r="I132" s="40"/>
      <c r="J132" s="41"/>
      <c r="K132" s="41"/>
      <c r="L132" s="41"/>
      <c r="M132" s="41"/>
      <c r="N132" s="42"/>
      <c r="O132" s="41"/>
      <c r="P132" s="43"/>
      <c r="Q132" s="90"/>
      <c r="R132" s="93" t="s">
        <v>176</v>
      </c>
      <c r="S132" s="144" t="n">
        <f aca="false">SUM(S127)</f>
        <v>378350</v>
      </c>
      <c r="T132" s="44"/>
      <c r="U132" s="45"/>
      <c r="V132" s="46"/>
      <c r="W132" s="46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</row>
    <row r="133" customFormat="false" ht="13.5" hidden="false" customHeight="false" outlineLevel="0" collapsed="false">
      <c r="A133" s="37"/>
      <c r="B133" s="38"/>
      <c r="C133" s="38"/>
      <c r="D133" s="39"/>
      <c r="E133" s="39"/>
      <c r="F133" s="37"/>
      <c r="G133" s="37"/>
      <c r="H133" s="38"/>
      <c r="I133" s="40"/>
      <c r="J133" s="41"/>
      <c r="K133" s="41"/>
      <c r="L133" s="41"/>
      <c r="M133" s="41"/>
      <c r="N133" s="42"/>
      <c r="O133" s="41"/>
      <c r="P133" s="43"/>
      <c r="Q133" s="90"/>
      <c r="R133" s="93" t="s">
        <v>177</v>
      </c>
      <c r="S133" s="113" t="n">
        <f aca="false">+S131-S132</f>
        <v>0</v>
      </c>
      <c r="T133" s="44"/>
      <c r="U133" s="45"/>
      <c r="V133" s="46"/>
      <c r="W133" s="46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  <c r="IU133" s="23"/>
      <c r="IV133" s="23"/>
      <c r="IW133" s="23"/>
    </row>
    <row r="134" customFormat="false" ht="13.5" hidden="false" customHeight="false" outlineLevel="0" collapsed="false">
      <c r="A134" s="37"/>
      <c r="B134" s="38"/>
      <c r="C134" s="38"/>
      <c r="D134" s="39"/>
      <c r="E134" s="39"/>
      <c r="F134" s="37"/>
      <c r="G134" s="37"/>
      <c r="H134" s="38"/>
      <c r="I134" s="40"/>
      <c r="J134" s="41"/>
      <c r="K134" s="41"/>
      <c r="L134" s="41"/>
      <c r="M134" s="41"/>
      <c r="N134" s="42"/>
      <c r="O134" s="41"/>
      <c r="P134" s="43"/>
      <c r="Q134" s="38"/>
      <c r="R134" s="37"/>
      <c r="S134" s="44"/>
      <c r="T134" s="44"/>
      <c r="U134" s="45"/>
      <c r="V134" s="46"/>
      <c r="W134" s="46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</row>
    <row r="135" customFormat="false" ht="12.75" hidden="false" customHeight="false" outlineLevel="0" collapsed="false">
      <c r="A135" s="128" t="s">
        <v>108</v>
      </c>
      <c r="B135" s="129" t="s">
        <v>109</v>
      </c>
      <c r="C135" s="129" t="s">
        <v>110</v>
      </c>
      <c r="D135" s="130" t="s">
        <v>111</v>
      </c>
      <c r="E135" s="130"/>
      <c r="F135" s="128" t="s">
        <v>112</v>
      </c>
      <c r="G135" s="128" t="s">
        <v>113</v>
      </c>
      <c r="H135" s="129" t="s">
        <v>212</v>
      </c>
      <c r="I135" s="131" t="s">
        <v>115</v>
      </c>
      <c r="J135" s="129" t="s">
        <v>116</v>
      </c>
      <c r="K135" s="129" t="s">
        <v>117</v>
      </c>
      <c r="L135" s="129" t="s">
        <v>118</v>
      </c>
      <c r="M135" s="129" t="s">
        <v>7</v>
      </c>
      <c r="N135" s="147" t="s">
        <v>119</v>
      </c>
      <c r="O135" s="129" t="s">
        <v>120</v>
      </c>
      <c r="P135" s="133" t="s">
        <v>147</v>
      </c>
      <c r="Q135" s="129" t="s">
        <v>122</v>
      </c>
      <c r="R135" s="128" t="s">
        <v>123</v>
      </c>
      <c r="S135" s="105" t="s">
        <v>124</v>
      </c>
      <c r="T135" s="148" t="s">
        <v>148</v>
      </c>
      <c r="U135" s="107"/>
      <c r="V135" s="107"/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/>
      <c r="AG135" s="134"/>
      <c r="AH135" s="134"/>
      <c r="AI135" s="134"/>
      <c r="AJ135" s="134"/>
      <c r="AK135" s="134"/>
      <c r="AL135" s="134"/>
      <c r="AM135" s="134"/>
      <c r="AN135" s="134"/>
      <c r="AO135" s="134"/>
      <c r="AP135" s="134"/>
      <c r="AQ135" s="134"/>
      <c r="AR135" s="134"/>
      <c r="AS135" s="134"/>
      <c r="AT135" s="134"/>
      <c r="AU135" s="134"/>
      <c r="AV135" s="134"/>
      <c r="AW135" s="134"/>
      <c r="AX135" s="134"/>
      <c r="AY135" s="134"/>
      <c r="AZ135" s="134"/>
      <c r="BA135" s="134"/>
      <c r="BB135" s="134"/>
      <c r="BC135" s="134"/>
      <c r="BD135" s="134"/>
      <c r="BE135" s="134"/>
      <c r="BF135" s="134"/>
      <c r="BG135" s="134"/>
      <c r="BH135" s="134"/>
      <c r="BI135" s="134"/>
      <c r="BJ135" s="134"/>
      <c r="BK135" s="134"/>
      <c r="BL135" s="134"/>
      <c r="BM135" s="134"/>
      <c r="BN135" s="134"/>
      <c r="BO135" s="134"/>
      <c r="BP135" s="134"/>
      <c r="BQ135" s="134"/>
      <c r="BR135" s="134"/>
      <c r="BS135" s="134"/>
      <c r="BT135" s="134"/>
      <c r="BU135" s="134"/>
      <c r="BV135" s="134"/>
      <c r="BW135" s="134"/>
      <c r="BX135" s="134"/>
      <c r="BY135" s="134"/>
      <c r="BZ135" s="134"/>
      <c r="CA135" s="134"/>
      <c r="CB135" s="134"/>
      <c r="CC135" s="134"/>
      <c r="CD135" s="134"/>
      <c r="CE135" s="134"/>
      <c r="CF135" s="134"/>
      <c r="CG135" s="134"/>
      <c r="CH135" s="134"/>
      <c r="CI135" s="134"/>
      <c r="CJ135" s="134"/>
      <c r="CK135" s="134"/>
      <c r="CL135" s="134"/>
      <c r="CM135" s="134"/>
      <c r="CN135" s="134"/>
      <c r="CO135" s="134"/>
      <c r="CP135" s="134"/>
      <c r="CQ135" s="134"/>
      <c r="CR135" s="134"/>
      <c r="CS135" s="134"/>
      <c r="CT135" s="134"/>
      <c r="CU135" s="134"/>
      <c r="CV135" s="134"/>
      <c r="CW135" s="134"/>
      <c r="CX135" s="134"/>
      <c r="CY135" s="134"/>
      <c r="CZ135" s="134"/>
      <c r="DA135" s="134"/>
      <c r="DB135" s="134"/>
      <c r="DC135" s="134"/>
      <c r="DD135" s="134"/>
      <c r="DE135" s="134"/>
      <c r="DF135" s="134"/>
      <c r="DG135" s="134"/>
      <c r="DH135" s="134"/>
      <c r="DI135" s="134"/>
      <c r="DJ135" s="134"/>
      <c r="DK135" s="134"/>
      <c r="DL135" s="134"/>
      <c r="DM135" s="134"/>
      <c r="DN135" s="134"/>
      <c r="DO135" s="134"/>
      <c r="DP135" s="134"/>
      <c r="DQ135" s="134"/>
      <c r="DR135" s="134"/>
      <c r="DS135" s="134"/>
      <c r="DT135" s="134"/>
      <c r="DU135" s="134"/>
      <c r="DV135" s="134"/>
      <c r="DW135" s="134"/>
      <c r="DX135" s="134"/>
      <c r="DY135" s="134"/>
      <c r="DZ135" s="134"/>
      <c r="EA135" s="134"/>
      <c r="EB135" s="134"/>
      <c r="EC135" s="134"/>
      <c r="ED135" s="134"/>
      <c r="EE135" s="134"/>
      <c r="EF135" s="134"/>
      <c r="EG135" s="134"/>
      <c r="EH135" s="134"/>
      <c r="EI135" s="134"/>
      <c r="EJ135" s="134"/>
      <c r="EK135" s="134"/>
      <c r="EL135" s="134"/>
      <c r="EM135" s="134"/>
      <c r="EN135" s="134"/>
      <c r="EO135" s="134"/>
      <c r="EP135" s="134"/>
      <c r="EQ135" s="134"/>
      <c r="ER135" s="134"/>
      <c r="ES135" s="134"/>
      <c r="ET135" s="134"/>
      <c r="EU135" s="134"/>
      <c r="EV135" s="134"/>
      <c r="EW135" s="134"/>
      <c r="EX135" s="134"/>
      <c r="EY135" s="134"/>
      <c r="EZ135" s="134"/>
      <c r="FA135" s="134"/>
      <c r="FB135" s="134"/>
      <c r="FC135" s="134"/>
      <c r="FD135" s="134"/>
      <c r="FE135" s="134"/>
      <c r="FF135" s="134"/>
      <c r="FG135" s="134"/>
      <c r="FH135" s="134"/>
      <c r="FI135" s="134"/>
      <c r="FJ135" s="134"/>
      <c r="FK135" s="134"/>
      <c r="FL135" s="134"/>
      <c r="FM135" s="134"/>
      <c r="FN135" s="134"/>
      <c r="FO135" s="134"/>
      <c r="FP135" s="134"/>
      <c r="FQ135" s="134"/>
      <c r="FR135" s="134"/>
      <c r="FS135" s="134"/>
      <c r="FT135" s="134"/>
      <c r="FU135" s="134"/>
      <c r="FV135" s="134"/>
      <c r="FW135" s="134"/>
      <c r="FX135" s="134"/>
      <c r="FY135" s="134"/>
      <c r="FZ135" s="134"/>
      <c r="GA135" s="134"/>
      <c r="GB135" s="134"/>
      <c r="GC135" s="134"/>
      <c r="GD135" s="134"/>
      <c r="GE135" s="134"/>
      <c r="GF135" s="134"/>
      <c r="GG135" s="134"/>
      <c r="GH135" s="134"/>
      <c r="GI135" s="134"/>
      <c r="GJ135" s="134"/>
      <c r="GK135" s="134"/>
      <c r="GL135" s="134"/>
      <c r="GM135" s="134"/>
      <c r="GN135" s="134"/>
      <c r="GO135" s="134"/>
      <c r="GP135" s="134"/>
      <c r="GQ135" s="134"/>
      <c r="GR135" s="134"/>
      <c r="GS135" s="134"/>
      <c r="GT135" s="134"/>
      <c r="GU135" s="134"/>
      <c r="GV135" s="134"/>
      <c r="GW135" s="134"/>
      <c r="GX135" s="134"/>
      <c r="GY135" s="134"/>
      <c r="GZ135" s="134"/>
      <c r="HA135" s="134"/>
      <c r="HB135" s="134"/>
      <c r="HC135" s="134"/>
      <c r="HD135" s="134"/>
      <c r="HE135" s="134"/>
      <c r="HF135" s="134"/>
      <c r="HG135" s="134"/>
      <c r="HH135" s="134"/>
      <c r="HI135" s="134"/>
      <c r="HJ135" s="134"/>
      <c r="HK135" s="134"/>
      <c r="HL135" s="134"/>
      <c r="HM135" s="134"/>
      <c r="HN135" s="134"/>
      <c r="HO135" s="134"/>
      <c r="HP135" s="134"/>
      <c r="HQ135" s="134"/>
      <c r="HR135" s="134"/>
      <c r="HS135" s="134"/>
      <c r="HT135" s="134"/>
      <c r="HU135" s="134"/>
      <c r="HV135" s="134"/>
      <c r="HW135" s="134"/>
      <c r="HX135" s="134"/>
      <c r="HY135" s="134"/>
      <c r="HZ135" s="134"/>
      <c r="IA135" s="134"/>
      <c r="IB135" s="134"/>
      <c r="IC135" s="134"/>
      <c r="ID135" s="134"/>
      <c r="IE135" s="134"/>
      <c r="IF135" s="134"/>
      <c r="IG135" s="134"/>
      <c r="IH135" s="134"/>
      <c r="II135" s="134"/>
      <c r="IJ135" s="134"/>
      <c r="IK135" s="134"/>
      <c r="IL135" s="134"/>
      <c r="IM135" s="134"/>
      <c r="IN135" s="134"/>
      <c r="IO135" s="134"/>
      <c r="IP135" s="134"/>
      <c r="IQ135" s="134"/>
      <c r="IR135" s="134"/>
      <c r="IS135" s="134"/>
      <c r="IT135" s="134"/>
      <c r="IU135" s="134"/>
      <c r="IV135" s="134"/>
      <c r="IW135" s="134"/>
    </row>
    <row r="136" customFormat="false" ht="12.75" hidden="false" customHeight="false" outlineLevel="0" collapsed="false">
      <c r="A136" s="164" t="s">
        <v>143</v>
      </c>
      <c r="B136" s="165" t="s">
        <v>275</v>
      </c>
      <c r="C136" s="165" t="s">
        <v>276</v>
      </c>
      <c r="D136" s="166" t="n">
        <v>36982</v>
      </c>
      <c r="E136" s="166" t="n">
        <v>37195</v>
      </c>
      <c r="F136" s="164" t="s">
        <v>277</v>
      </c>
      <c r="G136" s="164" t="s">
        <v>278</v>
      </c>
      <c r="H136" s="165" t="s">
        <v>9</v>
      </c>
      <c r="I136" s="167" t="n">
        <f aca="false">0.9171/I$1</f>
        <v>0.0295838709677419</v>
      </c>
      <c r="J136" s="168"/>
      <c r="K136" s="168"/>
      <c r="L136" s="168"/>
      <c r="M136" s="168"/>
      <c r="N136" s="169"/>
      <c r="O136" s="168"/>
      <c r="P136" s="170" t="n">
        <v>910077</v>
      </c>
      <c r="Q136" s="165" t="n">
        <v>10000</v>
      </c>
      <c r="R136" s="164" t="s">
        <v>9</v>
      </c>
      <c r="S136" s="171" t="n">
        <f aca="false">I136*$I$1*Q136</f>
        <v>9171</v>
      </c>
      <c r="T136" s="172" t="n">
        <v>703658</v>
      </c>
      <c r="U136" s="172"/>
      <c r="V136" s="173" t="s">
        <v>279</v>
      </c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173"/>
      <c r="BN136" s="173"/>
      <c r="BO136" s="173"/>
      <c r="BP136" s="173"/>
      <c r="BQ136" s="173"/>
      <c r="BR136" s="173"/>
      <c r="BS136" s="173"/>
      <c r="BT136" s="173"/>
      <c r="BU136" s="173"/>
      <c r="BV136" s="173"/>
      <c r="BW136" s="173"/>
      <c r="BX136" s="173"/>
      <c r="BY136" s="173"/>
      <c r="BZ136" s="173"/>
      <c r="CA136" s="173"/>
      <c r="CB136" s="173"/>
      <c r="CC136" s="173"/>
      <c r="CD136" s="173"/>
      <c r="CE136" s="173"/>
      <c r="CF136" s="173"/>
      <c r="CG136" s="173"/>
      <c r="CH136" s="173"/>
      <c r="CI136" s="173"/>
      <c r="CJ136" s="173"/>
      <c r="CK136" s="173"/>
      <c r="CL136" s="173"/>
      <c r="CM136" s="173"/>
      <c r="CN136" s="173"/>
      <c r="CO136" s="173"/>
      <c r="CP136" s="173"/>
      <c r="CQ136" s="173"/>
      <c r="CR136" s="173"/>
      <c r="CS136" s="173"/>
      <c r="CT136" s="173"/>
      <c r="CU136" s="173"/>
      <c r="CV136" s="173"/>
      <c r="CW136" s="173"/>
      <c r="CX136" s="173"/>
      <c r="CY136" s="173"/>
      <c r="CZ136" s="173"/>
      <c r="DA136" s="173"/>
      <c r="DB136" s="173"/>
      <c r="DC136" s="173"/>
      <c r="DD136" s="173"/>
      <c r="DE136" s="173"/>
      <c r="DF136" s="173"/>
      <c r="DG136" s="173"/>
      <c r="DH136" s="173"/>
      <c r="DI136" s="173"/>
      <c r="DJ136" s="173"/>
      <c r="DK136" s="173"/>
      <c r="DL136" s="173"/>
      <c r="DM136" s="173"/>
      <c r="DN136" s="173"/>
      <c r="DO136" s="173"/>
      <c r="DP136" s="173"/>
      <c r="DQ136" s="173"/>
      <c r="DR136" s="173"/>
      <c r="DS136" s="173"/>
      <c r="DT136" s="173"/>
      <c r="DU136" s="173"/>
      <c r="DV136" s="173"/>
      <c r="DW136" s="173"/>
      <c r="DX136" s="173"/>
      <c r="DY136" s="173"/>
      <c r="DZ136" s="173"/>
      <c r="EA136" s="173"/>
      <c r="EB136" s="173"/>
      <c r="EC136" s="173"/>
      <c r="ED136" s="173"/>
      <c r="EE136" s="173"/>
      <c r="EF136" s="173"/>
      <c r="EG136" s="173"/>
      <c r="EH136" s="173"/>
      <c r="EI136" s="173"/>
      <c r="EJ136" s="173"/>
      <c r="EK136" s="173"/>
      <c r="EL136" s="173"/>
      <c r="EM136" s="173"/>
      <c r="EN136" s="173"/>
      <c r="EO136" s="173"/>
      <c r="EP136" s="173"/>
      <c r="EQ136" s="173"/>
      <c r="ER136" s="173"/>
      <c r="ES136" s="173"/>
      <c r="ET136" s="173"/>
      <c r="EU136" s="173"/>
      <c r="EV136" s="173"/>
      <c r="EW136" s="173"/>
      <c r="EX136" s="173"/>
      <c r="EY136" s="173"/>
      <c r="EZ136" s="173"/>
      <c r="FA136" s="173"/>
      <c r="FB136" s="173"/>
      <c r="FC136" s="173"/>
      <c r="FD136" s="173"/>
      <c r="FE136" s="173"/>
      <c r="FF136" s="173"/>
      <c r="FG136" s="173"/>
      <c r="FH136" s="173"/>
      <c r="FI136" s="173"/>
      <c r="FJ136" s="173"/>
      <c r="FK136" s="173"/>
      <c r="FL136" s="173"/>
      <c r="FM136" s="173"/>
      <c r="FN136" s="173"/>
      <c r="FO136" s="173"/>
      <c r="FP136" s="173"/>
      <c r="FQ136" s="173"/>
      <c r="FR136" s="173"/>
      <c r="FS136" s="173"/>
      <c r="FT136" s="173"/>
      <c r="FU136" s="173"/>
      <c r="FV136" s="173"/>
      <c r="FW136" s="173"/>
      <c r="FX136" s="173"/>
      <c r="FY136" s="173"/>
      <c r="FZ136" s="173"/>
      <c r="GA136" s="173"/>
      <c r="GB136" s="173"/>
      <c r="GC136" s="173"/>
      <c r="GD136" s="173"/>
      <c r="GE136" s="173"/>
      <c r="GF136" s="173"/>
      <c r="GG136" s="173"/>
      <c r="GH136" s="173"/>
      <c r="GI136" s="173"/>
      <c r="GJ136" s="173"/>
      <c r="GK136" s="173"/>
      <c r="GL136" s="173"/>
      <c r="GM136" s="173"/>
      <c r="GN136" s="173"/>
      <c r="GO136" s="173"/>
      <c r="GP136" s="173"/>
      <c r="GQ136" s="173"/>
      <c r="GR136" s="173"/>
      <c r="GS136" s="173"/>
      <c r="GT136" s="173"/>
      <c r="GU136" s="173"/>
      <c r="GV136" s="173"/>
      <c r="GW136" s="173"/>
      <c r="GX136" s="173"/>
      <c r="GY136" s="173"/>
      <c r="GZ136" s="173"/>
      <c r="HA136" s="173"/>
      <c r="HB136" s="173"/>
      <c r="HC136" s="173"/>
      <c r="HD136" s="173"/>
      <c r="HE136" s="173"/>
      <c r="HF136" s="173"/>
      <c r="HG136" s="173"/>
      <c r="HH136" s="173"/>
      <c r="HI136" s="173"/>
      <c r="HJ136" s="173"/>
      <c r="HK136" s="173"/>
      <c r="HL136" s="173"/>
      <c r="HM136" s="173"/>
      <c r="HN136" s="173"/>
      <c r="HO136" s="173"/>
      <c r="HP136" s="173"/>
      <c r="HQ136" s="173"/>
      <c r="HR136" s="173"/>
      <c r="HS136" s="173"/>
      <c r="HT136" s="173"/>
      <c r="HU136" s="173"/>
      <c r="HV136" s="173"/>
      <c r="HW136" s="173"/>
      <c r="HX136" s="173"/>
      <c r="HY136" s="173"/>
      <c r="HZ136" s="173"/>
      <c r="IA136" s="173"/>
      <c r="IB136" s="173"/>
      <c r="IC136" s="173"/>
      <c r="ID136" s="173"/>
      <c r="IE136" s="173"/>
      <c r="IF136" s="173"/>
      <c r="IG136" s="173"/>
      <c r="IH136" s="173"/>
      <c r="II136" s="173"/>
      <c r="IJ136" s="173"/>
      <c r="IK136" s="173"/>
      <c r="IL136" s="173"/>
      <c r="IM136" s="173"/>
      <c r="IN136" s="173"/>
      <c r="IO136" s="173"/>
      <c r="IP136" s="173"/>
      <c r="IQ136" s="173"/>
      <c r="IR136" s="173"/>
      <c r="IS136" s="173"/>
      <c r="IT136" s="173"/>
      <c r="IU136" s="173"/>
      <c r="IV136" s="173"/>
      <c r="IW136" s="173"/>
    </row>
    <row r="137" customFormat="false" ht="12.75" hidden="false" customHeight="false" outlineLevel="0" collapsed="false">
      <c r="A137" s="164" t="s">
        <v>143</v>
      </c>
      <c r="B137" s="165" t="s">
        <v>275</v>
      </c>
      <c r="C137" s="165" t="s">
        <v>276</v>
      </c>
      <c r="D137" s="166" t="n">
        <v>37012</v>
      </c>
      <c r="E137" s="166" t="n">
        <v>37042</v>
      </c>
      <c r="F137" s="164" t="s">
        <v>277</v>
      </c>
      <c r="G137" s="164" t="s">
        <v>278</v>
      </c>
      <c r="H137" s="165" t="s">
        <v>9</v>
      </c>
      <c r="I137" s="167" t="n">
        <v>0.0375</v>
      </c>
      <c r="J137" s="168"/>
      <c r="K137" s="168"/>
      <c r="L137" s="168"/>
      <c r="M137" s="168"/>
      <c r="N137" s="169"/>
      <c r="O137" s="168"/>
      <c r="P137" s="170" t="n">
        <v>910140</v>
      </c>
      <c r="Q137" s="165" t="n">
        <v>5000</v>
      </c>
      <c r="R137" s="164" t="s">
        <v>9</v>
      </c>
      <c r="S137" s="171" t="n">
        <f aca="false">I137*$I$1*Q137</f>
        <v>5812.5</v>
      </c>
      <c r="T137" s="172" t="n">
        <v>756703</v>
      </c>
      <c r="U137" s="172"/>
      <c r="V137" s="173" t="s">
        <v>279</v>
      </c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173"/>
      <c r="BN137" s="173"/>
      <c r="BO137" s="173"/>
      <c r="BP137" s="173"/>
      <c r="BQ137" s="173"/>
      <c r="BR137" s="173"/>
      <c r="BS137" s="173"/>
      <c r="BT137" s="173"/>
      <c r="BU137" s="173"/>
      <c r="BV137" s="173"/>
      <c r="BW137" s="173"/>
      <c r="BX137" s="173"/>
      <c r="BY137" s="173"/>
      <c r="BZ137" s="173"/>
      <c r="CA137" s="173"/>
      <c r="CB137" s="173"/>
      <c r="CC137" s="173"/>
      <c r="CD137" s="173"/>
      <c r="CE137" s="173"/>
      <c r="CF137" s="173"/>
      <c r="CG137" s="173"/>
      <c r="CH137" s="173"/>
      <c r="CI137" s="173"/>
      <c r="CJ137" s="173"/>
      <c r="CK137" s="173"/>
      <c r="CL137" s="173"/>
      <c r="CM137" s="173"/>
      <c r="CN137" s="173"/>
      <c r="CO137" s="173"/>
      <c r="CP137" s="173"/>
      <c r="CQ137" s="173"/>
      <c r="CR137" s="173"/>
      <c r="CS137" s="173"/>
      <c r="CT137" s="173"/>
      <c r="CU137" s="173"/>
      <c r="CV137" s="173"/>
      <c r="CW137" s="173"/>
      <c r="CX137" s="173"/>
      <c r="CY137" s="173"/>
      <c r="CZ137" s="173"/>
      <c r="DA137" s="173"/>
      <c r="DB137" s="173"/>
      <c r="DC137" s="173"/>
      <c r="DD137" s="173"/>
      <c r="DE137" s="173"/>
      <c r="DF137" s="173"/>
      <c r="DG137" s="173"/>
      <c r="DH137" s="173"/>
      <c r="DI137" s="173"/>
      <c r="DJ137" s="173"/>
      <c r="DK137" s="173"/>
      <c r="DL137" s="173"/>
      <c r="DM137" s="173"/>
      <c r="DN137" s="173"/>
      <c r="DO137" s="173"/>
      <c r="DP137" s="173"/>
      <c r="DQ137" s="173"/>
      <c r="DR137" s="173"/>
      <c r="DS137" s="173"/>
      <c r="DT137" s="173"/>
      <c r="DU137" s="173"/>
      <c r="DV137" s="173"/>
      <c r="DW137" s="173"/>
      <c r="DX137" s="173"/>
      <c r="DY137" s="173"/>
      <c r="DZ137" s="173"/>
      <c r="EA137" s="173"/>
      <c r="EB137" s="173"/>
      <c r="EC137" s="173"/>
      <c r="ED137" s="173"/>
      <c r="EE137" s="173"/>
      <c r="EF137" s="173"/>
      <c r="EG137" s="173"/>
      <c r="EH137" s="173"/>
      <c r="EI137" s="173"/>
      <c r="EJ137" s="173"/>
      <c r="EK137" s="173"/>
      <c r="EL137" s="173"/>
      <c r="EM137" s="173"/>
      <c r="EN137" s="173"/>
      <c r="EO137" s="173"/>
      <c r="EP137" s="173"/>
      <c r="EQ137" s="173"/>
      <c r="ER137" s="173"/>
      <c r="ES137" s="173"/>
      <c r="ET137" s="173"/>
      <c r="EU137" s="173"/>
      <c r="EV137" s="173"/>
      <c r="EW137" s="173"/>
      <c r="EX137" s="173"/>
      <c r="EY137" s="173"/>
      <c r="EZ137" s="173"/>
      <c r="FA137" s="173"/>
      <c r="FB137" s="173"/>
      <c r="FC137" s="173"/>
      <c r="FD137" s="173"/>
      <c r="FE137" s="173"/>
      <c r="FF137" s="173"/>
      <c r="FG137" s="173"/>
      <c r="FH137" s="173"/>
      <c r="FI137" s="173"/>
      <c r="FJ137" s="173"/>
      <c r="FK137" s="173"/>
      <c r="FL137" s="173"/>
      <c r="FM137" s="173"/>
      <c r="FN137" s="173"/>
      <c r="FO137" s="173"/>
      <c r="FP137" s="173"/>
      <c r="FQ137" s="173"/>
      <c r="FR137" s="173"/>
      <c r="FS137" s="173"/>
      <c r="FT137" s="173"/>
      <c r="FU137" s="173"/>
      <c r="FV137" s="173"/>
      <c r="FW137" s="173"/>
      <c r="FX137" s="173"/>
      <c r="FY137" s="173"/>
      <c r="FZ137" s="173"/>
      <c r="GA137" s="173"/>
      <c r="GB137" s="173"/>
      <c r="GC137" s="173"/>
      <c r="GD137" s="173"/>
      <c r="GE137" s="173"/>
      <c r="GF137" s="173"/>
      <c r="GG137" s="173"/>
      <c r="GH137" s="173"/>
      <c r="GI137" s="173"/>
      <c r="GJ137" s="173"/>
      <c r="GK137" s="173"/>
      <c r="GL137" s="173"/>
      <c r="GM137" s="173"/>
      <c r="GN137" s="173"/>
      <c r="GO137" s="173"/>
      <c r="GP137" s="173"/>
      <c r="GQ137" s="173"/>
      <c r="GR137" s="173"/>
      <c r="GS137" s="173"/>
      <c r="GT137" s="173"/>
      <c r="GU137" s="173"/>
      <c r="GV137" s="173"/>
      <c r="GW137" s="173"/>
      <c r="GX137" s="173"/>
      <c r="GY137" s="173"/>
      <c r="GZ137" s="173"/>
      <c r="HA137" s="173"/>
      <c r="HB137" s="173"/>
      <c r="HC137" s="173"/>
      <c r="HD137" s="173"/>
      <c r="HE137" s="173"/>
      <c r="HF137" s="173"/>
      <c r="HG137" s="173"/>
      <c r="HH137" s="173"/>
      <c r="HI137" s="173"/>
      <c r="HJ137" s="173"/>
      <c r="HK137" s="173"/>
      <c r="HL137" s="173"/>
      <c r="HM137" s="173"/>
      <c r="HN137" s="173"/>
      <c r="HO137" s="173"/>
      <c r="HP137" s="173"/>
      <c r="HQ137" s="173"/>
      <c r="HR137" s="173"/>
      <c r="HS137" s="173"/>
      <c r="HT137" s="173"/>
      <c r="HU137" s="173"/>
      <c r="HV137" s="173"/>
      <c r="HW137" s="173"/>
      <c r="HX137" s="173"/>
      <c r="HY137" s="173"/>
      <c r="HZ137" s="173"/>
      <c r="IA137" s="173"/>
      <c r="IB137" s="173"/>
      <c r="IC137" s="173"/>
      <c r="ID137" s="173"/>
      <c r="IE137" s="173"/>
      <c r="IF137" s="173"/>
      <c r="IG137" s="173"/>
      <c r="IH137" s="173"/>
      <c r="II137" s="173"/>
      <c r="IJ137" s="173"/>
      <c r="IK137" s="173"/>
      <c r="IL137" s="173"/>
      <c r="IM137" s="173"/>
      <c r="IN137" s="173"/>
      <c r="IO137" s="173"/>
      <c r="IP137" s="173"/>
      <c r="IQ137" s="173"/>
      <c r="IR137" s="173"/>
      <c r="IS137" s="173"/>
      <c r="IT137" s="173"/>
      <c r="IU137" s="173"/>
      <c r="IV137" s="173"/>
      <c r="IW137" s="173"/>
    </row>
    <row r="138" customFormat="false" ht="12.75" hidden="false" customHeight="false" outlineLevel="0" collapsed="false">
      <c r="A138" s="164" t="s">
        <v>143</v>
      </c>
      <c r="B138" s="165" t="s">
        <v>275</v>
      </c>
      <c r="C138" s="165" t="s">
        <v>276</v>
      </c>
      <c r="D138" s="166" t="n">
        <v>37012</v>
      </c>
      <c r="E138" s="166" t="n">
        <v>37042</v>
      </c>
      <c r="F138" s="164" t="s">
        <v>280</v>
      </c>
      <c r="G138" s="164" t="s">
        <v>281</v>
      </c>
      <c r="H138" s="165" t="s">
        <v>9</v>
      </c>
      <c r="I138" s="167" t="n">
        <f aca="false">1.5208339*0.0328767</f>
        <v>0.04999999988013</v>
      </c>
      <c r="J138" s="168"/>
      <c r="K138" s="168"/>
      <c r="L138" s="168"/>
      <c r="M138" s="168"/>
      <c r="N138" s="169"/>
      <c r="O138" s="168"/>
      <c r="P138" s="170"/>
      <c r="Q138" s="165" t="n">
        <v>30000</v>
      </c>
      <c r="R138" s="164" t="s">
        <v>9</v>
      </c>
      <c r="S138" s="171" t="n">
        <f aca="false">I138*$I$1*Q138</f>
        <v>46499.9998885209</v>
      </c>
      <c r="T138" s="172" t="n">
        <v>703670</v>
      </c>
      <c r="U138" s="172"/>
      <c r="V138" s="173" t="s">
        <v>279</v>
      </c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173"/>
      <c r="BN138" s="173"/>
      <c r="BO138" s="173"/>
      <c r="BP138" s="173"/>
      <c r="BQ138" s="173"/>
      <c r="BR138" s="173"/>
      <c r="BS138" s="173"/>
      <c r="BT138" s="173"/>
      <c r="BU138" s="173"/>
      <c r="BV138" s="173"/>
      <c r="BW138" s="173"/>
      <c r="BX138" s="173"/>
      <c r="BY138" s="173"/>
      <c r="BZ138" s="173"/>
      <c r="CA138" s="173"/>
      <c r="CB138" s="173"/>
      <c r="CC138" s="173"/>
      <c r="CD138" s="173"/>
      <c r="CE138" s="173"/>
      <c r="CF138" s="173"/>
      <c r="CG138" s="173"/>
      <c r="CH138" s="173"/>
      <c r="CI138" s="173"/>
      <c r="CJ138" s="173"/>
      <c r="CK138" s="173"/>
      <c r="CL138" s="173"/>
      <c r="CM138" s="173"/>
      <c r="CN138" s="173"/>
      <c r="CO138" s="173"/>
      <c r="CP138" s="173"/>
      <c r="CQ138" s="173"/>
      <c r="CR138" s="173"/>
      <c r="CS138" s="173"/>
      <c r="CT138" s="173"/>
      <c r="CU138" s="173"/>
      <c r="CV138" s="173"/>
      <c r="CW138" s="173"/>
      <c r="CX138" s="173"/>
      <c r="CY138" s="173"/>
      <c r="CZ138" s="173"/>
      <c r="DA138" s="173"/>
      <c r="DB138" s="173"/>
      <c r="DC138" s="173"/>
      <c r="DD138" s="173"/>
      <c r="DE138" s="173"/>
      <c r="DF138" s="173"/>
      <c r="DG138" s="173"/>
      <c r="DH138" s="173"/>
      <c r="DI138" s="173"/>
      <c r="DJ138" s="173"/>
      <c r="DK138" s="173"/>
      <c r="DL138" s="173"/>
      <c r="DM138" s="173"/>
      <c r="DN138" s="173"/>
      <c r="DO138" s="173"/>
      <c r="DP138" s="173"/>
      <c r="DQ138" s="173"/>
      <c r="DR138" s="173"/>
      <c r="DS138" s="173"/>
      <c r="DT138" s="173"/>
      <c r="DU138" s="173"/>
      <c r="DV138" s="173"/>
      <c r="DW138" s="173"/>
      <c r="DX138" s="173"/>
      <c r="DY138" s="173"/>
      <c r="DZ138" s="173"/>
      <c r="EA138" s="173"/>
      <c r="EB138" s="173"/>
      <c r="EC138" s="173"/>
      <c r="ED138" s="173"/>
      <c r="EE138" s="173"/>
      <c r="EF138" s="173"/>
      <c r="EG138" s="173"/>
      <c r="EH138" s="173"/>
      <c r="EI138" s="173"/>
      <c r="EJ138" s="173"/>
      <c r="EK138" s="173"/>
      <c r="EL138" s="173"/>
      <c r="EM138" s="173"/>
      <c r="EN138" s="173"/>
      <c r="EO138" s="173"/>
      <c r="EP138" s="173"/>
      <c r="EQ138" s="173"/>
      <c r="ER138" s="173"/>
      <c r="ES138" s="173"/>
      <c r="ET138" s="173"/>
      <c r="EU138" s="173"/>
      <c r="EV138" s="173"/>
      <c r="EW138" s="173"/>
      <c r="EX138" s="173"/>
      <c r="EY138" s="173"/>
      <c r="EZ138" s="173"/>
      <c r="FA138" s="173"/>
      <c r="FB138" s="173"/>
      <c r="FC138" s="173"/>
      <c r="FD138" s="173"/>
      <c r="FE138" s="173"/>
      <c r="FF138" s="173"/>
      <c r="FG138" s="173"/>
      <c r="FH138" s="173"/>
      <c r="FI138" s="173"/>
      <c r="FJ138" s="173"/>
      <c r="FK138" s="173"/>
      <c r="FL138" s="173"/>
      <c r="FM138" s="173"/>
      <c r="FN138" s="173"/>
      <c r="FO138" s="173"/>
      <c r="FP138" s="173"/>
      <c r="FQ138" s="173"/>
      <c r="FR138" s="173"/>
      <c r="FS138" s="173"/>
      <c r="FT138" s="173"/>
      <c r="FU138" s="173"/>
      <c r="FV138" s="173"/>
      <c r="FW138" s="173"/>
      <c r="FX138" s="173"/>
      <c r="FY138" s="173"/>
      <c r="FZ138" s="173"/>
      <c r="GA138" s="173"/>
      <c r="GB138" s="173"/>
      <c r="GC138" s="173"/>
      <c r="GD138" s="173"/>
      <c r="GE138" s="173"/>
      <c r="GF138" s="173"/>
      <c r="GG138" s="173"/>
      <c r="GH138" s="173"/>
      <c r="GI138" s="173"/>
      <c r="GJ138" s="173"/>
      <c r="GK138" s="173"/>
      <c r="GL138" s="173"/>
      <c r="GM138" s="173"/>
      <c r="GN138" s="173"/>
      <c r="GO138" s="173"/>
      <c r="GP138" s="173"/>
      <c r="GQ138" s="173"/>
      <c r="GR138" s="173"/>
      <c r="GS138" s="173"/>
      <c r="GT138" s="173"/>
      <c r="GU138" s="173"/>
      <c r="GV138" s="173"/>
      <c r="GW138" s="173"/>
      <c r="GX138" s="173"/>
      <c r="GY138" s="173"/>
      <c r="GZ138" s="173"/>
      <c r="HA138" s="173"/>
      <c r="HB138" s="173"/>
      <c r="HC138" s="173"/>
      <c r="HD138" s="173"/>
      <c r="HE138" s="173"/>
      <c r="HF138" s="173"/>
      <c r="HG138" s="173"/>
      <c r="HH138" s="173"/>
      <c r="HI138" s="173"/>
      <c r="HJ138" s="173"/>
      <c r="HK138" s="173"/>
      <c r="HL138" s="173"/>
      <c r="HM138" s="173"/>
      <c r="HN138" s="173"/>
      <c r="HO138" s="173"/>
      <c r="HP138" s="173"/>
      <c r="HQ138" s="173"/>
      <c r="HR138" s="173"/>
      <c r="HS138" s="173"/>
      <c r="HT138" s="173"/>
      <c r="HU138" s="173"/>
      <c r="HV138" s="173"/>
      <c r="HW138" s="173"/>
      <c r="HX138" s="173"/>
      <c r="HY138" s="173"/>
      <c r="HZ138" s="173"/>
      <c r="IA138" s="173"/>
      <c r="IB138" s="173"/>
      <c r="IC138" s="173"/>
      <c r="ID138" s="173"/>
      <c r="IE138" s="173"/>
      <c r="IF138" s="173"/>
      <c r="IG138" s="173"/>
      <c r="IH138" s="173"/>
      <c r="II138" s="173"/>
      <c r="IJ138" s="173"/>
      <c r="IK138" s="173"/>
      <c r="IL138" s="173"/>
      <c r="IM138" s="173"/>
      <c r="IN138" s="173"/>
      <c r="IO138" s="173"/>
      <c r="IP138" s="173"/>
      <c r="IQ138" s="173"/>
      <c r="IR138" s="173"/>
      <c r="IS138" s="173"/>
      <c r="IT138" s="173"/>
      <c r="IU138" s="173"/>
      <c r="IV138" s="173"/>
      <c r="IW138" s="173"/>
    </row>
    <row r="139" customFormat="false" ht="12.75" hidden="false" customHeight="false" outlineLevel="0" collapsed="false">
      <c r="A139" s="164" t="s">
        <v>282</v>
      </c>
      <c r="B139" s="165" t="s">
        <v>275</v>
      </c>
      <c r="C139" s="165" t="s">
        <v>276</v>
      </c>
      <c r="D139" s="166" t="n">
        <v>36982</v>
      </c>
      <c r="E139" s="166" t="n">
        <v>36983</v>
      </c>
      <c r="F139" s="164" t="s">
        <v>283</v>
      </c>
      <c r="G139" s="164" t="s">
        <v>284</v>
      </c>
      <c r="H139" s="165" t="s">
        <v>9</v>
      </c>
      <c r="I139" s="167" t="n">
        <v>0</v>
      </c>
      <c r="J139" s="168"/>
      <c r="K139" s="168"/>
      <c r="L139" s="168"/>
      <c r="M139" s="168"/>
      <c r="N139" s="169"/>
      <c r="O139" s="168"/>
      <c r="P139" s="170"/>
      <c r="Q139" s="165" t="n">
        <v>0</v>
      </c>
      <c r="R139" s="164" t="s">
        <v>285</v>
      </c>
      <c r="S139" s="171" t="n">
        <f aca="false">I139*$I$1*Q139</f>
        <v>0</v>
      </c>
      <c r="T139" s="172"/>
      <c r="U139" s="172"/>
      <c r="V139" s="173" t="s">
        <v>279</v>
      </c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  <c r="AY139" s="173"/>
      <c r="AZ139" s="173"/>
      <c r="BA139" s="173"/>
      <c r="BB139" s="173"/>
      <c r="BC139" s="173"/>
      <c r="BD139" s="173"/>
      <c r="BE139" s="173"/>
      <c r="BF139" s="173"/>
      <c r="BG139" s="173"/>
      <c r="BH139" s="173"/>
      <c r="BI139" s="173"/>
      <c r="BJ139" s="173"/>
      <c r="BK139" s="173"/>
      <c r="BL139" s="173"/>
      <c r="BM139" s="173"/>
      <c r="BN139" s="173"/>
      <c r="BO139" s="173"/>
      <c r="BP139" s="173"/>
      <c r="BQ139" s="173"/>
      <c r="BR139" s="173"/>
      <c r="BS139" s="173"/>
      <c r="BT139" s="173"/>
      <c r="BU139" s="173"/>
      <c r="BV139" s="173"/>
      <c r="BW139" s="173"/>
      <c r="BX139" s="173"/>
      <c r="BY139" s="173"/>
      <c r="BZ139" s="173"/>
      <c r="CA139" s="173"/>
      <c r="CB139" s="173"/>
      <c r="CC139" s="173"/>
      <c r="CD139" s="173"/>
      <c r="CE139" s="173"/>
      <c r="CF139" s="173"/>
      <c r="CG139" s="173"/>
      <c r="CH139" s="173"/>
      <c r="CI139" s="173"/>
      <c r="CJ139" s="173"/>
      <c r="CK139" s="173"/>
      <c r="CL139" s="173"/>
      <c r="CM139" s="173"/>
      <c r="CN139" s="173"/>
      <c r="CO139" s="173"/>
      <c r="CP139" s="173"/>
      <c r="CQ139" s="173"/>
      <c r="CR139" s="173"/>
      <c r="CS139" s="173"/>
      <c r="CT139" s="173"/>
      <c r="CU139" s="173"/>
      <c r="CV139" s="173"/>
      <c r="CW139" s="173"/>
      <c r="CX139" s="173"/>
      <c r="CY139" s="173"/>
      <c r="CZ139" s="173"/>
      <c r="DA139" s="173"/>
      <c r="DB139" s="173"/>
      <c r="DC139" s="173"/>
      <c r="DD139" s="173"/>
      <c r="DE139" s="173"/>
      <c r="DF139" s="173"/>
      <c r="DG139" s="173"/>
      <c r="DH139" s="173"/>
      <c r="DI139" s="173"/>
      <c r="DJ139" s="173"/>
      <c r="DK139" s="173"/>
      <c r="DL139" s="173"/>
      <c r="DM139" s="173"/>
      <c r="DN139" s="173"/>
      <c r="DO139" s="173"/>
      <c r="DP139" s="173"/>
      <c r="DQ139" s="173"/>
      <c r="DR139" s="173"/>
      <c r="DS139" s="173"/>
      <c r="DT139" s="173"/>
      <c r="DU139" s="173"/>
      <c r="DV139" s="173"/>
      <c r="DW139" s="173"/>
      <c r="DX139" s="173"/>
      <c r="DY139" s="173"/>
      <c r="DZ139" s="173"/>
      <c r="EA139" s="173"/>
      <c r="EB139" s="173"/>
      <c r="EC139" s="173"/>
      <c r="ED139" s="173"/>
      <c r="EE139" s="173"/>
      <c r="EF139" s="173"/>
      <c r="EG139" s="173"/>
      <c r="EH139" s="173"/>
      <c r="EI139" s="173"/>
      <c r="EJ139" s="173"/>
      <c r="EK139" s="173"/>
      <c r="EL139" s="173"/>
      <c r="EM139" s="173"/>
      <c r="EN139" s="173"/>
      <c r="EO139" s="173"/>
      <c r="EP139" s="173"/>
      <c r="EQ139" s="173"/>
      <c r="ER139" s="173"/>
      <c r="ES139" s="173"/>
      <c r="ET139" s="173"/>
      <c r="EU139" s="173"/>
      <c r="EV139" s="173"/>
      <c r="EW139" s="173"/>
      <c r="EX139" s="173"/>
      <c r="EY139" s="173"/>
      <c r="EZ139" s="173"/>
      <c r="FA139" s="173"/>
      <c r="FB139" s="173"/>
      <c r="FC139" s="173"/>
      <c r="FD139" s="173"/>
      <c r="FE139" s="173"/>
      <c r="FF139" s="173"/>
      <c r="FG139" s="173"/>
      <c r="FH139" s="173"/>
      <c r="FI139" s="173"/>
      <c r="FJ139" s="173"/>
      <c r="FK139" s="173"/>
      <c r="FL139" s="173"/>
      <c r="FM139" s="173"/>
      <c r="FN139" s="173"/>
      <c r="FO139" s="173"/>
      <c r="FP139" s="173"/>
      <c r="FQ139" s="173"/>
      <c r="FR139" s="173"/>
      <c r="FS139" s="173"/>
      <c r="FT139" s="173"/>
      <c r="FU139" s="173"/>
      <c r="FV139" s="173"/>
      <c r="FW139" s="173"/>
      <c r="FX139" s="173"/>
      <c r="FY139" s="173"/>
      <c r="FZ139" s="173"/>
      <c r="GA139" s="173"/>
      <c r="GB139" s="173"/>
      <c r="GC139" s="173"/>
      <c r="GD139" s="173"/>
      <c r="GE139" s="173"/>
      <c r="GF139" s="173"/>
      <c r="GG139" s="173"/>
      <c r="GH139" s="173"/>
      <c r="GI139" s="173"/>
      <c r="GJ139" s="173"/>
      <c r="GK139" s="173"/>
      <c r="GL139" s="173"/>
      <c r="GM139" s="173"/>
      <c r="GN139" s="173"/>
      <c r="GO139" s="173"/>
      <c r="GP139" s="173"/>
      <c r="GQ139" s="173"/>
      <c r="GR139" s="173"/>
      <c r="GS139" s="173"/>
      <c r="GT139" s="173"/>
      <c r="GU139" s="173"/>
      <c r="GV139" s="173"/>
      <c r="GW139" s="173"/>
      <c r="GX139" s="173"/>
      <c r="GY139" s="173"/>
      <c r="GZ139" s="173"/>
      <c r="HA139" s="173"/>
      <c r="HB139" s="173"/>
      <c r="HC139" s="173"/>
      <c r="HD139" s="173"/>
      <c r="HE139" s="173"/>
      <c r="HF139" s="173"/>
      <c r="HG139" s="173"/>
      <c r="HH139" s="173"/>
      <c r="HI139" s="173"/>
      <c r="HJ139" s="173"/>
      <c r="HK139" s="173"/>
      <c r="HL139" s="173"/>
      <c r="HM139" s="173"/>
      <c r="HN139" s="173"/>
      <c r="HO139" s="173"/>
      <c r="HP139" s="173"/>
      <c r="HQ139" s="173"/>
      <c r="HR139" s="173"/>
      <c r="HS139" s="173"/>
      <c r="HT139" s="173"/>
      <c r="HU139" s="173"/>
      <c r="HV139" s="173"/>
      <c r="HW139" s="173"/>
      <c r="HX139" s="173"/>
      <c r="HY139" s="173"/>
      <c r="HZ139" s="173"/>
      <c r="IA139" s="173"/>
      <c r="IB139" s="173"/>
      <c r="IC139" s="173"/>
      <c r="ID139" s="173"/>
      <c r="IE139" s="173"/>
      <c r="IF139" s="173"/>
      <c r="IG139" s="173"/>
      <c r="IH139" s="173"/>
      <c r="II139" s="173"/>
      <c r="IJ139" s="173"/>
      <c r="IK139" s="173"/>
      <c r="IL139" s="173"/>
      <c r="IM139" s="173"/>
      <c r="IN139" s="173"/>
      <c r="IO139" s="173"/>
      <c r="IP139" s="173"/>
      <c r="IQ139" s="173"/>
      <c r="IR139" s="173"/>
      <c r="IS139" s="173"/>
      <c r="IT139" s="173"/>
      <c r="IU139" s="173"/>
      <c r="IV139" s="173"/>
      <c r="IW139" s="173"/>
    </row>
    <row r="140" customFormat="false" ht="12.75" hidden="false" customHeight="false" outlineLevel="0" collapsed="false">
      <c r="A140" s="93"/>
      <c r="B140" s="88"/>
      <c r="C140" s="88"/>
      <c r="D140" s="94"/>
      <c r="E140" s="94"/>
      <c r="F140" s="93"/>
      <c r="G140" s="93"/>
      <c r="H140" s="88"/>
      <c r="I140" s="96"/>
      <c r="J140" s="87"/>
      <c r="K140" s="87"/>
      <c r="L140" s="87"/>
      <c r="M140" s="87"/>
      <c r="N140" s="97"/>
      <c r="O140" s="87"/>
      <c r="P140" s="149"/>
      <c r="Q140" s="88" t="n">
        <f aca="false">SUM(Q136)</f>
        <v>10000</v>
      </c>
      <c r="R140" s="93" t="s">
        <v>175</v>
      </c>
      <c r="S140" s="54" t="n">
        <f aca="false">SUM(S136:S139)</f>
        <v>61483.4998885209</v>
      </c>
      <c r="T140" s="55"/>
      <c r="U140" s="56"/>
      <c r="V140" s="56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  <c r="CA140" s="150"/>
      <c r="CB140" s="150"/>
      <c r="CC140" s="150"/>
      <c r="CD140" s="150"/>
      <c r="CE140" s="150"/>
      <c r="CF140" s="150"/>
      <c r="CG140" s="150"/>
      <c r="CH140" s="150"/>
      <c r="CI140" s="150"/>
      <c r="CJ140" s="150"/>
      <c r="CK140" s="150"/>
      <c r="CL140" s="150"/>
      <c r="CM140" s="150"/>
      <c r="CN140" s="150"/>
      <c r="CO140" s="150"/>
      <c r="CP140" s="150"/>
      <c r="CQ140" s="150"/>
      <c r="CR140" s="150"/>
      <c r="CS140" s="150"/>
      <c r="CT140" s="150"/>
      <c r="CU140" s="150"/>
      <c r="CV140" s="150"/>
      <c r="CW140" s="150"/>
      <c r="CX140" s="150"/>
      <c r="CY140" s="150"/>
      <c r="CZ140" s="150"/>
      <c r="DA140" s="150"/>
      <c r="DB140" s="150"/>
      <c r="DC140" s="150"/>
      <c r="DD140" s="150"/>
      <c r="DE140" s="150"/>
      <c r="DF140" s="150"/>
      <c r="DG140" s="150"/>
      <c r="DH140" s="150"/>
      <c r="DI140" s="150"/>
      <c r="DJ140" s="150"/>
      <c r="DK140" s="150"/>
      <c r="DL140" s="150"/>
      <c r="DM140" s="150"/>
      <c r="DN140" s="150"/>
      <c r="DO140" s="150"/>
      <c r="DP140" s="150"/>
      <c r="DQ140" s="150"/>
      <c r="DR140" s="150"/>
      <c r="DS140" s="150"/>
      <c r="DT140" s="150"/>
      <c r="DU140" s="150"/>
      <c r="DV140" s="150"/>
      <c r="DW140" s="150"/>
      <c r="DX140" s="150"/>
      <c r="DY140" s="150"/>
      <c r="DZ140" s="150"/>
      <c r="EA140" s="150"/>
      <c r="EB140" s="150"/>
      <c r="EC140" s="150"/>
      <c r="ED140" s="150"/>
      <c r="EE140" s="150"/>
      <c r="EF140" s="150"/>
      <c r="EG140" s="150"/>
      <c r="EH140" s="150"/>
      <c r="EI140" s="150"/>
      <c r="EJ140" s="150"/>
      <c r="EK140" s="150"/>
      <c r="EL140" s="150"/>
      <c r="EM140" s="150"/>
      <c r="EN140" s="150"/>
      <c r="EO140" s="150"/>
      <c r="EP140" s="150"/>
      <c r="EQ140" s="150"/>
      <c r="ER140" s="150"/>
      <c r="ES140" s="150"/>
      <c r="ET140" s="150"/>
      <c r="EU140" s="150"/>
      <c r="EV140" s="150"/>
      <c r="EW140" s="150"/>
      <c r="EX140" s="150"/>
      <c r="EY140" s="150"/>
      <c r="EZ140" s="150"/>
      <c r="FA140" s="150"/>
      <c r="FB140" s="150"/>
      <c r="FC140" s="150"/>
      <c r="FD140" s="150"/>
      <c r="FE140" s="150"/>
      <c r="FF140" s="150"/>
      <c r="FG140" s="150"/>
      <c r="FH140" s="150"/>
      <c r="FI140" s="150"/>
      <c r="FJ140" s="150"/>
      <c r="FK140" s="150"/>
      <c r="FL140" s="150"/>
      <c r="FM140" s="150"/>
      <c r="FN140" s="150"/>
      <c r="FO140" s="150"/>
      <c r="FP140" s="150"/>
      <c r="FQ140" s="150"/>
      <c r="FR140" s="150"/>
      <c r="FS140" s="150"/>
      <c r="FT140" s="150"/>
      <c r="FU140" s="150"/>
      <c r="FV140" s="150"/>
      <c r="FW140" s="150"/>
      <c r="FX140" s="150"/>
      <c r="FY140" s="150"/>
      <c r="FZ140" s="150"/>
      <c r="GA140" s="150"/>
      <c r="GB140" s="150"/>
      <c r="GC140" s="150"/>
      <c r="GD140" s="150"/>
      <c r="GE140" s="150"/>
      <c r="GF140" s="150"/>
      <c r="GG140" s="150"/>
      <c r="GH140" s="150"/>
      <c r="GI140" s="150"/>
      <c r="GJ140" s="150"/>
      <c r="GK140" s="150"/>
      <c r="GL140" s="150"/>
      <c r="GM140" s="150"/>
      <c r="GN140" s="150"/>
      <c r="GO140" s="150"/>
      <c r="GP140" s="150"/>
      <c r="GQ140" s="150"/>
      <c r="GR140" s="150"/>
      <c r="GS140" s="150"/>
      <c r="GT140" s="150"/>
      <c r="GU140" s="150"/>
      <c r="GV140" s="150"/>
      <c r="GW140" s="150"/>
      <c r="GX140" s="150"/>
      <c r="GY140" s="150"/>
      <c r="GZ140" s="150"/>
      <c r="HA140" s="150"/>
      <c r="HB140" s="150"/>
      <c r="HC140" s="150"/>
      <c r="HD140" s="150"/>
      <c r="HE140" s="150"/>
      <c r="HF140" s="150"/>
      <c r="HG140" s="150"/>
      <c r="HH140" s="150"/>
      <c r="HI140" s="150"/>
      <c r="HJ140" s="150"/>
      <c r="HK140" s="150"/>
      <c r="HL140" s="150"/>
      <c r="HM140" s="150"/>
      <c r="HN140" s="150"/>
      <c r="HO140" s="150"/>
      <c r="HP140" s="150"/>
      <c r="HQ140" s="150"/>
      <c r="HR140" s="150"/>
      <c r="HS140" s="150"/>
      <c r="HT140" s="150"/>
      <c r="HU140" s="150"/>
      <c r="HV140" s="150"/>
      <c r="HW140" s="150"/>
      <c r="HX140" s="150"/>
      <c r="HY140" s="150"/>
      <c r="HZ140" s="150"/>
      <c r="IA140" s="150"/>
      <c r="IB140" s="150"/>
      <c r="IC140" s="150"/>
      <c r="ID140" s="150"/>
      <c r="IE140" s="150"/>
      <c r="IF140" s="150"/>
      <c r="IG140" s="150"/>
      <c r="IH140" s="150"/>
      <c r="II140" s="150"/>
      <c r="IJ140" s="150"/>
      <c r="IK140" s="150"/>
      <c r="IL140" s="150"/>
      <c r="IM140" s="150"/>
      <c r="IN140" s="150"/>
      <c r="IO140" s="150"/>
      <c r="IP140" s="150"/>
      <c r="IQ140" s="150"/>
      <c r="IR140" s="150"/>
      <c r="IS140" s="150"/>
      <c r="IT140" s="150"/>
      <c r="IU140" s="150"/>
      <c r="IV140" s="150"/>
      <c r="IW140" s="150"/>
    </row>
    <row r="141" customFormat="false" ht="12.75" hidden="false" customHeight="false" outlineLevel="0" collapsed="false">
      <c r="A141" s="37"/>
      <c r="B141" s="38"/>
      <c r="C141" s="38"/>
      <c r="D141" s="39"/>
      <c r="E141" s="39"/>
      <c r="F141" s="37"/>
      <c r="G141" s="37"/>
      <c r="H141" s="38"/>
      <c r="I141" s="40"/>
      <c r="J141" s="41"/>
      <c r="K141" s="41"/>
      <c r="L141" s="41"/>
      <c r="M141" s="41"/>
      <c r="N141" s="42"/>
      <c r="O141" s="41"/>
      <c r="P141" s="43"/>
      <c r="Q141" s="90"/>
      <c r="R141" s="93" t="s">
        <v>176</v>
      </c>
      <c r="S141" s="54" t="n">
        <v>0</v>
      </c>
      <c r="T141" s="45"/>
      <c r="U141" s="46"/>
      <c r="V141" s="46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  <c r="HQ141" s="23"/>
      <c r="HR141" s="23"/>
      <c r="HS141" s="23"/>
      <c r="HT141" s="23"/>
      <c r="HU141" s="23"/>
      <c r="HV141" s="23"/>
      <c r="HW141" s="23"/>
      <c r="HX141" s="23"/>
      <c r="HY141" s="23"/>
      <c r="HZ141" s="23"/>
      <c r="IA141" s="23"/>
      <c r="IB141" s="23"/>
      <c r="IC141" s="23"/>
      <c r="ID141" s="23"/>
      <c r="IE141" s="23"/>
      <c r="IF141" s="23"/>
      <c r="IG141" s="23"/>
      <c r="IH141" s="23"/>
      <c r="II141" s="23"/>
      <c r="IJ141" s="23"/>
      <c r="IK141" s="23"/>
      <c r="IL141" s="23"/>
      <c r="IM141" s="23"/>
      <c r="IN141" s="23"/>
      <c r="IO141" s="23"/>
      <c r="IP141" s="23"/>
      <c r="IQ141" s="23"/>
      <c r="IR141" s="23"/>
      <c r="IS141" s="23"/>
      <c r="IT141" s="23"/>
      <c r="IU141" s="23"/>
      <c r="IV141" s="23"/>
      <c r="IW141" s="23"/>
    </row>
    <row r="142" customFormat="false" ht="13.5" hidden="false" customHeight="false" outlineLevel="0" collapsed="false">
      <c r="A142" s="37"/>
      <c r="B142" s="38"/>
      <c r="C142" s="38"/>
      <c r="D142" s="39"/>
      <c r="E142" s="39"/>
      <c r="F142" s="37"/>
      <c r="G142" s="37"/>
      <c r="H142" s="38"/>
      <c r="I142" s="40"/>
      <c r="J142" s="41"/>
      <c r="K142" s="41"/>
      <c r="L142" s="41"/>
      <c r="M142" s="41"/>
      <c r="N142" s="42"/>
      <c r="O142" s="41"/>
      <c r="P142" s="43"/>
      <c r="Q142" s="90"/>
      <c r="R142" s="93" t="s">
        <v>177</v>
      </c>
      <c r="S142" s="127" t="n">
        <f aca="false">+S140-S141</f>
        <v>61483.4998885209</v>
      </c>
      <c r="T142" s="45"/>
      <c r="U142" s="46"/>
      <c r="V142" s="46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  <c r="HQ142" s="23"/>
      <c r="HR142" s="23"/>
      <c r="HS142" s="23"/>
      <c r="HT142" s="23"/>
      <c r="HU142" s="23"/>
      <c r="HV142" s="23"/>
      <c r="HW142" s="23"/>
      <c r="HX142" s="23"/>
      <c r="HY142" s="23"/>
      <c r="HZ142" s="23"/>
      <c r="IA142" s="23"/>
      <c r="IB142" s="23"/>
      <c r="IC142" s="23"/>
      <c r="ID142" s="23"/>
      <c r="IE142" s="23"/>
      <c r="IF142" s="23"/>
      <c r="IG142" s="23"/>
      <c r="IH142" s="23"/>
      <c r="II142" s="23"/>
      <c r="IJ142" s="23"/>
      <c r="IK142" s="23"/>
      <c r="IL142" s="23"/>
      <c r="IM142" s="23"/>
      <c r="IN142" s="23"/>
      <c r="IO142" s="23"/>
      <c r="IP142" s="23"/>
      <c r="IQ142" s="23"/>
      <c r="IR142" s="23"/>
      <c r="IS142" s="23"/>
      <c r="IT142" s="23"/>
      <c r="IU142" s="23"/>
      <c r="IV142" s="23"/>
      <c r="IW142" s="23"/>
    </row>
    <row r="143" customFormat="false" ht="13.5" hidden="false" customHeight="false" outlineLevel="0" collapsed="false">
      <c r="A143" s="37"/>
      <c r="B143" s="38"/>
      <c r="C143" s="38"/>
      <c r="D143" s="39"/>
      <c r="E143" s="39"/>
      <c r="F143" s="37"/>
      <c r="G143" s="37"/>
      <c r="H143" s="38"/>
      <c r="I143" s="40"/>
      <c r="J143" s="41"/>
      <c r="K143" s="41"/>
      <c r="L143" s="41"/>
      <c r="M143" s="41"/>
      <c r="N143" s="42"/>
      <c r="O143" s="41"/>
      <c r="P143" s="43"/>
      <c r="Q143" s="38"/>
      <c r="R143" s="37"/>
      <c r="S143" s="44"/>
      <c r="T143" s="45"/>
      <c r="U143" s="46"/>
      <c r="V143" s="46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23"/>
      <c r="IE143" s="23"/>
      <c r="IF143" s="23"/>
      <c r="IG143" s="23"/>
      <c r="IH143" s="23"/>
      <c r="II143" s="23"/>
      <c r="IJ143" s="23"/>
      <c r="IK143" s="23"/>
      <c r="IL143" s="23"/>
      <c r="IM143" s="23"/>
      <c r="IN143" s="23"/>
      <c r="IO143" s="23"/>
      <c r="IP143" s="23"/>
      <c r="IQ143" s="23"/>
      <c r="IR143" s="23"/>
      <c r="IS143" s="23"/>
      <c r="IT143" s="23"/>
      <c r="IU143" s="23"/>
      <c r="IV143" s="23"/>
      <c r="IW143" s="23"/>
    </row>
    <row r="144" customFormat="false" ht="12.75" hidden="false" customHeight="false" outlineLevel="0" collapsed="false">
      <c r="A144" s="128" t="s">
        <v>108</v>
      </c>
      <c r="B144" s="129" t="s">
        <v>109</v>
      </c>
      <c r="C144" s="129" t="s">
        <v>110</v>
      </c>
      <c r="D144" s="130" t="s">
        <v>111</v>
      </c>
      <c r="E144" s="130"/>
      <c r="F144" s="128" t="s">
        <v>112</v>
      </c>
      <c r="G144" s="128" t="s">
        <v>113</v>
      </c>
      <c r="H144" s="129" t="s">
        <v>114</v>
      </c>
      <c r="I144" s="131" t="s">
        <v>115</v>
      </c>
      <c r="J144" s="129" t="s">
        <v>116</v>
      </c>
      <c r="K144" s="129" t="s">
        <v>117</v>
      </c>
      <c r="L144" s="129" t="s">
        <v>118</v>
      </c>
      <c r="M144" s="129" t="s">
        <v>7</v>
      </c>
      <c r="N144" s="132" t="s">
        <v>119</v>
      </c>
      <c r="O144" s="129" t="s">
        <v>120</v>
      </c>
      <c r="P144" s="133" t="s">
        <v>121</v>
      </c>
      <c r="Q144" s="129" t="s">
        <v>122</v>
      </c>
      <c r="R144" s="128" t="s">
        <v>123</v>
      </c>
      <c r="S144" s="105" t="s">
        <v>203</v>
      </c>
      <c r="T144" s="107"/>
      <c r="U144" s="107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4"/>
      <c r="AH144" s="134"/>
      <c r="AI144" s="134"/>
      <c r="AJ144" s="134"/>
      <c r="AK144" s="134"/>
      <c r="AL144" s="134"/>
      <c r="AM144" s="134"/>
      <c r="AN144" s="134"/>
      <c r="AO144" s="134"/>
      <c r="AP144" s="134"/>
      <c r="AQ144" s="134"/>
      <c r="AR144" s="134"/>
      <c r="AS144" s="134"/>
      <c r="AT144" s="134"/>
      <c r="AU144" s="134"/>
      <c r="AV144" s="134"/>
      <c r="AW144" s="134"/>
      <c r="AX144" s="134"/>
      <c r="AY144" s="134"/>
      <c r="AZ144" s="134"/>
      <c r="BA144" s="134"/>
      <c r="BB144" s="134"/>
      <c r="BC144" s="134"/>
      <c r="BD144" s="134"/>
      <c r="BE144" s="134"/>
      <c r="BF144" s="134"/>
      <c r="BG144" s="134"/>
      <c r="BH144" s="134"/>
      <c r="BI144" s="134"/>
      <c r="BJ144" s="134"/>
      <c r="BK144" s="134"/>
      <c r="BL144" s="134"/>
      <c r="BM144" s="134"/>
      <c r="BN144" s="134"/>
      <c r="BO144" s="134"/>
      <c r="BP144" s="134"/>
      <c r="BQ144" s="134"/>
      <c r="BR144" s="134"/>
      <c r="BS144" s="134"/>
      <c r="BT144" s="134"/>
      <c r="BU144" s="134"/>
      <c r="BV144" s="134"/>
      <c r="BW144" s="134"/>
      <c r="BX144" s="134"/>
      <c r="BY144" s="134"/>
      <c r="BZ144" s="134"/>
      <c r="CA144" s="134"/>
      <c r="CB144" s="134"/>
      <c r="CC144" s="134"/>
      <c r="CD144" s="134"/>
      <c r="CE144" s="134"/>
      <c r="CF144" s="134"/>
      <c r="CG144" s="134"/>
      <c r="CH144" s="134"/>
      <c r="CI144" s="134"/>
      <c r="CJ144" s="134"/>
      <c r="CK144" s="134"/>
      <c r="CL144" s="134"/>
      <c r="CM144" s="134"/>
      <c r="CN144" s="134"/>
      <c r="CO144" s="134"/>
      <c r="CP144" s="134"/>
      <c r="CQ144" s="134"/>
      <c r="CR144" s="134"/>
      <c r="CS144" s="134"/>
      <c r="CT144" s="134"/>
      <c r="CU144" s="134"/>
      <c r="CV144" s="134"/>
      <c r="CW144" s="134"/>
      <c r="CX144" s="134"/>
      <c r="CY144" s="134"/>
      <c r="CZ144" s="134"/>
      <c r="DA144" s="134"/>
      <c r="DB144" s="134"/>
      <c r="DC144" s="134"/>
      <c r="DD144" s="134"/>
      <c r="DE144" s="134"/>
      <c r="DF144" s="134"/>
      <c r="DG144" s="134"/>
      <c r="DH144" s="134"/>
      <c r="DI144" s="134"/>
      <c r="DJ144" s="134"/>
      <c r="DK144" s="134"/>
      <c r="DL144" s="134"/>
      <c r="DM144" s="134"/>
      <c r="DN144" s="134"/>
      <c r="DO144" s="134"/>
      <c r="DP144" s="134"/>
      <c r="DQ144" s="134"/>
      <c r="DR144" s="134"/>
      <c r="DS144" s="134"/>
      <c r="DT144" s="134"/>
      <c r="DU144" s="134"/>
      <c r="DV144" s="134"/>
      <c r="DW144" s="134"/>
      <c r="DX144" s="134"/>
      <c r="DY144" s="134"/>
      <c r="DZ144" s="134"/>
      <c r="EA144" s="134"/>
      <c r="EB144" s="134"/>
      <c r="EC144" s="134"/>
      <c r="ED144" s="134"/>
      <c r="EE144" s="134"/>
      <c r="EF144" s="134"/>
      <c r="EG144" s="134"/>
      <c r="EH144" s="134"/>
      <c r="EI144" s="134"/>
      <c r="EJ144" s="134"/>
      <c r="EK144" s="134"/>
      <c r="EL144" s="134"/>
      <c r="EM144" s="134"/>
      <c r="EN144" s="134"/>
      <c r="EO144" s="134"/>
      <c r="EP144" s="134"/>
      <c r="EQ144" s="134"/>
      <c r="ER144" s="134"/>
      <c r="ES144" s="134"/>
      <c r="ET144" s="134"/>
      <c r="EU144" s="134"/>
      <c r="EV144" s="134"/>
      <c r="EW144" s="134"/>
      <c r="EX144" s="134"/>
      <c r="EY144" s="134"/>
      <c r="EZ144" s="134"/>
      <c r="FA144" s="134"/>
      <c r="FB144" s="134"/>
      <c r="FC144" s="134"/>
      <c r="FD144" s="134"/>
      <c r="FE144" s="134"/>
      <c r="FF144" s="134"/>
      <c r="FG144" s="134"/>
      <c r="FH144" s="134"/>
      <c r="FI144" s="134"/>
      <c r="FJ144" s="134"/>
      <c r="FK144" s="134"/>
      <c r="FL144" s="134"/>
      <c r="FM144" s="134"/>
      <c r="FN144" s="134"/>
      <c r="FO144" s="134"/>
      <c r="FP144" s="134"/>
      <c r="FQ144" s="134"/>
      <c r="FR144" s="134"/>
      <c r="FS144" s="134"/>
      <c r="FT144" s="134"/>
      <c r="FU144" s="134"/>
      <c r="FV144" s="134"/>
      <c r="FW144" s="134"/>
      <c r="FX144" s="134"/>
      <c r="FY144" s="134"/>
      <c r="FZ144" s="134"/>
      <c r="GA144" s="134"/>
      <c r="GB144" s="134"/>
      <c r="GC144" s="134"/>
      <c r="GD144" s="134"/>
      <c r="GE144" s="134"/>
      <c r="GF144" s="134"/>
      <c r="GG144" s="134"/>
      <c r="GH144" s="134"/>
      <c r="GI144" s="134"/>
      <c r="GJ144" s="134"/>
      <c r="GK144" s="134"/>
      <c r="GL144" s="134"/>
      <c r="GM144" s="134"/>
      <c r="GN144" s="134"/>
      <c r="GO144" s="134"/>
      <c r="GP144" s="134"/>
      <c r="GQ144" s="134"/>
      <c r="GR144" s="134"/>
      <c r="GS144" s="134"/>
      <c r="GT144" s="134"/>
      <c r="GU144" s="134"/>
      <c r="GV144" s="134"/>
      <c r="GW144" s="134"/>
      <c r="GX144" s="134"/>
      <c r="GY144" s="134"/>
      <c r="GZ144" s="134"/>
      <c r="HA144" s="134"/>
      <c r="HB144" s="134"/>
      <c r="HC144" s="134"/>
      <c r="HD144" s="134"/>
      <c r="HE144" s="134"/>
      <c r="HF144" s="134"/>
      <c r="HG144" s="134"/>
      <c r="HH144" s="134"/>
      <c r="HI144" s="134"/>
      <c r="HJ144" s="134"/>
      <c r="HK144" s="134"/>
      <c r="HL144" s="134"/>
      <c r="HM144" s="134"/>
      <c r="HN144" s="134"/>
      <c r="HO144" s="134"/>
      <c r="HP144" s="134"/>
      <c r="HQ144" s="134"/>
      <c r="HR144" s="134"/>
      <c r="HS144" s="134"/>
      <c r="HT144" s="134"/>
      <c r="HU144" s="134"/>
      <c r="HV144" s="134"/>
      <c r="HW144" s="134"/>
      <c r="HX144" s="134"/>
      <c r="HY144" s="134"/>
      <c r="HZ144" s="134"/>
      <c r="IA144" s="134"/>
      <c r="IB144" s="134"/>
      <c r="IC144" s="134"/>
      <c r="ID144" s="134"/>
      <c r="IE144" s="134"/>
      <c r="IF144" s="134"/>
      <c r="IG144" s="134"/>
      <c r="IH144" s="134"/>
      <c r="II144" s="134"/>
      <c r="IJ144" s="134"/>
      <c r="IK144" s="134"/>
      <c r="IL144" s="134"/>
      <c r="IM144" s="134"/>
      <c r="IN144" s="134"/>
      <c r="IO144" s="134"/>
      <c r="IP144" s="134"/>
      <c r="IQ144" s="134"/>
      <c r="IR144" s="134"/>
      <c r="IS144" s="134"/>
      <c r="IT144" s="134"/>
      <c r="IU144" s="134"/>
      <c r="IV144" s="134"/>
      <c r="IW144" s="134"/>
    </row>
    <row r="145" customFormat="false" ht="12.75" hidden="false" customHeight="false" outlineLevel="0" collapsed="false">
      <c r="A145" s="164" t="s">
        <v>143</v>
      </c>
      <c r="B145" s="165" t="s">
        <v>286</v>
      </c>
      <c r="C145" s="165" t="s">
        <v>287</v>
      </c>
      <c r="D145" s="166" t="n">
        <v>36982</v>
      </c>
      <c r="E145" s="166" t="n">
        <v>37195</v>
      </c>
      <c r="F145" s="164" t="s">
        <v>288</v>
      </c>
      <c r="G145" s="164" t="s">
        <v>289</v>
      </c>
      <c r="H145" s="165" t="s">
        <v>290</v>
      </c>
      <c r="I145" s="174" t="n">
        <v>0.005</v>
      </c>
      <c r="J145" s="168"/>
      <c r="K145" s="168"/>
      <c r="L145" s="168"/>
      <c r="M145" s="168"/>
      <c r="N145" s="169"/>
      <c r="O145" s="168"/>
      <c r="P145" s="170" t="s">
        <v>291</v>
      </c>
      <c r="Q145" s="165" t="n">
        <v>15994</v>
      </c>
      <c r="R145" s="164" t="s">
        <v>292</v>
      </c>
      <c r="S145" s="144" t="n">
        <f aca="false">+I145*Q145*I$1</f>
        <v>2479.07</v>
      </c>
      <c r="T145" s="175" t="s">
        <v>293</v>
      </c>
      <c r="U145" s="172"/>
      <c r="V145" s="173" t="s">
        <v>155</v>
      </c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3"/>
      <c r="AQ145" s="173"/>
      <c r="AR145" s="173"/>
      <c r="AS145" s="173"/>
      <c r="AT145" s="173"/>
      <c r="AU145" s="173"/>
      <c r="AV145" s="173"/>
      <c r="AW145" s="173"/>
      <c r="AX145" s="173"/>
      <c r="AY145" s="173"/>
      <c r="AZ145" s="173"/>
      <c r="BA145" s="173"/>
      <c r="BB145" s="173"/>
      <c r="BC145" s="173"/>
      <c r="BD145" s="173"/>
      <c r="BE145" s="173"/>
      <c r="BF145" s="173"/>
      <c r="BG145" s="173"/>
      <c r="BH145" s="173"/>
      <c r="BI145" s="173"/>
      <c r="BJ145" s="173"/>
      <c r="BK145" s="173"/>
      <c r="BL145" s="173"/>
      <c r="BM145" s="173"/>
      <c r="BN145" s="173"/>
      <c r="BO145" s="173"/>
      <c r="BP145" s="173"/>
      <c r="BQ145" s="173"/>
      <c r="BR145" s="173"/>
      <c r="BS145" s="173"/>
      <c r="BT145" s="173"/>
      <c r="BU145" s="173"/>
      <c r="BV145" s="173"/>
      <c r="BW145" s="173"/>
      <c r="BX145" s="173"/>
      <c r="BY145" s="173"/>
      <c r="BZ145" s="173"/>
      <c r="CA145" s="173"/>
      <c r="CB145" s="173"/>
      <c r="CC145" s="173"/>
      <c r="CD145" s="173"/>
      <c r="CE145" s="173"/>
      <c r="CF145" s="173"/>
      <c r="CG145" s="173"/>
      <c r="CH145" s="173"/>
      <c r="CI145" s="173"/>
      <c r="CJ145" s="173"/>
      <c r="CK145" s="173"/>
      <c r="CL145" s="173"/>
      <c r="CM145" s="173"/>
      <c r="CN145" s="173"/>
      <c r="CO145" s="173"/>
      <c r="CP145" s="173"/>
      <c r="CQ145" s="173"/>
      <c r="CR145" s="173"/>
      <c r="CS145" s="173"/>
      <c r="CT145" s="173"/>
      <c r="CU145" s="173"/>
      <c r="CV145" s="173"/>
      <c r="CW145" s="173"/>
      <c r="CX145" s="173"/>
      <c r="CY145" s="173"/>
      <c r="CZ145" s="173"/>
      <c r="DA145" s="173"/>
      <c r="DB145" s="173"/>
      <c r="DC145" s="173"/>
      <c r="DD145" s="173"/>
      <c r="DE145" s="173"/>
      <c r="DF145" s="173"/>
      <c r="DG145" s="173"/>
      <c r="DH145" s="173"/>
      <c r="DI145" s="173"/>
      <c r="DJ145" s="173"/>
      <c r="DK145" s="173"/>
      <c r="DL145" s="173"/>
      <c r="DM145" s="173"/>
      <c r="DN145" s="173"/>
      <c r="DO145" s="173"/>
      <c r="DP145" s="173"/>
      <c r="DQ145" s="173"/>
      <c r="DR145" s="173"/>
      <c r="DS145" s="173"/>
      <c r="DT145" s="173"/>
      <c r="DU145" s="173"/>
      <c r="DV145" s="173"/>
      <c r="DW145" s="173"/>
      <c r="DX145" s="173"/>
      <c r="DY145" s="173"/>
      <c r="DZ145" s="173"/>
      <c r="EA145" s="173"/>
      <c r="EB145" s="173"/>
      <c r="EC145" s="173"/>
      <c r="ED145" s="173"/>
      <c r="EE145" s="173"/>
      <c r="EF145" s="173"/>
      <c r="EG145" s="173"/>
      <c r="EH145" s="173"/>
      <c r="EI145" s="173"/>
      <c r="EJ145" s="173"/>
      <c r="EK145" s="173"/>
      <c r="EL145" s="173"/>
      <c r="EM145" s="173"/>
      <c r="EN145" s="173"/>
      <c r="EO145" s="173"/>
      <c r="EP145" s="173"/>
      <c r="EQ145" s="173"/>
      <c r="ER145" s="173"/>
      <c r="ES145" s="173"/>
      <c r="ET145" s="173"/>
      <c r="EU145" s="173"/>
      <c r="EV145" s="173"/>
      <c r="EW145" s="173"/>
      <c r="EX145" s="173"/>
      <c r="EY145" s="173"/>
      <c r="EZ145" s="173"/>
      <c r="FA145" s="173"/>
      <c r="FB145" s="173"/>
      <c r="FC145" s="173"/>
      <c r="FD145" s="173"/>
      <c r="FE145" s="173"/>
      <c r="FF145" s="173"/>
      <c r="FG145" s="173"/>
      <c r="FH145" s="173"/>
      <c r="FI145" s="173"/>
      <c r="FJ145" s="173"/>
      <c r="FK145" s="173"/>
      <c r="FL145" s="173"/>
      <c r="FM145" s="173"/>
      <c r="FN145" s="173"/>
      <c r="FO145" s="173"/>
      <c r="FP145" s="173"/>
      <c r="FQ145" s="173"/>
      <c r="FR145" s="173"/>
      <c r="FS145" s="173"/>
      <c r="FT145" s="173"/>
      <c r="FU145" s="173"/>
      <c r="FV145" s="173"/>
      <c r="FW145" s="173"/>
      <c r="FX145" s="173"/>
      <c r="FY145" s="173"/>
      <c r="FZ145" s="173"/>
      <c r="GA145" s="173"/>
      <c r="GB145" s="173"/>
      <c r="GC145" s="173"/>
      <c r="GD145" s="173"/>
      <c r="GE145" s="173"/>
      <c r="GF145" s="173"/>
      <c r="GG145" s="173"/>
      <c r="GH145" s="173"/>
      <c r="GI145" s="173"/>
      <c r="GJ145" s="173"/>
      <c r="GK145" s="173"/>
      <c r="GL145" s="173"/>
      <c r="GM145" s="173"/>
      <c r="GN145" s="173"/>
      <c r="GO145" s="173"/>
      <c r="GP145" s="173"/>
      <c r="GQ145" s="173"/>
      <c r="GR145" s="173"/>
      <c r="GS145" s="173"/>
      <c r="GT145" s="173"/>
      <c r="GU145" s="173"/>
      <c r="GV145" s="173"/>
      <c r="GW145" s="173"/>
      <c r="GX145" s="173"/>
      <c r="GY145" s="173"/>
      <c r="GZ145" s="173"/>
      <c r="HA145" s="173"/>
      <c r="HB145" s="173"/>
      <c r="HC145" s="173"/>
      <c r="HD145" s="173"/>
      <c r="HE145" s="173"/>
      <c r="HF145" s="173"/>
      <c r="HG145" s="173"/>
      <c r="HH145" s="173"/>
      <c r="HI145" s="173"/>
      <c r="HJ145" s="173"/>
      <c r="HK145" s="173"/>
      <c r="HL145" s="173"/>
      <c r="HM145" s="173"/>
      <c r="HN145" s="173"/>
      <c r="HO145" s="173"/>
      <c r="HP145" s="173"/>
      <c r="HQ145" s="173"/>
      <c r="HR145" s="173"/>
      <c r="HS145" s="173"/>
      <c r="HT145" s="173"/>
      <c r="HU145" s="173"/>
      <c r="HV145" s="173"/>
      <c r="HW145" s="173"/>
      <c r="HX145" s="173"/>
      <c r="HY145" s="173"/>
      <c r="HZ145" s="173"/>
      <c r="IA145" s="173"/>
      <c r="IB145" s="173"/>
      <c r="IC145" s="173"/>
      <c r="ID145" s="173"/>
      <c r="IE145" s="173"/>
      <c r="IF145" s="173"/>
      <c r="IG145" s="173"/>
      <c r="IH145" s="173"/>
      <c r="II145" s="173"/>
      <c r="IJ145" s="173"/>
      <c r="IK145" s="173"/>
      <c r="IL145" s="173"/>
      <c r="IM145" s="173"/>
      <c r="IN145" s="173"/>
      <c r="IO145" s="173"/>
      <c r="IP145" s="173"/>
      <c r="IQ145" s="173"/>
      <c r="IR145" s="173"/>
      <c r="IS145" s="173"/>
      <c r="IT145" s="173"/>
      <c r="IU145" s="173"/>
      <c r="IV145" s="173"/>
      <c r="IW145" s="173"/>
    </row>
    <row r="146" customFormat="false" ht="12.75" hidden="false" customHeight="false" outlineLevel="0" collapsed="false">
      <c r="A146" s="164" t="s">
        <v>143</v>
      </c>
      <c r="B146" s="165" t="s">
        <v>286</v>
      </c>
      <c r="C146" s="165" t="s">
        <v>287</v>
      </c>
      <c r="D146" s="166" t="n">
        <v>36982</v>
      </c>
      <c r="E146" s="166" t="n">
        <v>37195</v>
      </c>
      <c r="F146" s="164" t="s">
        <v>288</v>
      </c>
      <c r="G146" s="164" t="s">
        <v>289</v>
      </c>
      <c r="H146" s="165" t="s">
        <v>290</v>
      </c>
      <c r="I146" s="174" t="n">
        <v>0.005</v>
      </c>
      <c r="J146" s="168"/>
      <c r="K146" s="168"/>
      <c r="L146" s="168"/>
      <c r="M146" s="168"/>
      <c r="N146" s="169"/>
      <c r="O146" s="168"/>
      <c r="P146" s="170" t="s">
        <v>294</v>
      </c>
      <c r="Q146" s="165" t="n">
        <v>1006</v>
      </c>
      <c r="R146" s="164" t="s">
        <v>295</v>
      </c>
      <c r="S146" s="144" t="n">
        <f aca="false">+I146*Q146*I$1</f>
        <v>155.93</v>
      </c>
      <c r="T146" s="175" t="s">
        <v>296</v>
      </c>
      <c r="U146" s="172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3"/>
      <c r="AQ146" s="173"/>
      <c r="AR146" s="173"/>
      <c r="AS146" s="173"/>
      <c r="AT146" s="173"/>
      <c r="AU146" s="173"/>
      <c r="AV146" s="173"/>
      <c r="AW146" s="173"/>
      <c r="AX146" s="173"/>
      <c r="AY146" s="173"/>
      <c r="AZ146" s="173"/>
      <c r="BA146" s="173"/>
      <c r="BB146" s="173"/>
      <c r="BC146" s="173"/>
      <c r="BD146" s="173"/>
      <c r="BE146" s="173"/>
      <c r="BF146" s="173"/>
      <c r="BG146" s="173"/>
      <c r="BH146" s="173"/>
      <c r="BI146" s="173"/>
      <c r="BJ146" s="173"/>
      <c r="BK146" s="173"/>
      <c r="BL146" s="173"/>
      <c r="BM146" s="173"/>
      <c r="BN146" s="173"/>
      <c r="BO146" s="173"/>
      <c r="BP146" s="173"/>
      <c r="BQ146" s="173"/>
      <c r="BR146" s="173"/>
      <c r="BS146" s="173"/>
      <c r="BT146" s="173"/>
      <c r="BU146" s="173"/>
      <c r="BV146" s="173"/>
      <c r="BW146" s="173"/>
      <c r="BX146" s="173"/>
      <c r="BY146" s="173"/>
      <c r="BZ146" s="173"/>
      <c r="CA146" s="173"/>
      <c r="CB146" s="173"/>
      <c r="CC146" s="173"/>
      <c r="CD146" s="173"/>
      <c r="CE146" s="173"/>
      <c r="CF146" s="173"/>
      <c r="CG146" s="173"/>
      <c r="CH146" s="173"/>
      <c r="CI146" s="173"/>
      <c r="CJ146" s="173"/>
      <c r="CK146" s="173"/>
      <c r="CL146" s="173"/>
      <c r="CM146" s="173"/>
      <c r="CN146" s="173"/>
      <c r="CO146" s="173"/>
      <c r="CP146" s="173"/>
      <c r="CQ146" s="173"/>
      <c r="CR146" s="173"/>
      <c r="CS146" s="173"/>
      <c r="CT146" s="173"/>
      <c r="CU146" s="173"/>
      <c r="CV146" s="173"/>
      <c r="CW146" s="173"/>
      <c r="CX146" s="173"/>
      <c r="CY146" s="173"/>
      <c r="CZ146" s="173"/>
      <c r="DA146" s="173"/>
      <c r="DB146" s="173"/>
      <c r="DC146" s="173"/>
      <c r="DD146" s="173"/>
      <c r="DE146" s="173"/>
      <c r="DF146" s="173"/>
      <c r="DG146" s="173"/>
      <c r="DH146" s="173"/>
      <c r="DI146" s="173"/>
      <c r="DJ146" s="173"/>
      <c r="DK146" s="173"/>
      <c r="DL146" s="173"/>
      <c r="DM146" s="173"/>
      <c r="DN146" s="173"/>
      <c r="DO146" s="173"/>
      <c r="DP146" s="173"/>
      <c r="DQ146" s="173"/>
      <c r="DR146" s="173"/>
      <c r="DS146" s="173"/>
      <c r="DT146" s="173"/>
      <c r="DU146" s="173"/>
      <c r="DV146" s="173"/>
      <c r="DW146" s="173"/>
      <c r="DX146" s="173"/>
      <c r="DY146" s="173"/>
      <c r="DZ146" s="173"/>
      <c r="EA146" s="173"/>
      <c r="EB146" s="173"/>
      <c r="EC146" s="173"/>
      <c r="ED146" s="173"/>
      <c r="EE146" s="173"/>
      <c r="EF146" s="173"/>
      <c r="EG146" s="173"/>
      <c r="EH146" s="173"/>
      <c r="EI146" s="173"/>
      <c r="EJ146" s="173"/>
      <c r="EK146" s="173"/>
      <c r="EL146" s="173"/>
      <c r="EM146" s="173"/>
      <c r="EN146" s="173"/>
      <c r="EO146" s="173"/>
      <c r="EP146" s="173"/>
      <c r="EQ146" s="173"/>
      <c r="ER146" s="173"/>
      <c r="ES146" s="173"/>
      <c r="ET146" s="173"/>
      <c r="EU146" s="173"/>
      <c r="EV146" s="173"/>
      <c r="EW146" s="173"/>
      <c r="EX146" s="173"/>
      <c r="EY146" s="173"/>
      <c r="EZ146" s="173"/>
      <c r="FA146" s="173"/>
      <c r="FB146" s="173"/>
      <c r="FC146" s="173"/>
      <c r="FD146" s="173"/>
      <c r="FE146" s="173"/>
      <c r="FF146" s="173"/>
      <c r="FG146" s="173"/>
      <c r="FH146" s="173"/>
      <c r="FI146" s="173"/>
      <c r="FJ146" s="173"/>
      <c r="FK146" s="173"/>
      <c r="FL146" s="173"/>
      <c r="FM146" s="173"/>
      <c r="FN146" s="173"/>
      <c r="FO146" s="173"/>
      <c r="FP146" s="173"/>
      <c r="FQ146" s="173"/>
      <c r="FR146" s="173"/>
      <c r="FS146" s="173"/>
      <c r="FT146" s="173"/>
      <c r="FU146" s="173"/>
      <c r="FV146" s="173"/>
      <c r="FW146" s="173"/>
      <c r="FX146" s="173"/>
      <c r="FY146" s="173"/>
      <c r="FZ146" s="173"/>
      <c r="GA146" s="173"/>
      <c r="GB146" s="173"/>
      <c r="GC146" s="173"/>
      <c r="GD146" s="173"/>
      <c r="GE146" s="173"/>
      <c r="GF146" s="173"/>
      <c r="GG146" s="173"/>
      <c r="GH146" s="173"/>
      <c r="GI146" s="173"/>
      <c r="GJ146" s="173"/>
      <c r="GK146" s="173"/>
      <c r="GL146" s="173"/>
      <c r="GM146" s="173"/>
      <c r="GN146" s="173"/>
      <c r="GO146" s="173"/>
      <c r="GP146" s="173"/>
      <c r="GQ146" s="173"/>
      <c r="GR146" s="173"/>
      <c r="GS146" s="173"/>
      <c r="GT146" s="173"/>
      <c r="GU146" s="173"/>
      <c r="GV146" s="173"/>
      <c r="GW146" s="173"/>
      <c r="GX146" s="173"/>
      <c r="GY146" s="173"/>
      <c r="GZ146" s="173"/>
      <c r="HA146" s="173"/>
      <c r="HB146" s="173"/>
      <c r="HC146" s="173"/>
      <c r="HD146" s="173"/>
      <c r="HE146" s="173"/>
      <c r="HF146" s="173"/>
      <c r="HG146" s="173"/>
      <c r="HH146" s="173"/>
      <c r="HI146" s="173"/>
      <c r="HJ146" s="173"/>
      <c r="HK146" s="173"/>
      <c r="HL146" s="173"/>
      <c r="HM146" s="173"/>
      <c r="HN146" s="173"/>
      <c r="HO146" s="173"/>
      <c r="HP146" s="173"/>
      <c r="HQ146" s="173"/>
      <c r="HR146" s="173"/>
      <c r="HS146" s="173"/>
      <c r="HT146" s="173"/>
      <c r="HU146" s="173"/>
      <c r="HV146" s="173"/>
      <c r="HW146" s="173"/>
      <c r="HX146" s="173"/>
      <c r="HY146" s="173"/>
      <c r="HZ146" s="173"/>
      <c r="IA146" s="173"/>
      <c r="IB146" s="173"/>
      <c r="IC146" s="173"/>
      <c r="ID146" s="173"/>
      <c r="IE146" s="173"/>
      <c r="IF146" s="173"/>
      <c r="IG146" s="173"/>
      <c r="IH146" s="173"/>
      <c r="II146" s="173"/>
      <c r="IJ146" s="173"/>
      <c r="IK146" s="173"/>
      <c r="IL146" s="173"/>
      <c r="IM146" s="173"/>
      <c r="IN146" s="173"/>
      <c r="IO146" s="173"/>
      <c r="IP146" s="173"/>
      <c r="IQ146" s="173"/>
      <c r="IR146" s="173"/>
      <c r="IS146" s="173"/>
      <c r="IT146" s="173"/>
      <c r="IU146" s="173"/>
      <c r="IV146" s="173"/>
      <c r="IW146" s="173"/>
    </row>
    <row r="147" customFormat="false" ht="12.75" hidden="false" customHeight="false" outlineLevel="0" collapsed="false">
      <c r="A147" s="93"/>
      <c r="B147" s="88"/>
      <c r="C147" s="88"/>
      <c r="D147" s="94"/>
      <c r="E147" s="94"/>
      <c r="F147" s="93"/>
      <c r="G147" s="93"/>
      <c r="H147" s="88"/>
      <c r="I147" s="96"/>
      <c r="J147" s="87"/>
      <c r="K147" s="87"/>
      <c r="L147" s="87"/>
      <c r="M147" s="87"/>
      <c r="N147" s="161" t="s">
        <v>9</v>
      </c>
      <c r="O147" s="87"/>
      <c r="P147" s="149"/>
      <c r="Q147" s="88"/>
      <c r="R147" s="93" t="s">
        <v>9</v>
      </c>
      <c r="S147" s="144"/>
      <c r="T147" s="56"/>
      <c r="U147" s="56"/>
      <c r="V147" s="150"/>
      <c r="W147" s="150"/>
      <c r="X147" s="150"/>
      <c r="Y147" s="150"/>
      <c r="Z147" s="150"/>
      <c r="AA147" s="150"/>
      <c r="AB147" s="150"/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  <c r="BI147" s="150"/>
      <c r="BJ147" s="150"/>
      <c r="BK147" s="150"/>
      <c r="BL147" s="150"/>
      <c r="BM147" s="150"/>
      <c r="BN147" s="150"/>
      <c r="BO147" s="150"/>
      <c r="BP147" s="150"/>
      <c r="BQ147" s="150"/>
      <c r="BR147" s="150"/>
      <c r="BS147" s="150"/>
      <c r="BT147" s="150"/>
      <c r="BU147" s="150"/>
      <c r="BV147" s="150"/>
      <c r="BW147" s="150"/>
      <c r="BX147" s="150"/>
      <c r="BY147" s="150"/>
      <c r="BZ147" s="150"/>
      <c r="CA147" s="150"/>
      <c r="CB147" s="150"/>
      <c r="CC147" s="150"/>
      <c r="CD147" s="150"/>
      <c r="CE147" s="150"/>
      <c r="CF147" s="150"/>
      <c r="CG147" s="150"/>
      <c r="CH147" s="150"/>
      <c r="CI147" s="150"/>
      <c r="CJ147" s="150"/>
      <c r="CK147" s="150"/>
      <c r="CL147" s="150"/>
      <c r="CM147" s="150"/>
      <c r="CN147" s="150"/>
      <c r="CO147" s="150"/>
      <c r="CP147" s="150"/>
      <c r="CQ147" s="150"/>
      <c r="CR147" s="150"/>
      <c r="CS147" s="150"/>
      <c r="CT147" s="150"/>
      <c r="CU147" s="150"/>
      <c r="CV147" s="150"/>
      <c r="CW147" s="150"/>
      <c r="CX147" s="150"/>
      <c r="CY147" s="150"/>
      <c r="CZ147" s="150"/>
      <c r="DA147" s="150"/>
      <c r="DB147" s="150"/>
      <c r="DC147" s="150"/>
      <c r="DD147" s="150"/>
      <c r="DE147" s="150"/>
      <c r="DF147" s="150"/>
      <c r="DG147" s="150"/>
      <c r="DH147" s="150"/>
      <c r="DI147" s="150"/>
      <c r="DJ147" s="150"/>
      <c r="DK147" s="150"/>
      <c r="DL147" s="150"/>
      <c r="DM147" s="150"/>
      <c r="DN147" s="150"/>
      <c r="DO147" s="150"/>
      <c r="DP147" s="150"/>
      <c r="DQ147" s="150"/>
      <c r="DR147" s="150"/>
      <c r="DS147" s="150"/>
      <c r="DT147" s="150"/>
      <c r="DU147" s="150"/>
      <c r="DV147" s="150"/>
      <c r="DW147" s="150"/>
      <c r="DX147" s="150"/>
      <c r="DY147" s="150"/>
      <c r="DZ147" s="150"/>
      <c r="EA147" s="150"/>
      <c r="EB147" s="150"/>
      <c r="EC147" s="150"/>
      <c r="ED147" s="150"/>
      <c r="EE147" s="150"/>
      <c r="EF147" s="150"/>
      <c r="EG147" s="150"/>
      <c r="EH147" s="150"/>
      <c r="EI147" s="150"/>
      <c r="EJ147" s="150"/>
      <c r="EK147" s="150"/>
      <c r="EL147" s="150"/>
      <c r="EM147" s="150"/>
      <c r="EN147" s="150"/>
      <c r="EO147" s="150"/>
      <c r="EP147" s="150"/>
      <c r="EQ147" s="150"/>
      <c r="ER147" s="150"/>
      <c r="ES147" s="150"/>
      <c r="ET147" s="150"/>
      <c r="EU147" s="150"/>
      <c r="EV147" s="150"/>
      <c r="EW147" s="150"/>
      <c r="EX147" s="150"/>
      <c r="EY147" s="150"/>
      <c r="EZ147" s="150"/>
      <c r="FA147" s="150"/>
      <c r="FB147" s="150"/>
      <c r="FC147" s="150"/>
      <c r="FD147" s="150"/>
      <c r="FE147" s="150"/>
      <c r="FF147" s="150"/>
      <c r="FG147" s="150"/>
      <c r="FH147" s="150"/>
      <c r="FI147" s="150"/>
      <c r="FJ147" s="150"/>
      <c r="FK147" s="150"/>
      <c r="FL147" s="150"/>
      <c r="FM147" s="150"/>
      <c r="FN147" s="150"/>
      <c r="FO147" s="150"/>
      <c r="FP147" s="150"/>
      <c r="FQ147" s="150"/>
      <c r="FR147" s="150"/>
      <c r="FS147" s="150"/>
      <c r="FT147" s="150"/>
      <c r="FU147" s="150"/>
      <c r="FV147" s="150"/>
      <c r="FW147" s="150"/>
      <c r="FX147" s="150"/>
      <c r="FY147" s="150"/>
      <c r="FZ147" s="150"/>
      <c r="GA147" s="150"/>
      <c r="GB147" s="150"/>
      <c r="GC147" s="150"/>
      <c r="GD147" s="150"/>
      <c r="GE147" s="150"/>
      <c r="GF147" s="150"/>
      <c r="GG147" s="150"/>
      <c r="GH147" s="150"/>
      <c r="GI147" s="150"/>
      <c r="GJ147" s="150"/>
      <c r="GK147" s="150"/>
      <c r="GL147" s="150"/>
      <c r="GM147" s="150"/>
      <c r="GN147" s="150"/>
      <c r="GO147" s="150"/>
      <c r="GP147" s="150"/>
      <c r="GQ147" s="150"/>
      <c r="GR147" s="150"/>
      <c r="GS147" s="150"/>
      <c r="GT147" s="150"/>
      <c r="GU147" s="150"/>
      <c r="GV147" s="150"/>
      <c r="GW147" s="150"/>
      <c r="GX147" s="150"/>
      <c r="GY147" s="150"/>
      <c r="GZ147" s="150"/>
      <c r="HA147" s="150"/>
      <c r="HB147" s="150"/>
      <c r="HC147" s="150"/>
      <c r="HD147" s="150"/>
      <c r="HE147" s="150"/>
      <c r="HF147" s="150"/>
      <c r="HG147" s="150"/>
      <c r="HH147" s="150"/>
      <c r="HI147" s="150"/>
      <c r="HJ147" s="150"/>
      <c r="HK147" s="150"/>
      <c r="HL147" s="150"/>
      <c r="HM147" s="150"/>
      <c r="HN147" s="150"/>
      <c r="HO147" s="150"/>
      <c r="HP147" s="150"/>
      <c r="HQ147" s="150"/>
      <c r="HR147" s="150"/>
      <c r="HS147" s="150"/>
      <c r="HT147" s="150"/>
      <c r="HU147" s="150"/>
      <c r="HV147" s="150"/>
      <c r="HW147" s="150"/>
      <c r="HX147" s="150"/>
      <c r="HY147" s="150"/>
      <c r="HZ147" s="150"/>
      <c r="IA147" s="150"/>
      <c r="IB147" s="150"/>
      <c r="IC147" s="150"/>
      <c r="ID147" s="150"/>
      <c r="IE147" s="150"/>
      <c r="IF147" s="150"/>
      <c r="IG147" s="150"/>
      <c r="IH147" s="150"/>
      <c r="II147" s="150"/>
      <c r="IJ147" s="150"/>
      <c r="IK147" s="150"/>
      <c r="IL147" s="150"/>
      <c r="IM147" s="150"/>
      <c r="IN147" s="150"/>
      <c r="IO147" s="150"/>
      <c r="IP147" s="150"/>
      <c r="IQ147" s="150"/>
      <c r="IR147" s="150"/>
      <c r="IS147" s="150"/>
      <c r="IT147" s="150"/>
      <c r="IU147" s="150"/>
      <c r="IV147" s="150"/>
      <c r="IW147" s="150"/>
    </row>
    <row r="148" customFormat="false" ht="12.75" hidden="false" customHeight="false" outlineLevel="0" collapsed="false">
      <c r="A148" s="93"/>
      <c r="B148" s="88"/>
      <c r="C148" s="88"/>
      <c r="D148" s="94"/>
      <c r="E148" s="94"/>
      <c r="F148" s="93"/>
      <c r="G148" s="93"/>
      <c r="H148" s="88"/>
      <c r="I148" s="96"/>
      <c r="J148" s="87"/>
      <c r="K148" s="87"/>
      <c r="L148" s="87"/>
      <c r="M148" s="87"/>
      <c r="N148" s="97"/>
      <c r="O148" s="87"/>
      <c r="P148" s="149"/>
      <c r="Q148" s="88" t="n">
        <f aca="false">SUM(Q145:Q147)</f>
        <v>17000</v>
      </c>
      <c r="R148" s="93" t="s">
        <v>175</v>
      </c>
      <c r="S148" s="144" t="n">
        <f aca="false">SUM(S145:S147)</f>
        <v>2635</v>
      </c>
      <c r="T148" s="55"/>
      <c r="U148" s="56"/>
      <c r="V148" s="56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  <c r="BI148" s="150"/>
      <c r="BJ148" s="150"/>
      <c r="BK148" s="150"/>
      <c r="BL148" s="150"/>
      <c r="BM148" s="150"/>
      <c r="BN148" s="150"/>
      <c r="BO148" s="150"/>
      <c r="BP148" s="150"/>
      <c r="BQ148" s="150"/>
      <c r="BR148" s="150"/>
      <c r="BS148" s="150"/>
      <c r="BT148" s="150"/>
      <c r="BU148" s="150"/>
      <c r="BV148" s="150"/>
      <c r="BW148" s="150"/>
      <c r="BX148" s="150"/>
      <c r="BY148" s="150"/>
      <c r="BZ148" s="150"/>
      <c r="CA148" s="150"/>
      <c r="CB148" s="150"/>
      <c r="CC148" s="150"/>
      <c r="CD148" s="150"/>
      <c r="CE148" s="150"/>
      <c r="CF148" s="150"/>
      <c r="CG148" s="150"/>
      <c r="CH148" s="150"/>
      <c r="CI148" s="150"/>
      <c r="CJ148" s="150"/>
      <c r="CK148" s="150"/>
      <c r="CL148" s="150"/>
      <c r="CM148" s="150"/>
      <c r="CN148" s="150"/>
      <c r="CO148" s="150"/>
      <c r="CP148" s="150"/>
      <c r="CQ148" s="150"/>
      <c r="CR148" s="150"/>
      <c r="CS148" s="150"/>
      <c r="CT148" s="150"/>
      <c r="CU148" s="150"/>
      <c r="CV148" s="150"/>
      <c r="CW148" s="150"/>
      <c r="CX148" s="150"/>
      <c r="CY148" s="150"/>
      <c r="CZ148" s="150"/>
      <c r="DA148" s="150"/>
      <c r="DB148" s="150"/>
      <c r="DC148" s="150"/>
      <c r="DD148" s="150"/>
      <c r="DE148" s="150"/>
      <c r="DF148" s="150"/>
      <c r="DG148" s="150"/>
      <c r="DH148" s="150"/>
      <c r="DI148" s="150"/>
      <c r="DJ148" s="150"/>
      <c r="DK148" s="150"/>
      <c r="DL148" s="150"/>
      <c r="DM148" s="150"/>
      <c r="DN148" s="150"/>
      <c r="DO148" s="150"/>
      <c r="DP148" s="150"/>
      <c r="DQ148" s="150"/>
      <c r="DR148" s="150"/>
      <c r="DS148" s="150"/>
      <c r="DT148" s="150"/>
      <c r="DU148" s="150"/>
      <c r="DV148" s="150"/>
      <c r="DW148" s="150"/>
      <c r="DX148" s="150"/>
      <c r="DY148" s="150"/>
      <c r="DZ148" s="150"/>
      <c r="EA148" s="150"/>
      <c r="EB148" s="150"/>
      <c r="EC148" s="150"/>
      <c r="ED148" s="150"/>
      <c r="EE148" s="150"/>
      <c r="EF148" s="150"/>
      <c r="EG148" s="150"/>
      <c r="EH148" s="150"/>
      <c r="EI148" s="150"/>
      <c r="EJ148" s="150"/>
      <c r="EK148" s="150"/>
      <c r="EL148" s="150"/>
      <c r="EM148" s="150"/>
      <c r="EN148" s="150"/>
      <c r="EO148" s="150"/>
      <c r="EP148" s="150"/>
      <c r="EQ148" s="150"/>
      <c r="ER148" s="150"/>
      <c r="ES148" s="150"/>
      <c r="ET148" s="150"/>
      <c r="EU148" s="150"/>
      <c r="EV148" s="150"/>
      <c r="EW148" s="150"/>
      <c r="EX148" s="150"/>
      <c r="EY148" s="150"/>
      <c r="EZ148" s="150"/>
      <c r="FA148" s="150"/>
      <c r="FB148" s="150"/>
      <c r="FC148" s="150"/>
      <c r="FD148" s="150"/>
      <c r="FE148" s="150"/>
      <c r="FF148" s="150"/>
      <c r="FG148" s="150"/>
      <c r="FH148" s="150"/>
      <c r="FI148" s="150"/>
      <c r="FJ148" s="150"/>
      <c r="FK148" s="150"/>
      <c r="FL148" s="150"/>
      <c r="FM148" s="150"/>
      <c r="FN148" s="150"/>
      <c r="FO148" s="150"/>
      <c r="FP148" s="150"/>
      <c r="FQ148" s="150"/>
      <c r="FR148" s="150"/>
      <c r="FS148" s="150"/>
      <c r="FT148" s="150"/>
      <c r="FU148" s="150"/>
      <c r="FV148" s="150"/>
      <c r="FW148" s="150"/>
      <c r="FX148" s="150"/>
      <c r="FY148" s="150"/>
      <c r="FZ148" s="150"/>
      <c r="GA148" s="150"/>
      <c r="GB148" s="150"/>
      <c r="GC148" s="150"/>
      <c r="GD148" s="150"/>
      <c r="GE148" s="150"/>
      <c r="GF148" s="150"/>
      <c r="GG148" s="150"/>
      <c r="GH148" s="150"/>
      <c r="GI148" s="150"/>
      <c r="GJ148" s="150"/>
      <c r="GK148" s="150"/>
      <c r="GL148" s="150"/>
      <c r="GM148" s="150"/>
      <c r="GN148" s="150"/>
      <c r="GO148" s="150"/>
      <c r="GP148" s="150"/>
      <c r="GQ148" s="150"/>
      <c r="GR148" s="150"/>
      <c r="GS148" s="150"/>
      <c r="GT148" s="150"/>
      <c r="GU148" s="150"/>
      <c r="GV148" s="150"/>
      <c r="GW148" s="150"/>
      <c r="GX148" s="150"/>
      <c r="GY148" s="150"/>
      <c r="GZ148" s="150"/>
      <c r="HA148" s="150"/>
      <c r="HB148" s="150"/>
      <c r="HC148" s="150"/>
      <c r="HD148" s="150"/>
      <c r="HE148" s="150"/>
      <c r="HF148" s="150"/>
      <c r="HG148" s="150"/>
      <c r="HH148" s="150"/>
      <c r="HI148" s="150"/>
      <c r="HJ148" s="150"/>
      <c r="HK148" s="150"/>
      <c r="HL148" s="150"/>
      <c r="HM148" s="150"/>
      <c r="HN148" s="150"/>
      <c r="HO148" s="150"/>
      <c r="HP148" s="150"/>
      <c r="HQ148" s="150"/>
      <c r="HR148" s="150"/>
      <c r="HS148" s="150"/>
      <c r="HT148" s="150"/>
      <c r="HU148" s="150"/>
      <c r="HV148" s="150"/>
      <c r="HW148" s="150"/>
      <c r="HX148" s="150"/>
      <c r="HY148" s="150"/>
      <c r="HZ148" s="150"/>
      <c r="IA148" s="150"/>
      <c r="IB148" s="150"/>
      <c r="IC148" s="150"/>
      <c r="ID148" s="150"/>
      <c r="IE148" s="150"/>
      <c r="IF148" s="150"/>
      <c r="IG148" s="150"/>
      <c r="IH148" s="150"/>
      <c r="II148" s="150"/>
      <c r="IJ148" s="150"/>
      <c r="IK148" s="150"/>
      <c r="IL148" s="150"/>
      <c r="IM148" s="150"/>
      <c r="IN148" s="150"/>
      <c r="IO148" s="150"/>
      <c r="IP148" s="150"/>
      <c r="IQ148" s="150"/>
      <c r="IR148" s="150"/>
      <c r="IS148" s="150"/>
      <c r="IT148" s="150"/>
      <c r="IU148" s="150"/>
      <c r="IV148" s="150"/>
      <c r="IW148" s="150"/>
    </row>
    <row r="149" customFormat="false" ht="12.75" hidden="false" customHeight="false" outlineLevel="0" collapsed="false">
      <c r="A149" s="37"/>
      <c r="B149" s="38"/>
      <c r="C149" s="38"/>
      <c r="D149" s="39"/>
      <c r="E149" s="39"/>
      <c r="F149" s="37"/>
      <c r="G149" s="37"/>
      <c r="H149" s="38"/>
      <c r="I149" s="40"/>
      <c r="J149" s="41"/>
      <c r="K149" s="41"/>
      <c r="L149" s="41"/>
      <c r="M149" s="41"/>
      <c r="N149" s="42"/>
      <c r="O149" s="41"/>
      <c r="P149" s="43"/>
      <c r="Q149" s="90"/>
      <c r="R149" s="93" t="s">
        <v>176</v>
      </c>
      <c r="S149" s="144" t="n">
        <v>0</v>
      </c>
      <c r="T149" s="45"/>
      <c r="U149" s="46"/>
      <c r="V149" s="46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3"/>
      <c r="HR149" s="23"/>
      <c r="HS149" s="23"/>
      <c r="HT149" s="23"/>
      <c r="HU149" s="23"/>
      <c r="HV149" s="23"/>
      <c r="HW149" s="23"/>
      <c r="HX149" s="23"/>
      <c r="HY149" s="23"/>
      <c r="HZ149" s="23"/>
      <c r="IA149" s="23"/>
      <c r="IB149" s="23"/>
      <c r="IC149" s="23"/>
      <c r="ID149" s="23"/>
      <c r="IE149" s="23"/>
      <c r="IF149" s="23"/>
      <c r="IG149" s="23"/>
      <c r="IH149" s="23"/>
      <c r="II149" s="23"/>
      <c r="IJ149" s="23"/>
      <c r="IK149" s="23"/>
      <c r="IL149" s="23"/>
      <c r="IM149" s="23"/>
      <c r="IN149" s="23"/>
      <c r="IO149" s="23"/>
      <c r="IP149" s="23"/>
      <c r="IQ149" s="23"/>
      <c r="IR149" s="23"/>
      <c r="IS149" s="23"/>
      <c r="IT149" s="23"/>
      <c r="IU149" s="23"/>
      <c r="IV149" s="23"/>
      <c r="IW149" s="23"/>
    </row>
    <row r="150" customFormat="false" ht="13.5" hidden="false" customHeight="false" outlineLevel="0" collapsed="false">
      <c r="A150" s="37"/>
      <c r="B150" s="38"/>
      <c r="C150" s="38"/>
      <c r="D150" s="39"/>
      <c r="E150" s="39"/>
      <c r="F150" s="37"/>
      <c r="G150" s="37"/>
      <c r="H150" s="38"/>
      <c r="I150" s="40"/>
      <c r="J150" s="41"/>
      <c r="K150" s="41"/>
      <c r="L150" s="41"/>
      <c r="M150" s="41"/>
      <c r="N150" s="42"/>
      <c r="O150" s="41"/>
      <c r="P150" s="43"/>
      <c r="Q150" s="90"/>
      <c r="R150" s="93" t="s">
        <v>177</v>
      </c>
      <c r="S150" s="176" t="n">
        <f aca="false">+S148-S149</f>
        <v>2635</v>
      </c>
      <c r="T150" s="45"/>
      <c r="U150" s="46"/>
      <c r="V150" s="46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3"/>
      <c r="HR150" s="23"/>
      <c r="HS150" s="23"/>
      <c r="HT150" s="23"/>
      <c r="HU150" s="23"/>
      <c r="HV150" s="23"/>
      <c r="HW150" s="23"/>
      <c r="HX150" s="23"/>
      <c r="HY150" s="23"/>
      <c r="HZ150" s="23"/>
      <c r="IA150" s="23"/>
      <c r="IB150" s="23"/>
      <c r="IC150" s="23"/>
      <c r="ID150" s="23"/>
      <c r="IE150" s="23"/>
      <c r="IF150" s="23"/>
      <c r="IG150" s="23"/>
      <c r="IH150" s="23"/>
      <c r="II150" s="23"/>
      <c r="IJ150" s="23"/>
      <c r="IK150" s="23"/>
      <c r="IL150" s="23"/>
      <c r="IM150" s="23"/>
      <c r="IN150" s="23"/>
      <c r="IO150" s="23"/>
      <c r="IP150" s="23"/>
      <c r="IQ150" s="23"/>
      <c r="IR150" s="23"/>
      <c r="IS150" s="23"/>
      <c r="IT150" s="23"/>
      <c r="IU150" s="23"/>
      <c r="IV150" s="23"/>
      <c r="IW150" s="23"/>
    </row>
    <row r="151" customFormat="false" ht="13.5" hidden="false" customHeight="false" outlineLevel="0" collapsed="false">
      <c r="A151" s="37"/>
      <c r="B151" s="38"/>
      <c r="C151" s="38"/>
      <c r="D151" s="39"/>
      <c r="E151" s="39"/>
      <c r="F151" s="37"/>
      <c r="G151" s="37"/>
      <c r="H151" s="38"/>
      <c r="I151" s="40"/>
      <c r="J151" s="41"/>
      <c r="K151" s="41"/>
      <c r="L151" s="41"/>
      <c r="M151" s="41"/>
      <c r="N151" s="42"/>
      <c r="O151" s="41"/>
      <c r="P151" s="43"/>
      <c r="Q151" s="38"/>
      <c r="R151" s="37"/>
      <c r="S151" s="44"/>
      <c r="T151" s="45"/>
      <c r="U151" s="46"/>
      <c r="V151" s="46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  <c r="HW151" s="23"/>
      <c r="HX151" s="23"/>
      <c r="HY151" s="23"/>
      <c r="HZ151" s="23"/>
      <c r="IA151" s="23"/>
      <c r="IB151" s="23"/>
      <c r="IC151" s="23"/>
      <c r="ID151" s="23"/>
      <c r="IE151" s="23"/>
      <c r="IF151" s="23"/>
      <c r="IG151" s="23"/>
      <c r="IH151" s="23"/>
      <c r="II151" s="23"/>
      <c r="IJ151" s="23"/>
      <c r="IK151" s="23"/>
      <c r="IL151" s="23"/>
      <c r="IM151" s="23"/>
      <c r="IN151" s="23"/>
      <c r="IO151" s="23"/>
      <c r="IP151" s="23"/>
      <c r="IQ151" s="23"/>
      <c r="IR151" s="23"/>
      <c r="IS151" s="23"/>
      <c r="IT151" s="23"/>
      <c r="IU151" s="23"/>
      <c r="IV151" s="23"/>
      <c r="IW151" s="23"/>
    </row>
    <row r="152" customFormat="false" ht="12.75" hidden="false" customHeight="false" outlineLevel="0" collapsed="false">
      <c r="A152" s="128" t="s">
        <v>108</v>
      </c>
      <c r="B152" s="129" t="s">
        <v>109</v>
      </c>
      <c r="C152" s="129" t="s">
        <v>110</v>
      </c>
      <c r="D152" s="130" t="s">
        <v>111</v>
      </c>
      <c r="E152" s="130"/>
      <c r="F152" s="128" t="s">
        <v>112</v>
      </c>
      <c r="G152" s="128" t="s">
        <v>113</v>
      </c>
      <c r="H152" s="129" t="s">
        <v>114</v>
      </c>
      <c r="I152" s="131" t="s">
        <v>115</v>
      </c>
      <c r="J152" s="129" t="s">
        <v>116</v>
      </c>
      <c r="K152" s="129" t="s">
        <v>117</v>
      </c>
      <c r="L152" s="129" t="s">
        <v>118</v>
      </c>
      <c r="M152" s="129" t="s">
        <v>7</v>
      </c>
      <c r="N152" s="129" t="s">
        <v>297</v>
      </c>
      <c r="O152" s="129" t="s">
        <v>120</v>
      </c>
      <c r="P152" s="133" t="s">
        <v>121</v>
      </c>
      <c r="Q152" s="129" t="s">
        <v>122</v>
      </c>
      <c r="R152" s="128" t="s">
        <v>123</v>
      </c>
      <c r="S152" s="177" t="s">
        <v>203</v>
      </c>
      <c r="T152" s="107"/>
      <c r="U152" s="107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  <c r="BI152" s="134"/>
      <c r="BJ152" s="134"/>
      <c r="BK152" s="134"/>
      <c r="BL152" s="134"/>
      <c r="BM152" s="134"/>
      <c r="BN152" s="134"/>
      <c r="BO152" s="134"/>
      <c r="BP152" s="134"/>
      <c r="BQ152" s="134"/>
      <c r="BR152" s="134"/>
      <c r="BS152" s="134"/>
      <c r="BT152" s="134"/>
      <c r="BU152" s="134"/>
      <c r="BV152" s="134"/>
      <c r="BW152" s="134"/>
      <c r="BX152" s="134"/>
      <c r="BY152" s="134"/>
      <c r="BZ152" s="134"/>
      <c r="CA152" s="134"/>
      <c r="CB152" s="134"/>
      <c r="CC152" s="134"/>
      <c r="CD152" s="134"/>
      <c r="CE152" s="134"/>
      <c r="CF152" s="134"/>
      <c r="CG152" s="134"/>
      <c r="CH152" s="134"/>
      <c r="CI152" s="134"/>
      <c r="CJ152" s="134"/>
      <c r="CK152" s="134"/>
      <c r="CL152" s="134"/>
      <c r="CM152" s="134"/>
      <c r="CN152" s="134"/>
      <c r="CO152" s="134"/>
      <c r="CP152" s="134"/>
      <c r="CQ152" s="134"/>
      <c r="CR152" s="134"/>
      <c r="CS152" s="134"/>
      <c r="CT152" s="134"/>
      <c r="CU152" s="134"/>
      <c r="CV152" s="134"/>
      <c r="CW152" s="134"/>
      <c r="CX152" s="134"/>
      <c r="CY152" s="134"/>
      <c r="CZ152" s="134"/>
      <c r="DA152" s="134"/>
      <c r="DB152" s="134"/>
      <c r="DC152" s="134"/>
      <c r="DD152" s="134"/>
      <c r="DE152" s="134"/>
      <c r="DF152" s="134"/>
      <c r="DG152" s="134"/>
      <c r="DH152" s="134"/>
      <c r="DI152" s="134"/>
      <c r="DJ152" s="134"/>
      <c r="DK152" s="134"/>
      <c r="DL152" s="134"/>
      <c r="DM152" s="134"/>
      <c r="DN152" s="134"/>
      <c r="DO152" s="134"/>
      <c r="DP152" s="134"/>
      <c r="DQ152" s="134"/>
      <c r="DR152" s="134"/>
      <c r="DS152" s="134"/>
      <c r="DT152" s="134"/>
      <c r="DU152" s="134"/>
      <c r="DV152" s="134"/>
      <c r="DW152" s="134"/>
      <c r="DX152" s="134"/>
      <c r="DY152" s="134"/>
      <c r="DZ152" s="134"/>
      <c r="EA152" s="134"/>
      <c r="EB152" s="134"/>
      <c r="EC152" s="134"/>
      <c r="ED152" s="134"/>
      <c r="EE152" s="134"/>
      <c r="EF152" s="134"/>
      <c r="EG152" s="134"/>
      <c r="EH152" s="134"/>
      <c r="EI152" s="134"/>
      <c r="EJ152" s="134"/>
      <c r="EK152" s="134"/>
      <c r="EL152" s="134"/>
      <c r="EM152" s="134"/>
      <c r="EN152" s="134"/>
      <c r="EO152" s="134"/>
      <c r="EP152" s="134"/>
      <c r="EQ152" s="134"/>
      <c r="ER152" s="134"/>
      <c r="ES152" s="134"/>
      <c r="ET152" s="134"/>
      <c r="EU152" s="134"/>
      <c r="EV152" s="134"/>
      <c r="EW152" s="134"/>
      <c r="EX152" s="134"/>
      <c r="EY152" s="134"/>
      <c r="EZ152" s="134"/>
      <c r="FA152" s="134"/>
      <c r="FB152" s="134"/>
      <c r="FC152" s="134"/>
      <c r="FD152" s="134"/>
      <c r="FE152" s="134"/>
      <c r="FF152" s="134"/>
      <c r="FG152" s="134"/>
      <c r="FH152" s="134"/>
      <c r="FI152" s="134"/>
      <c r="FJ152" s="134"/>
      <c r="FK152" s="134"/>
      <c r="FL152" s="134"/>
      <c r="FM152" s="134"/>
      <c r="FN152" s="134"/>
      <c r="FO152" s="134"/>
      <c r="FP152" s="134"/>
      <c r="FQ152" s="134"/>
      <c r="FR152" s="134"/>
      <c r="FS152" s="134"/>
      <c r="FT152" s="134"/>
      <c r="FU152" s="134"/>
      <c r="FV152" s="134"/>
      <c r="FW152" s="134"/>
      <c r="FX152" s="134"/>
      <c r="FY152" s="134"/>
      <c r="FZ152" s="134"/>
      <c r="GA152" s="134"/>
      <c r="GB152" s="134"/>
      <c r="GC152" s="134"/>
      <c r="GD152" s="134"/>
      <c r="GE152" s="134"/>
      <c r="GF152" s="134"/>
      <c r="GG152" s="134"/>
      <c r="GH152" s="134"/>
      <c r="GI152" s="134"/>
      <c r="GJ152" s="134"/>
      <c r="GK152" s="134"/>
      <c r="GL152" s="134"/>
      <c r="GM152" s="134"/>
      <c r="GN152" s="134"/>
      <c r="GO152" s="134"/>
      <c r="GP152" s="134"/>
      <c r="GQ152" s="134"/>
      <c r="GR152" s="134"/>
      <c r="GS152" s="134"/>
      <c r="GT152" s="134"/>
      <c r="GU152" s="134"/>
      <c r="GV152" s="134"/>
      <c r="GW152" s="134"/>
      <c r="GX152" s="134"/>
      <c r="GY152" s="134"/>
      <c r="GZ152" s="134"/>
      <c r="HA152" s="134"/>
      <c r="HB152" s="134"/>
      <c r="HC152" s="134"/>
      <c r="HD152" s="134"/>
      <c r="HE152" s="134"/>
      <c r="HF152" s="134"/>
      <c r="HG152" s="134"/>
      <c r="HH152" s="134"/>
      <c r="HI152" s="134"/>
      <c r="HJ152" s="134"/>
      <c r="HK152" s="134"/>
      <c r="HL152" s="134"/>
      <c r="HM152" s="134"/>
      <c r="HN152" s="134"/>
      <c r="HO152" s="134"/>
      <c r="HP152" s="134"/>
      <c r="HQ152" s="134"/>
      <c r="HR152" s="134"/>
      <c r="HS152" s="134"/>
      <c r="HT152" s="134"/>
      <c r="HU152" s="134"/>
      <c r="HV152" s="134"/>
      <c r="HW152" s="134"/>
      <c r="HX152" s="134"/>
      <c r="HY152" s="134"/>
      <c r="HZ152" s="134"/>
      <c r="IA152" s="134"/>
      <c r="IB152" s="134"/>
      <c r="IC152" s="134"/>
      <c r="ID152" s="134"/>
      <c r="IE152" s="134"/>
      <c r="IF152" s="134"/>
      <c r="IG152" s="134"/>
      <c r="IH152" s="134"/>
      <c r="II152" s="134"/>
      <c r="IJ152" s="134"/>
      <c r="IK152" s="134"/>
      <c r="IL152" s="134"/>
      <c r="IM152" s="134"/>
      <c r="IN152" s="134"/>
      <c r="IO152" s="134"/>
      <c r="IP152" s="134"/>
      <c r="IQ152" s="134"/>
      <c r="IR152" s="134"/>
      <c r="IS152" s="134"/>
      <c r="IT152" s="134"/>
      <c r="IU152" s="134"/>
      <c r="IV152" s="134"/>
      <c r="IW152" s="134"/>
    </row>
    <row r="153" customFormat="false" ht="12.75" hidden="false" customHeight="false" outlineLevel="0" collapsed="false">
      <c r="A153" s="37" t="s">
        <v>143</v>
      </c>
      <c r="B153" s="53" t="s">
        <v>298</v>
      </c>
      <c r="C153" s="38" t="s">
        <v>298</v>
      </c>
      <c r="D153" s="39" t="n">
        <v>37012</v>
      </c>
      <c r="E153" s="39" t="n">
        <v>37042</v>
      </c>
      <c r="F153" s="37" t="s">
        <v>299</v>
      </c>
      <c r="G153" s="37" t="s">
        <v>0</v>
      </c>
      <c r="H153" s="53" t="s">
        <v>153</v>
      </c>
      <c r="I153" s="40" t="n">
        <f aca="false">0.465/I$1</f>
        <v>0.015</v>
      </c>
      <c r="J153" s="41"/>
      <c r="K153" s="41"/>
      <c r="L153" s="41"/>
      <c r="M153" s="41"/>
      <c r="N153" s="41"/>
      <c r="O153" s="41"/>
      <c r="P153" s="178" t="n">
        <v>3.8897</v>
      </c>
      <c r="Q153" s="38" t="n">
        <v>2174</v>
      </c>
      <c r="R153" s="37" t="s">
        <v>300</v>
      </c>
      <c r="S153" s="44" t="n">
        <f aca="false">I153*$I$1*Q153</f>
        <v>1010.91</v>
      </c>
      <c r="T153" s="46" t="n">
        <v>761664</v>
      </c>
      <c r="U153" s="46"/>
      <c r="V153" s="8" t="s">
        <v>279</v>
      </c>
    </row>
    <row r="154" customFormat="false" ht="12.75" hidden="false" customHeight="false" outlineLevel="0" collapsed="false">
      <c r="A154" s="61" t="s">
        <v>143</v>
      </c>
      <c r="B154" s="179" t="s">
        <v>298</v>
      </c>
      <c r="C154" s="62" t="s">
        <v>298</v>
      </c>
      <c r="D154" s="180" t="n">
        <v>37043</v>
      </c>
      <c r="E154" s="180" t="n">
        <v>37195</v>
      </c>
      <c r="F154" s="61" t="s">
        <v>299</v>
      </c>
      <c r="G154" s="61" t="s">
        <v>0</v>
      </c>
      <c r="H154" s="179" t="s">
        <v>153</v>
      </c>
      <c r="I154" s="181" t="n">
        <f aca="false">0.458/I$1</f>
        <v>0.0147741935483871</v>
      </c>
      <c r="J154" s="182"/>
      <c r="K154" s="182"/>
      <c r="L154" s="182"/>
      <c r="M154" s="182"/>
      <c r="N154" s="182"/>
      <c r="O154" s="182"/>
      <c r="P154" s="183" t="n">
        <v>3.904</v>
      </c>
      <c r="Q154" s="62" t="n">
        <v>2174</v>
      </c>
      <c r="R154" s="61" t="s">
        <v>301</v>
      </c>
      <c r="S154" s="184" t="n">
        <v>0</v>
      </c>
      <c r="T154" s="185" t="n">
        <v>796450</v>
      </c>
      <c r="U154" s="185"/>
      <c r="V154" s="186" t="s">
        <v>279</v>
      </c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  <c r="AT154" s="186"/>
      <c r="AU154" s="186"/>
      <c r="AV154" s="186"/>
      <c r="AW154" s="186"/>
      <c r="AX154" s="186"/>
      <c r="AY154" s="186"/>
      <c r="AZ154" s="186"/>
      <c r="BA154" s="186"/>
      <c r="BB154" s="186"/>
      <c r="BC154" s="186"/>
      <c r="BD154" s="186"/>
      <c r="BE154" s="186"/>
      <c r="BF154" s="186"/>
      <c r="BG154" s="186"/>
      <c r="BH154" s="186"/>
      <c r="BI154" s="186"/>
      <c r="BJ154" s="186"/>
      <c r="BK154" s="186"/>
      <c r="BL154" s="186"/>
      <c r="BM154" s="186"/>
      <c r="BN154" s="186"/>
      <c r="BO154" s="186"/>
      <c r="BP154" s="186"/>
      <c r="BQ154" s="186"/>
      <c r="BR154" s="186"/>
      <c r="BS154" s="186"/>
      <c r="BT154" s="186"/>
      <c r="BU154" s="186"/>
      <c r="BV154" s="186"/>
      <c r="BW154" s="186"/>
      <c r="BX154" s="186"/>
      <c r="BY154" s="186"/>
      <c r="BZ154" s="186"/>
      <c r="CA154" s="186"/>
      <c r="CB154" s="186"/>
      <c r="CC154" s="186"/>
      <c r="CD154" s="186"/>
      <c r="CE154" s="186"/>
      <c r="CF154" s="186"/>
      <c r="CG154" s="186"/>
      <c r="CH154" s="186"/>
      <c r="CI154" s="186"/>
      <c r="CJ154" s="186"/>
      <c r="CK154" s="186"/>
      <c r="CL154" s="186"/>
      <c r="CM154" s="186"/>
      <c r="CN154" s="186"/>
      <c r="CO154" s="186"/>
      <c r="CP154" s="186"/>
      <c r="CQ154" s="186"/>
      <c r="CR154" s="186"/>
      <c r="CS154" s="186"/>
      <c r="CT154" s="186"/>
      <c r="CU154" s="186"/>
      <c r="CV154" s="186"/>
      <c r="CW154" s="186"/>
      <c r="CX154" s="186"/>
      <c r="CY154" s="186"/>
      <c r="CZ154" s="186"/>
      <c r="DA154" s="186"/>
      <c r="DB154" s="186"/>
      <c r="DC154" s="186"/>
      <c r="DD154" s="186"/>
      <c r="DE154" s="186"/>
      <c r="DF154" s="186"/>
      <c r="DG154" s="186"/>
      <c r="DH154" s="186"/>
      <c r="DI154" s="186"/>
      <c r="DJ154" s="186"/>
      <c r="DK154" s="186"/>
      <c r="DL154" s="186"/>
      <c r="DM154" s="186"/>
      <c r="DN154" s="186"/>
      <c r="DO154" s="186"/>
      <c r="DP154" s="186"/>
      <c r="DQ154" s="186"/>
      <c r="DR154" s="186"/>
      <c r="DS154" s="186"/>
      <c r="DT154" s="186"/>
      <c r="DU154" s="186"/>
      <c r="DV154" s="186"/>
      <c r="DW154" s="186"/>
      <c r="DX154" s="186"/>
      <c r="DY154" s="186"/>
      <c r="DZ154" s="186"/>
      <c r="EA154" s="186"/>
      <c r="EB154" s="186"/>
      <c r="EC154" s="186"/>
      <c r="ED154" s="186"/>
      <c r="EE154" s="186"/>
      <c r="EF154" s="186"/>
      <c r="EG154" s="186"/>
      <c r="EH154" s="186"/>
      <c r="EI154" s="186"/>
      <c r="EJ154" s="186"/>
      <c r="EK154" s="186"/>
      <c r="EL154" s="186"/>
      <c r="EM154" s="186"/>
      <c r="EN154" s="186"/>
      <c r="EO154" s="186"/>
      <c r="EP154" s="186"/>
      <c r="EQ154" s="186"/>
      <c r="ER154" s="186"/>
      <c r="ES154" s="186"/>
      <c r="ET154" s="186"/>
      <c r="EU154" s="186"/>
      <c r="EV154" s="186"/>
      <c r="EW154" s="186"/>
      <c r="EX154" s="186"/>
      <c r="EY154" s="186"/>
      <c r="EZ154" s="186"/>
      <c r="FA154" s="186"/>
      <c r="FB154" s="186"/>
      <c r="FC154" s="186"/>
      <c r="FD154" s="186"/>
      <c r="FE154" s="186"/>
      <c r="FF154" s="186"/>
      <c r="FG154" s="186"/>
      <c r="FH154" s="186"/>
      <c r="FI154" s="186"/>
      <c r="FJ154" s="186"/>
      <c r="FK154" s="186"/>
      <c r="FL154" s="186"/>
      <c r="FM154" s="186"/>
      <c r="FN154" s="186"/>
      <c r="FO154" s="186"/>
      <c r="FP154" s="186"/>
      <c r="FQ154" s="186"/>
      <c r="FR154" s="186"/>
      <c r="FS154" s="186"/>
      <c r="FT154" s="186"/>
      <c r="FU154" s="186"/>
      <c r="FV154" s="186"/>
      <c r="FW154" s="186"/>
      <c r="FX154" s="186"/>
      <c r="FY154" s="186"/>
      <c r="FZ154" s="186"/>
      <c r="GA154" s="186"/>
      <c r="GB154" s="186"/>
      <c r="GC154" s="186"/>
      <c r="GD154" s="186"/>
      <c r="GE154" s="186"/>
      <c r="GF154" s="186"/>
      <c r="GG154" s="186"/>
      <c r="GH154" s="186"/>
      <c r="GI154" s="186"/>
      <c r="GJ154" s="186"/>
      <c r="GK154" s="186"/>
      <c r="GL154" s="186"/>
      <c r="GM154" s="186"/>
      <c r="GN154" s="186"/>
      <c r="GO154" s="186"/>
      <c r="GP154" s="186"/>
      <c r="GQ154" s="186"/>
      <c r="GR154" s="186"/>
      <c r="GS154" s="186"/>
      <c r="GT154" s="186"/>
      <c r="GU154" s="186"/>
      <c r="GV154" s="186"/>
      <c r="GW154" s="186"/>
      <c r="GX154" s="186"/>
      <c r="GY154" s="186"/>
      <c r="GZ154" s="186"/>
      <c r="HA154" s="186"/>
      <c r="HB154" s="186"/>
      <c r="HC154" s="186"/>
      <c r="HD154" s="186"/>
      <c r="HE154" s="186"/>
      <c r="HF154" s="186"/>
      <c r="HG154" s="186"/>
      <c r="HH154" s="186"/>
      <c r="HI154" s="186"/>
      <c r="HJ154" s="186"/>
      <c r="HK154" s="186"/>
      <c r="HL154" s="186"/>
      <c r="HM154" s="186"/>
      <c r="HN154" s="186"/>
      <c r="HO154" s="186"/>
      <c r="HP154" s="186"/>
      <c r="HQ154" s="186"/>
      <c r="HR154" s="186"/>
      <c r="HS154" s="186"/>
      <c r="HT154" s="186"/>
      <c r="HU154" s="186"/>
      <c r="HV154" s="186"/>
      <c r="HW154" s="186"/>
      <c r="HX154" s="186"/>
      <c r="HY154" s="186"/>
      <c r="HZ154" s="186"/>
      <c r="IA154" s="186"/>
      <c r="IB154" s="186"/>
      <c r="IC154" s="186"/>
      <c r="ID154" s="186"/>
      <c r="IE154" s="186"/>
      <c r="IF154" s="186"/>
      <c r="IG154" s="186"/>
      <c r="IH154" s="186"/>
      <c r="II154" s="186"/>
      <c r="IJ154" s="186"/>
      <c r="IK154" s="186"/>
      <c r="IL154" s="186"/>
      <c r="IM154" s="186"/>
      <c r="IN154" s="186"/>
      <c r="IO154" s="186"/>
      <c r="IP154" s="186"/>
      <c r="IQ154" s="186"/>
      <c r="IR154" s="186"/>
      <c r="IS154" s="186"/>
      <c r="IT154" s="186"/>
      <c r="IU154" s="186"/>
      <c r="IV154" s="186"/>
      <c r="IW154" s="186"/>
    </row>
    <row r="155" customFormat="false" ht="12.75" hidden="false" customHeight="false" outlineLevel="0" collapsed="false">
      <c r="A155" s="37" t="s">
        <v>213</v>
      </c>
      <c r="B155" s="53" t="s">
        <v>298</v>
      </c>
      <c r="C155" s="38" t="s">
        <v>298</v>
      </c>
      <c r="D155" s="39" t="n">
        <v>37012</v>
      </c>
      <c r="E155" s="39" t="n">
        <v>37376</v>
      </c>
      <c r="F155" s="37" t="s">
        <v>302</v>
      </c>
      <c r="G155" s="37" t="s">
        <v>303</v>
      </c>
      <c r="H155" s="53" t="s">
        <v>263</v>
      </c>
      <c r="I155" s="40" t="n">
        <f aca="false">10.9043/I$1</f>
        <v>0.351751612903226</v>
      </c>
      <c r="J155" s="41"/>
      <c r="K155" s="41"/>
      <c r="L155" s="41"/>
      <c r="M155" s="41"/>
      <c r="N155" s="41"/>
      <c r="O155" s="41"/>
      <c r="P155" s="178" t="n">
        <v>3.8924</v>
      </c>
      <c r="Q155" s="38" t="n">
        <v>1700</v>
      </c>
      <c r="R155" s="37" t="s">
        <v>304</v>
      </c>
      <c r="S155" s="44" t="n">
        <f aca="false">I155*$I$1*Q155</f>
        <v>18537.31</v>
      </c>
      <c r="T155" s="46" t="n">
        <v>759549</v>
      </c>
      <c r="U155" s="46"/>
      <c r="V155" s="8"/>
    </row>
    <row r="156" customFormat="false" ht="12.75" hidden="false" customHeight="false" outlineLevel="0" collapsed="false">
      <c r="A156" s="37" t="s">
        <v>213</v>
      </c>
      <c r="B156" s="53" t="s">
        <v>298</v>
      </c>
      <c r="C156" s="38" t="s">
        <v>298</v>
      </c>
      <c r="D156" s="39" t="n">
        <v>37012</v>
      </c>
      <c r="E156" s="39" t="n">
        <v>37376</v>
      </c>
      <c r="F156" s="37" t="s">
        <v>302</v>
      </c>
      <c r="G156" s="37" t="s">
        <v>303</v>
      </c>
      <c r="H156" s="53" t="s">
        <v>263</v>
      </c>
      <c r="I156" s="40" t="n">
        <f aca="false">10.9043/I$1</f>
        <v>0.351751612903226</v>
      </c>
      <c r="J156" s="41"/>
      <c r="K156" s="41"/>
      <c r="L156" s="41"/>
      <c r="M156" s="41"/>
      <c r="N156" s="41"/>
      <c r="O156" s="41"/>
      <c r="P156" s="178" t="n">
        <v>3.8924</v>
      </c>
      <c r="Q156" s="38" t="n">
        <v>2500</v>
      </c>
      <c r="R156" s="37" t="s">
        <v>304</v>
      </c>
      <c r="S156" s="44" t="n">
        <f aca="false">I156*$I$1*Q156</f>
        <v>27260.75</v>
      </c>
      <c r="T156" s="46" t="n">
        <v>759549</v>
      </c>
      <c r="U156" s="46"/>
      <c r="V156" s="8"/>
    </row>
    <row r="157" customFormat="false" ht="12.75" hidden="false" customHeight="false" outlineLevel="0" collapsed="false">
      <c r="A157" s="37" t="s">
        <v>213</v>
      </c>
      <c r="B157" s="53" t="s">
        <v>298</v>
      </c>
      <c r="C157" s="38" t="s">
        <v>298</v>
      </c>
      <c r="D157" s="39" t="n">
        <v>37012</v>
      </c>
      <c r="E157" s="39" t="n">
        <v>37376</v>
      </c>
      <c r="F157" s="37" t="s">
        <v>302</v>
      </c>
      <c r="G157" s="37" t="s">
        <v>303</v>
      </c>
      <c r="H157" s="53" t="s">
        <v>263</v>
      </c>
      <c r="I157" s="40" t="n">
        <f aca="false">10.9043/I$1</f>
        <v>0.351751612903226</v>
      </c>
      <c r="J157" s="41"/>
      <c r="K157" s="41"/>
      <c r="L157" s="41"/>
      <c r="M157" s="41"/>
      <c r="N157" s="41"/>
      <c r="O157" s="41"/>
      <c r="P157" s="178" t="n">
        <v>3.8924</v>
      </c>
      <c r="Q157" s="38" t="n">
        <v>5800</v>
      </c>
      <c r="R157" s="37" t="s">
        <v>304</v>
      </c>
      <c r="S157" s="44" t="n">
        <f aca="false">I157*$I$1*Q157</f>
        <v>63244.94</v>
      </c>
      <c r="T157" s="46" t="n">
        <v>759549</v>
      </c>
      <c r="U157" s="46"/>
      <c r="V157" s="8"/>
    </row>
    <row r="158" customFormat="false" ht="12.75" hidden="false" customHeight="false" outlineLevel="0" collapsed="false">
      <c r="N158" s="8"/>
      <c r="P158" s="23"/>
      <c r="Q158" s="23"/>
      <c r="S158" s="151"/>
      <c r="V158" s="8"/>
    </row>
    <row r="159" customFormat="false" ht="12.75" hidden="false" customHeight="false" outlineLevel="0" collapsed="false">
      <c r="A159" s="93"/>
      <c r="B159" s="88"/>
      <c r="C159" s="88"/>
      <c r="D159" s="94"/>
      <c r="E159" s="94"/>
      <c r="F159" s="93"/>
      <c r="G159" s="93"/>
      <c r="H159" s="88"/>
      <c r="I159" s="96"/>
      <c r="J159" s="87"/>
      <c r="K159" s="87"/>
      <c r="L159" s="87"/>
      <c r="M159" s="87"/>
      <c r="N159" s="97"/>
      <c r="O159" s="87"/>
      <c r="P159" s="149"/>
      <c r="Q159" s="88" t="n">
        <f aca="false">SUM(Q153:Q158)</f>
        <v>14348</v>
      </c>
      <c r="R159" s="93" t="s">
        <v>175</v>
      </c>
      <c r="S159" s="54" t="n">
        <f aca="false">SUM(S153:S158)</f>
        <v>110053.91</v>
      </c>
      <c r="T159" s="55"/>
      <c r="U159" s="56"/>
      <c r="V159" s="56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  <c r="CA159" s="150"/>
      <c r="CB159" s="150"/>
      <c r="CC159" s="150"/>
      <c r="CD159" s="150"/>
      <c r="CE159" s="150"/>
      <c r="CF159" s="150"/>
      <c r="CG159" s="150"/>
      <c r="CH159" s="150"/>
      <c r="CI159" s="150"/>
      <c r="CJ159" s="150"/>
      <c r="CK159" s="150"/>
      <c r="CL159" s="150"/>
      <c r="CM159" s="150"/>
      <c r="CN159" s="150"/>
      <c r="CO159" s="150"/>
      <c r="CP159" s="150"/>
      <c r="CQ159" s="150"/>
      <c r="CR159" s="150"/>
      <c r="CS159" s="150"/>
      <c r="CT159" s="150"/>
      <c r="CU159" s="150"/>
      <c r="CV159" s="150"/>
      <c r="CW159" s="150"/>
      <c r="CX159" s="150"/>
      <c r="CY159" s="150"/>
      <c r="CZ159" s="150"/>
      <c r="DA159" s="150"/>
      <c r="DB159" s="150"/>
      <c r="DC159" s="150"/>
      <c r="DD159" s="150"/>
      <c r="DE159" s="150"/>
      <c r="DF159" s="150"/>
      <c r="DG159" s="150"/>
      <c r="DH159" s="150"/>
      <c r="DI159" s="150"/>
      <c r="DJ159" s="150"/>
      <c r="DK159" s="150"/>
      <c r="DL159" s="150"/>
      <c r="DM159" s="150"/>
      <c r="DN159" s="150"/>
      <c r="DO159" s="150"/>
      <c r="DP159" s="150"/>
      <c r="DQ159" s="150"/>
      <c r="DR159" s="150"/>
      <c r="DS159" s="150"/>
      <c r="DT159" s="150"/>
      <c r="DU159" s="150"/>
      <c r="DV159" s="150"/>
      <c r="DW159" s="150"/>
      <c r="DX159" s="150"/>
      <c r="DY159" s="150"/>
      <c r="DZ159" s="150"/>
      <c r="EA159" s="150"/>
      <c r="EB159" s="150"/>
      <c r="EC159" s="150"/>
      <c r="ED159" s="150"/>
      <c r="EE159" s="150"/>
      <c r="EF159" s="150"/>
      <c r="EG159" s="150"/>
      <c r="EH159" s="150"/>
      <c r="EI159" s="150"/>
      <c r="EJ159" s="150"/>
      <c r="EK159" s="150"/>
      <c r="EL159" s="150"/>
      <c r="EM159" s="150"/>
      <c r="EN159" s="150"/>
      <c r="EO159" s="150"/>
      <c r="EP159" s="150"/>
      <c r="EQ159" s="150"/>
      <c r="ER159" s="150"/>
      <c r="ES159" s="150"/>
      <c r="ET159" s="150"/>
      <c r="EU159" s="150"/>
      <c r="EV159" s="150"/>
      <c r="EW159" s="150"/>
      <c r="EX159" s="150"/>
      <c r="EY159" s="150"/>
      <c r="EZ159" s="150"/>
      <c r="FA159" s="150"/>
      <c r="FB159" s="150"/>
      <c r="FC159" s="150"/>
      <c r="FD159" s="150"/>
      <c r="FE159" s="150"/>
      <c r="FF159" s="150"/>
      <c r="FG159" s="150"/>
      <c r="FH159" s="150"/>
      <c r="FI159" s="150"/>
      <c r="FJ159" s="150"/>
      <c r="FK159" s="150"/>
      <c r="FL159" s="150"/>
      <c r="FM159" s="150"/>
      <c r="FN159" s="150"/>
      <c r="FO159" s="150"/>
      <c r="FP159" s="150"/>
      <c r="FQ159" s="150"/>
      <c r="FR159" s="150"/>
      <c r="FS159" s="150"/>
      <c r="FT159" s="150"/>
      <c r="FU159" s="150"/>
      <c r="FV159" s="150"/>
      <c r="FW159" s="150"/>
      <c r="FX159" s="150"/>
      <c r="FY159" s="150"/>
      <c r="FZ159" s="150"/>
      <c r="GA159" s="150"/>
      <c r="GB159" s="150"/>
      <c r="GC159" s="150"/>
      <c r="GD159" s="150"/>
      <c r="GE159" s="150"/>
      <c r="GF159" s="150"/>
      <c r="GG159" s="150"/>
      <c r="GH159" s="150"/>
      <c r="GI159" s="150"/>
      <c r="GJ159" s="150"/>
      <c r="GK159" s="150"/>
      <c r="GL159" s="150"/>
      <c r="GM159" s="150"/>
      <c r="GN159" s="150"/>
      <c r="GO159" s="150"/>
      <c r="GP159" s="150"/>
      <c r="GQ159" s="150"/>
      <c r="GR159" s="150"/>
      <c r="GS159" s="150"/>
      <c r="GT159" s="150"/>
      <c r="GU159" s="150"/>
      <c r="GV159" s="150"/>
      <c r="GW159" s="150"/>
      <c r="GX159" s="150"/>
      <c r="GY159" s="150"/>
      <c r="GZ159" s="150"/>
      <c r="HA159" s="150"/>
      <c r="HB159" s="150"/>
      <c r="HC159" s="150"/>
      <c r="HD159" s="150"/>
      <c r="HE159" s="150"/>
      <c r="HF159" s="150"/>
      <c r="HG159" s="150"/>
      <c r="HH159" s="150"/>
      <c r="HI159" s="150"/>
      <c r="HJ159" s="150"/>
      <c r="HK159" s="150"/>
      <c r="HL159" s="150"/>
      <c r="HM159" s="150"/>
      <c r="HN159" s="150"/>
      <c r="HO159" s="150"/>
      <c r="HP159" s="150"/>
      <c r="HQ159" s="150"/>
      <c r="HR159" s="150"/>
      <c r="HS159" s="150"/>
      <c r="HT159" s="150"/>
      <c r="HU159" s="150"/>
      <c r="HV159" s="150"/>
      <c r="HW159" s="150"/>
      <c r="HX159" s="150"/>
      <c r="HY159" s="150"/>
      <c r="HZ159" s="150"/>
      <c r="IA159" s="150"/>
      <c r="IB159" s="150"/>
      <c r="IC159" s="150"/>
      <c r="ID159" s="150"/>
      <c r="IE159" s="150"/>
      <c r="IF159" s="150"/>
      <c r="IG159" s="150"/>
      <c r="IH159" s="150"/>
      <c r="II159" s="150"/>
      <c r="IJ159" s="150"/>
      <c r="IK159" s="150"/>
      <c r="IL159" s="150"/>
      <c r="IM159" s="150"/>
      <c r="IN159" s="150"/>
      <c r="IO159" s="150"/>
      <c r="IP159" s="150"/>
      <c r="IQ159" s="150"/>
      <c r="IR159" s="150"/>
      <c r="IS159" s="150"/>
      <c r="IT159" s="150"/>
      <c r="IU159" s="150"/>
      <c r="IV159" s="150"/>
      <c r="IW159" s="150"/>
    </row>
    <row r="160" customFormat="false" ht="12.75" hidden="false" customHeight="false" outlineLevel="0" collapsed="false">
      <c r="A160" s="37"/>
      <c r="B160" s="38"/>
      <c r="C160" s="38"/>
      <c r="D160" s="39"/>
      <c r="E160" s="39"/>
      <c r="F160" s="37"/>
      <c r="G160" s="37"/>
      <c r="H160" s="38"/>
      <c r="I160" s="40"/>
      <c r="J160" s="41"/>
      <c r="K160" s="41"/>
      <c r="L160" s="41"/>
      <c r="M160" s="41"/>
      <c r="N160" s="42"/>
      <c r="O160" s="41"/>
      <c r="P160" s="43"/>
      <c r="Q160" s="90"/>
      <c r="R160" s="93" t="s">
        <v>176</v>
      </c>
      <c r="S160" s="54" t="n">
        <f aca="false">SUM(S155:S157)</f>
        <v>109043</v>
      </c>
      <c r="T160" s="45"/>
      <c r="U160" s="46"/>
      <c r="V160" s="46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  <c r="HW160" s="23"/>
      <c r="HX160" s="23"/>
      <c r="HY160" s="23"/>
      <c r="HZ160" s="23"/>
      <c r="IA160" s="23"/>
      <c r="IB160" s="23"/>
      <c r="IC160" s="23"/>
      <c r="ID160" s="23"/>
      <c r="IE160" s="23"/>
      <c r="IF160" s="23"/>
      <c r="IG160" s="23"/>
      <c r="IH160" s="23"/>
      <c r="II160" s="23"/>
      <c r="IJ160" s="23"/>
      <c r="IK160" s="23"/>
      <c r="IL160" s="23"/>
      <c r="IM160" s="23"/>
      <c r="IN160" s="23"/>
      <c r="IO160" s="23"/>
      <c r="IP160" s="23"/>
      <c r="IQ160" s="23"/>
      <c r="IR160" s="23"/>
      <c r="IS160" s="23"/>
      <c r="IT160" s="23"/>
      <c r="IU160" s="23"/>
      <c r="IV160" s="23"/>
      <c r="IW160" s="23"/>
    </row>
    <row r="161" customFormat="false" ht="13.5" hidden="false" customHeight="false" outlineLevel="0" collapsed="false">
      <c r="A161" s="37"/>
      <c r="B161" s="38"/>
      <c r="C161" s="38"/>
      <c r="D161" s="39"/>
      <c r="E161" s="39"/>
      <c r="F161" s="37"/>
      <c r="G161" s="37"/>
      <c r="H161" s="38"/>
      <c r="I161" s="40"/>
      <c r="J161" s="41"/>
      <c r="K161" s="41"/>
      <c r="L161" s="41"/>
      <c r="M161" s="41"/>
      <c r="N161" s="42"/>
      <c r="O161" s="41"/>
      <c r="P161" s="43"/>
      <c r="Q161" s="90"/>
      <c r="R161" s="93" t="s">
        <v>177</v>
      </c>
      <c r="S161" s="127" t="n">
        <f aca="false">+S159-S160</f>
        <v>1010.90999999999</v>
      </c>
      <c r="T161" s="45"/>
      <c r="U161" s="46"/>
      <c r="V161" s="46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  <c r="HW161" s="23"/>
      <c r="HX161" s="23"/>
      <c r="HY161" s="23"/>
      <c r="HZ161" s="23"/>
      <c r="IA161" s="23"/>
      <c r="IB161" s="23"/>
      <c r="IC161" s="23"/>
      <c r="ID161" s="23"/>
      <c r="IE161" s="23"/>
      <c r="IF161" s="23"/>
      <c r="IG161" s="23"/>
      <c r="IH161" s="23"/>
      <c r="II161" s="23"/>
      <c r="IJ161" s="23"/>
      <c r="IK161" s="23"/>
      <c r="IL161" s="23"/>
      <c r="IM161" s="23"/>
      <c r="IN161" s="23"/>
      <c r="IO161" s="23"/>
      <c r="IP161" s="23"/>
      <c r="IQ161" s="23"/>
      <c r="IR161" s="23"/>
      <c r="IS161" s="23"/>
      <c r="IT161" s="23"/>
      <c r="IU161" s="23"/>
      <c r="IV161" s="23"/>
      <c r="IW161" s="23"/>
    </row>
    <row r="162" customFormat="false" ht="13.5" hidden="false" customHeight="false" outlineLevel="0" collapsed="false">
      <c r="A162" s="37"/>
      <c r="B162" s="38"/>
      <c r="C162" s="38"/>
      <c r="D162" s="39"/>
      <c r="E162" s="39"/>
      <c r="F162" s="37"/>
      <c r="G162" s="37"/>
      <c r="H162" s="38"/>
      <c r="I162" s="40"/>
      <c r="J162" s="41"/>
      <c r="K162" s="41"/>
      <c r="L162" s="41"/>
      <c r="M162" s="41"/>
      <c r="N162" s="42"/>
      <c r="O162" s="41"/>
      <c r="P162" s="43"/>
      <c r="Q162" s="38"/>
      <c r="R162" s="37"/>
      <c r="S162" s="44"/>
      <c r="T162" s="45"/>
      <c r="U162" s="46"/>
      <c r="V162" s="46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  <c r="HW162" s="23"/>
      <c r="HX162" s="23"/>
      <c r="HY162" s="23"/>
      <c r="HZ162" s="23"/>
      <c r="IA162" s="23"/>
      <c r="IB162" s="23"/>
      <c r="IC162" s="23"/>
      <c r="ID162" s="23"/>
      <c r="IE162" s="23"/>
      <c r="IF162" s="23"/>
      <c r="IG162" s="23"/>
      <c r="IH162" s="23"/>
      <c r="II162" s="23"/>
      <c r="IJ162" s="23"/>
      <c r="IK162" s="23"/>
      <c r="IL162" s="23"/>
      <c r="IM162" s="23"/>
      <c r="IN162" s="23"/>
      <c r="IO162" s="23"/>
      <c r="IP162" s="23"/>
      <c r="IQ162" s="23"/>
      <c r="IR162" s="23"/>
      <c r="IS162" s="23"/>
      <c r="IT162" s="23"/>
      <c r="IU162" s="23"/>
      <c r="IV162" s="23"/>
      <c r="IW162" s="23"/>
    </row>
    <row r="163" customFormat="false" ht="12.75" hidden="false" customHeight="false" outlineLevel="0" collapsed="false">
      <c r="A163" s="37"/>
      <c r="B163" s="38"/>
      <c r="C163" s="38"/>
      <c r="D163" s="39"/>
      <c r="E163" s="39"/>
      <c r="F163" s="37"/>
      <c r="G163" s="37"/>
      <c r="H163" s="38"/>
      <c r="I163" s="40"/>
      <c r="J163" s="41"/>
      <c r="K163" s="87"/>
      <c r="L163" s="41"/>
      <c r="M163" s="41"/>
      <c r="N163" s="42"/>
      <c r="O163" s="41"/>
      <c r="P163" s="149"/>
      <c r="Q163" s="90"/>
      <c r="R163" s="88"/>
      <c r="S163" s="187"/>
      <c r="T163" s="45"/>
      <c r="U163" s="46"/>
      <c r="V163" s="46"/>
    </row>
    <row r="164" customFormat="false" ht="12.75" hidden="false" customHeight="false" outlineLevel="0" collapsed="false">
      <c r="A164" s="37"/>
      <c r="B164" s="38"/>
      <c r="C164" s="38"/>
      <c r="D164" s="39"/>
      <c r="E164" s="39"/>
      <c r="F164" s="37"/>
      <c r="G164" s="37"/>
      <c r="H164" s="38"/>
      <c r="I164" s="40"/>
      <c r="J164" s="41"/>
      <c r="K164" s="87"/>
      <c r="L164" s="41"/>
      <c r="M164" s="41"/>
      <c r="N164" s="188"/>
      <c r="O164" s="41"/>
      <c r="P164" s="149"/>
      <c r="Q164" s="88"/>
      <c r="R164" s="88"/>
      <c r="S164" s="150"/>
      <c r="T164" s="91"/>
      <c r="U164" s="189"/>
      <c r="V164" s="189"/>
    </row>
    <row r="165" customFormat="false" ht="12.75" hidden="false" customHeight="false" outlineLevel="0" collapsed="false">
      <c r="A165" s="37"/>
      <c r="B165" s="38"/>
      <c r="C165" s="38"/>
      <c r="D165" s="39" t="s">
        <v>9</v>
      </c>
      <c r="E165" s="39"/>
      <c r="F165" s="37"/>
      <c r="G165" s="37"/>
      <c r="H165" s="38"/>
      <c r="I165" s="40"/>
      <c r="J165" s="41"/>
      <c r="K165" s="87"/>
      <c r="L165" s="41"/>
      <c r="M165" s="41"/>
      <c r="N165" s="42"/>
      <c r="O165" s="41"/>
      <c r="P165" s="149"/>
      <c r="Q165" s="64"/>
      <c r="R165" s="190"/>
      <c r="S165" s="191"/>
      <c r="T165" s="55"/>
      <c r="U165" s="56"/>
      <c r="V165" s="56"/>
    </row>
    <row r="166" customFormat="false" ht="12.75" hidden="false" customHeight="false" outlineLevel="0" collapsed="false">
      <c r="A166" s="47"/>
      <c r="B166" s="38"/>
      <c r="C166" s="38"/>
      <c r="D166" s="39"/>
      <c r="E166" s="39"/>
      <c r="F166" s="37"/>
      <c r="G166" s="37"/>
      <c r="H166" s="38"/>
      <c r="I166" s="40"/>
      <c r="J166" s="41"/>
      <c r="K166" s="41"/>
      <c r="L166" s="41"/>
      <c r="M166" s="41"/>
      <c r="N166" s="42"/>
      <c r="O166" s="41"/>
      <c r="P166" s="149"/>
      <c r="Q166" s="90"/>
      <c r="R166" s="192"/>
      <c r="S166" s="191"/>
      <c r="T166" s="55"/>
      <c r="U166" s="56"/>
      <c r="V166" s="56"/>
    </row>
    <row r="167" customFormat="false" ht="12.75" hidden="false" customHeight="false" outlineLevel="0" collapsed="false">
      <c r="A167" s="47"/>
      <c r="B167" s="38"/>
      <c r="C167" s="38"/>
      <c r="D167" s="39"/>
      <c r="E167" s="39"/>
      <c r="F167" s="37"/>
      <c r="G167" s="37"/>
      <c r="H167" s="38"/>
      <c r="I167" s="41"/>
      <c r="J167" s="41"/>
      <c r="K167" s="41"/>
      <c r="L167" s="41"/>
      <c r="M167" s="41"/>
      <c r="N167" s="42"/>
      <c r="O167" s="41"/>
      <c r="P167" s="149"/>
      <c r="Q167" s="90"/>
      <c r="R167" s="54"/>
      <c r="S167" s="191"/>
      <c r="T167" s="55"/>
      <c r="U167" s="56"/>
      <c r="V167" s="56"/>
    </row>
    <row r="168" customFormat="false" ht="12.75" hidden="false" customHeight="false" outlineLevel="0" collapsed="false">
      <c r="A168" s="47"/>
      <c r="B168" s="38"/>
      <c r="C168" s="38"/>
      <c r="D168" s="39"/>
      <c r="E168" s="39"/>
      <c r="F168" s="37"/>
      <c r="G168" s="37"/>
      <c r="H168" s="38"/>
      <c r="I168" s="40"/>
      <c r="J168" s="41"/>
      <c r="K168" s="41"/>
      <c r="L168" s="41"/>
      <c r="M168" s="41"/>
      <c r="N168" s="42"/>
      <c r="O168" s="41"/>
      <c r="P168" s="149"/>
      <c r="Q168" s="90"/>
      <c r="R168" s="54"/>
      <c r="S168" s="191"/>
      <c r="T168" s="55"/>
      <c r="U168" s="56"/>
      <c r="V168" s="56"/>
    </row>
    <row r="169" customFormat="false" ht="12.75" hidden="false" customHeight="false" outlineLevel="0" collapsed="false">
      <c r="A169" s="47"/>
      <c r="B169" s="38"/>
      <c r="C169" s="38"/>
      <c r="D169" s="39"/>
      <c r="E169" s="39"/>
      <c r="F169" s="37"/>
      <c r="G169" s="37"/>
      <c r="H169" s="38"/>
      <c r="I169" s="41"/>
      <c r="J169" s="41"/>
      <c r="K169" s="41"/>
      <c r="L169" s="41"/>
      <c r="M169" s="41"/>
      <c r="N169" s="42"/>
      <c r="O169" s="41"/>
      <c r="P169" s="149"/>
      <c r="Q169" s="90"/>
      <c r="R169" s="54"/>
      <c r="S169" s="54"/>
      <c r="T169" s="55"/>
      <c r="U169" s="56"/>
      <c r="V169" s="56"/>
    </row>
    <row r="170" customFormat="false" ht="12.75" hidden="false" customHeight="false" outlineLevel="0" collapsed="false">
      <c r="A170" s="47"/>
      <c r="B170" s="38"/>
      <c r="C170" s="38"/>
      <c r="D170" s="39"/>
      <c r="E170" s="39"/>
      <c r="F170" s="37"/>
      <c r="G170" s="37"/>
      <c r="H170" s="38"/>
      <c r="I170" s="40"/>
      <c r="J170" s="41"/>
      <c r="K170" s="41"/>
      <c r="L170" s="41"/>
      <c r="M170" s="41"/>
      <c r="N170" s="42"/>
      <c r="O170" s="41"/>
      <c r="P170" s="149"/>
      <c r="Q170" s="90"/>
      <c r="R170" s="54"/>
      <c r="S170" s="54"/>
      <c r="T170" s="55"/>
      <c r="U170" s="56"/>
      <c r="V170" s="56"/>
    </row>
    <row r="171" customFormat="false" ht="12.75" hidden="false" customHeight="false" outlineLevel="0" collapsed="false">
      <c r="A171" s="47"/>
      <c r="B171" s="38"/>
      <c r="C171" s="38"/>
      <c r="D171" s="39"/>
      <c r="E171" s="39"/>
      <c r="F171" s="37"/>
      <c r="G171" s="37"/>
      <c r="H171" s="38"/>
      <c r="I171" s="41"/>
      <c r="J171" s="41"/>
      <c r="K171" s="41"/>
      <c r="L171" s="41"/>
      <c r="M171" s="41"/>
      <c r="N171" s="42"/>
      <c r="O171" s="41"/>
      <c r="P171" s="149"/>
      <c r="Q171" s="90"/>
      <c r="R171" s="54"/>
      <c r="S171" s="54"/>
      <c r="T171" s="55"/>
      <c r="U171" s="56"/>
      <c r="V171" s="56"/>
    </row>
    <row r="172" customFormat="false" ht="12.75" hidden="false" customHeight="false" outlineLevel="0" collapsed="false">
      <c r="A172" s="47"/>
      <c r="B172" s="38"/>
      <c r="C172" s="38"/>
      <c r="D172" s="39"/>
      <c r="E172" s="39"/>
      <c r="F172" s="37"/>
      <c r="G172" s="37"/>
      <c r="H172" s="38"/>
      <c r="I172" s="41"/>
      <c r="J172" s="41"/>
      <c r="K172" s="41"/>
      <c r="L172" s="41"/>
      <c r="M172" s="41"/>
      <c r="N172" s="42"/>
      <c r="O172" s="41"/>
      <c r="P172" s="149"/>
      <c r="Q172" s="90"/>
      <c r="R172" s="54"/>
      <c r="S172" s="54"/>
      <c r="T172" s="55"/>
      <c r="U172" s="88"/>
      <c r="V172" s="56"/>
    </row>
    <row r="173" customFormat="false" ht="12.75" hidden="false" customHeight="false" outlineLevel="0" collapsed="false">
      <c r="A173" s="47"/>
      <c r="B173" s="38"/>
      <c r="C173" s="38"/>
      <c r="D173" s="39"/>
      <c r="E173" s="39"/>
      <c r="F173" s="37"/>
      <c r="G173" s="37"/>
      <c r="H173" s="38"/>
      <c r="I173" s="41"/>
      <c r="J173" s="41"/>
      <c r="K173" s="41"/>
      <c r="L173" s="41"/>
      <c r="M173" s="41"/>
      <c r="N173" s="42"/>
      <c r="O173" s="41"/>
      <c r="P173" s="149"/>
      <c r="Q173" s="90"/>
      <c r="R173" s="54"/>
      <c r="S173" s="54"/>
      <c r="T173" s="55"/>
      <c r="U173" s="56"/>
      <c r="V173" s="56"/>
    </row>
    <row r="174" customFormat="false" ht="12.75" hidden="false" customHeight="false" outlineLevel="0" collapsed="false">
      <c r="A174" s="47"/>
      <c r="B174" s="38"/>
      <c r="C174" s="38"/>
      <c r="D174" s="39"/>
      <c r="E174" s="39"/>
      <c r="F174" s="37"/>
      <c r="G174" s="37"/>
      <c r="H174" s="38"/>
      <c r="I174" s="41"/>
      <c r="J174" s="41"/>
      <c r="K174" s="41"/>
      <c r="L174" s="41"/>
      <c r="M174" s="41"/>
      <c r="N174" s="42"/>
      <c r="O174" s="41"/>
      <c r="P174" s="149"/>
      <c r="Q174" s="90"/>
      <c r="R174" s="54"/>
      <c r="S174" s="54"/>
      <c r="T174" s="55"/>
      <c r="U174" s="56"/>
      <c r="V174" s="56"/>
    </row>
    <row r="175" customFormat="false" ht="12.75" hidden="false" customHeight="false" outlineLevel="0" collapsed="false">
      <c r="A175" s="47"/>
      <c r="B175" s="38"/>
      <c r="C175" s="38"/>
      <c r="D175" s="39"/>
      <c r="E175" s="39"/>
      <c r="F175" s="37"/>
      <c r="G175" s="37"/>
      <c r="H175" s="38"/>
      <c r="I175" s="40"/>
      <c r="J175" s="41"/>
      <c r="K175" s="41"/>
      <c r="L175" s="41"/>
      <c r="M175" s="41"/>
      <c r="N175" s="42"/>
      <c r="O175" s="41"/>
      <c r="P175" s="149"/>
      <c r="Q175" s="90"/>
      <c r="R175" s="88"/>
      <c r="S175" s="54"/>
      <c r="T175" s="55"/>
      <c r="U175" s="56"/>
      <c r="V175" s="56"/>
    </row>
    <row r="176" customFormat="false" ht="12.75" hidden="false" customHeight="false" outlineLevel="0" collapsed="false">
      <c r="A176" s="47"/>
      <c r="B176" s="38"/>
      <c r="C176" s="38"/>
      <c r="D176" s="39"/>
      <c r="E176" s="39"/>
      <c r="F176" s="37"/>
      <c r="G176" s="37"/>
      <c r="H176" s="38"/>
      <c r="I176" s="40"/>
      <c r="J176" s="41"/>
      <c r="K176" s="41"/>
      <c r="L176" s="41"/>
      <c r="M176" s="41"/>
      <c r="N176" s="42"/>
      <c r="O176" s="41"/>
      <c r="P176" s="149"/>
      <c r="Q176" s="90"/>
      <c r="R176" s="88"/>
      <c r="S176" s="54"/>
      <c r="T176" s="55"/>
      <c r="U176" s="56"/>
      <c r="V176" s="56"/>
    </row>
    <row r="177" customFormat="false" ht="12.75" hidden="false" customHeight="false" outlineLevel="0" collapsed="false">
      <c r="P177" s="92"/>
      <c r="Q177" s="92"/>
      <c r="R177" s="92"/>
      <c r="S177" s="150"/>
      <c r="T177" s="91"/>
      <c r="U177" s="91"/>
    </row>
    <row r="178" customFormat="false" ht="12.75" hidden="false" customHeight="false" outlineLevel="0" collapsed="false">
      <c r="P178" s="92"/>
      <c r="Q178" s="92"/>
      <c r="R178" s="92"/>
      <c r="S178" s="150"/>
      <c r="T178" s="91"/>
      <c r="U178" s="91"/>
    </row>
  </sheetData>
  <mergeCells count="1">
    <mergeCell ref="V12:W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3" width="8.56"/>
    <col collapsed="false" customWidth="false" hidden="false" outlineLevel="0" max="3" min="2" style="23" width="9.14"/>
    <col collapsed="false" customWidth="true" hidden="false" outlineLevel="0" max="5" min="4" style="23" width="9.85"/>
    <col collapsed="false" customWidth="true" hidden="false" outlineLevel="0" max="6" min="6" style="23" width="12.42"/>
    <col collapsed="false" customWidth="true" hidden="false" outlineLevel="0" max="7" min="7" style="23" width="11.13"/>
    <col collapsed="false" customWidth="true" hidden="false" outlineLevel="0" max="8" min="8" style="23" width="10.41"/>
    <col collapsed="false" customWidth="true" hidden="false" outlineLevel="0" max="9" min="9" style="23" width="8.7"/>
    <col collapsed="false" customWidth="true" hidden="false" outlineLevel="0" max="10" min="10" style="23" width="13.99"/>
    <col collapsed="false" customWidth="true" hidden="false" outlineLevel="0" max="11" min="11" style="23" width="8.14"/>
    <col collapsed="false" customWidth="true" hidden="false" outlineLevel="0" max="12" min="12" style="23" width="9.99"/>
    <col collapsed="false" customWidth="true" hidden="false" outlineLevel="0" max="13" min="13" style="193" width="9.7"/>
    <col collapsed="false" customWidth="false" hidden="false" outlineLevel="0" max="257" min="14" style="23" width="9.14"/>
  </cols>
  <sheetData>
    <row r="1" customFormat="false" ht="12.75" hidden="false" customHeight="false" outlineLevel="0" collapsed="false">
      <c r="A1" s="194" t="s">
        <v>9</v>
      </c>
      <c r="B1" s="194"/>
    </row>
    <row r="2" customFormat="false" ht="12.75" hidden="false" customHeight="false" outlineLevel="0" collapsed="false">
      <c r="B2" s="194"/>
    </row>
    <row r="3" customFormat="false" ht="12.75" hidden="false" customHeight="false" outlineLevel="0" collapsed="false">
      <c r="A3" s="195" t="s">
        <v>305</v>
      </c>
      <c r="B3" s="196"/>
      <c r="C3" s="196"/>
      <c r="D3" s="196"/>
      <c r="E3" s="196"/>
      <c r="F3" s="196"/>
      <c r="G3" s="196"/>
      <c r="H3" s="197"/>
      <c r="J3" s="198" t="s">
        <v>306</v>
      </c>
      <c r="K3" s="199" t="n">
        <f aca="false">+Rates!W17</f>
        <v>0.147946005101621</v>
      </c>
      <c r="Z3" s="23" t="n">
        <v>2.8</v>
      </c>
      <c r="AC3" s="23" t="n">
        <v>3.03</v>
      </c>
    </row>
    <row r="4" customFormat="false" ht="12.75" hidden="false" customHeight="false" outlineLevel="0" collapsed="false">
      <c r="A4" s="200"/>
      <c r="B4" s="201" t="n">
        <v>1</v>
      </c>
      <c r="C4" s="201" t="n">
        <v>2</v>
      </c>
      <c r="D4" s="201" t="n">
        <v>3</v>
      </c>
      <c r="E4" s="201" t="n">
        <v>4</v>
      </c>
      <c r="F4" s="201" t="s">
        <v>307</v>
      </c>
      <c r="G4" s="201" t="n">
        <v>5</v>
      </c>
      <c r="H4" s="202" t="n">
        <v>6</v>
      </c>
      <c r="J4" s="203" t="s">
        <v>308</v>
      </c>
      <c r="K4" s="204" t="n">
        <f aca="false">+Rates!W16</f>
        <v>0.125346005101621</v>
      </c>
    </row>
    <row r="5" customFormat="false" ht="12.75" hidden="false" customHeight="false" outlineLevel="0" collapsed="false">
      <c r="A5" s="205" t="n">
        <v>1</v>
      </c>
      <c r="B5" s="206" t="n">
        <f aca="false">+Rates!B17</f>
        <v>0.0364813848469645</v>
      </c>
      <c r="C5" s="206" t="n">
        <f aca="false">+Rates!B22</f>
        <v>0.0573357553159329</v>
      </c>
      <c r="D5" s="206" t="n">
        <f aca="false">+Rates!B27</f>
        <v>0.0791974896244558</v>
      </c>
      <c r="E5" s="206" t="n">
        <f aca="false">+Rates!B32</f>
        <v>0.175225490196078</v>
      </c>
      <c r="F5" s="206"/>
      <c r="G5" s="206" t="n">
        <f aca="false">+Rates!B37</f>
        <v>0.252932990987214</v>
      </c>
      <c r="H5" s="207" t="n">
        <f aca="false">+Rates!B42</f>
        <v>0.296237617587993</v>
      </c>
      <c r="J5" s="201"/>
    </row>
    <row r="6" customFormat="false" ht="12.75" hidden="false" customHeight="false" outlineLevel="0" collapsed="false">
      <c r="A6" s="205" t="n">
        <v>2</v>
      </c>
      <c r="B6" s="206"/>
      <c r="C6" s="206"/>
      <c r="D6" s="206" t="n">
        <f aca="false">+Rates!B52</f>
        <v>0.0453200726245716</v>
      </c>
      <c r="E6" s="206" t="n">
        <f aca="false">+Rates!B57</f>
        <v>0.15804884318766</v>
      </c>
      <c r="F6" s="206"/>
      <c r="G6" s="206" t="n">
        <f aca="false">+Rates!B62</f>
        <v>0.235748626918659</v>
      </c>
      <c r="H6" s="207" t="n">
        <f aca="false">+Rates!B67</f>
        <v>0.279045661331087</v>
      </c>
      <c r="J6" s="198" t="s">
        <v>309</v>
      </c>
      <c r="K6" s="208" t="n">
        <f aca="false">+Rates!Z17</f>
        <v>0.199960663119116</v>
      </c>
    </row>
    <row r="7" customFormat="false" ht="12.75" hidden="false" customHeight="false" outlineLevel="0" collapsed="false">
      <c r="A7" s="205" t="n">
        <v>3</v>
      </c>
      <c r="B7" s="206"/>
      <c r="C7" s="206"/>
      <c r="D7" s="206" t="n">
        <f aca="false">+Rates!B72</f>
        <v>0.0412047408597827</v>
      </c>
      <c r="E7" s="206" t="n">
        <f aca="false">+Rates!B77</f>
        <v>0.137406603870175</v>
      </c>
      <c r="F7" s="206"/>
      <c r="G7" s="206" t="n">
        <f aca="false">+Rates!B82</f>
        <v>0.215236750181931</v>
      </c>
      <c r="H7" s="207" t="n">
        <f aca="false">+Rates!B87</f>
        <v>0.258602956594674</v>
      </c>
      <c r="J7" s="203" t="s">
        <v>310</v>
      </c>
      <c r="K7" s="204" t="n">
        <f aca="false">+Rates!Z16</f>
        <v>0.102660663119116</v>
      </c>
    </row>
    <row r="8" customFormat="false" ht="12.75" hidden="false" customHeight="false" outlineLevel="0" collapsed="false">
      <c r="A8" s="205" t="n">
        <v>4</v>
      </c>
      <c r="B8" s="206"/>
      <c r="C8" s="206"/>
      <c r="D8" s="206"/>
      <c r="E8" s="206" t="n">
        <f aca="false">+Rates!B92</f>
        <v>0.11293861991642</v>
      </c>
      <c r="F8" s="206"/>
      <c r="G8" s="206"/>
      <c r="H8" s="207" t="n">
        <f aca="false">+Rates!B102</f>
        <v>0.230873596326446</v>
      </c>
      <c r="J8" s="194"/>
      <c r="K8" s="209"/>
    </row>
    <row r="9" customFormat="false" ht="12.75" hidden="false" customHeight="false" outlineLevel="0" collapsed="false">
      <c r="A9" s="210" t="s">
        <v>307</v>
      </c>
      <c r="B9" s="206"/>
      <c r="C9" s="206"/>
      <c r="D9" s="206"/>
      <c r="E9" s="206"/>
      <c r="F9" s="206" t="n">
        <f aca="false">+Rates!B107</f>
        <v>0.0280479332193506</v>
      </c>
      <c r="G9" s="206"/>
      <c r="H9" s="207"/>
      <c r="K9" s="211"/>
    </row>
    <row r="10" customFormat="false" ht="12.75" hidden="false" customHeight="false" outlineLevel="0" collapsed="false">
      <c r="A10" s="205" t="n">
        <v>5</v>
      </c>
      <c r="B10" s="206"/>
      <c r="C10" s="206"/>
      <c r="D10" s="206"/>
      <c r="E10" s="206"/>
      <c r="F10" s="206"/>
      <c r="G10" s="206" t="n">
        <f aca="false">+Rates!B112</f>
        <v>0.0994392453205402</v>
      </c>
      <c r="H10" s="207"/>
      <c r="K10" s="209"/>
      <c r="N10" s="193" t="s">
        <v>0</v>
      </c>
    </row>
    <row r="11" customFormat="false" ht="12.75" hidden="false" customHeight="false" outlineLevel="0" collapsed="false">
      <c r="A11" s="205" t="n">
        <v>6</v>
      </c>
      <c r="B11" s="150"/>
      <c r="C11" s="150"/>
      <c r="D11" s="150"/>
      <c r="E11" s="150"/>
      <c r="F11" s="150"/>
      <c r="G11" s="150"/>
      <c r="H11" s="207" t="n">
        <f aca="false">+Rates!B122</f>
        <v>0.0627928457238321</v>
      </c>
      <c r="J11" s="195" t="s">
        <v>311</v>
      </c>
      <c r="K11" s="212"/>
      <c r="N11" s="193" t="n">
        <v>4.46</v>
      </c>
      <c r="O11" s="23" t="n">
        <v>4.455</v>
      </c>
    </row>
    <row r="12" customFormat="false" ht="12.75" hidden="false" customHeight="false" outlineLevel="0" collapsed="false">
      <c r="A12" s="213"/>
      <c r="B12" s="214" t="s">
        <v>312</v>
      </c>
      <c r="C12" s="214"/>
      <c r="D12" s="214"/>
      <c r="E12" s="214"/>
      <c r="F12" s="214"/>
      <c r="G12" s="214"/>
      <c r="H12" s="215"/>
      <c r="J12" s="216" t="s">
        <v>313</v>
      </c>
      <c r="K12" s="217" t="n">
        <f aca="false">SUM(Rates!AI17)</f>
        <v>0.0229690763052206</v>
      </c>
      <c r="N12" s="193" t="n">
        <v>4.42</v>
      </c>
      <c r="O12" s="23" t="n">
        <v>4.44</v>
      </c>
    </row>
    <row r="13" customFormat="false" ht="12.75" hidden="false" customHeight="false" outlineLevel="0" collapsed="false">
      <c r="A13" s="218" t="s">
        <v>314</v>
      </c>
      <c r="B13" s="219" t="s">
        <v>315</v>
      </c>
      <c r="C13" s="220" t="s">
        <v>316</v>
      </c>
      <c r="D13" s="220" t="s">
        <v>317</v>
      </c>
      <c r="E13" s="220" t="s">
        <v>318</v>
      </c>
      <c r="F13" s="221"/>
      <c r="G13" s="221"/>
      <c r="H13" s="222"/>
      <c r="J13" s="216" t="s">
        <v>319</v>
      </c>
      <c r="K13" s="223" t="n">
        <f aca="false">SUM(Rates!H137)</f>
        <v>0.068982607051979</v>
      </c>
      <c r="N13" s="193"/>
    </row>
    <row r="14" customFormat="false" ht="13.5" hidden="false" customHeight="false" outlineLevel="0" collapsed="false">
      <c r="A14" s="224" t="s">
        <v>320</v>
      </c>
      <c r="B14" s="225" t="n">
        <f aca="false">SUM(Rates!B69+Rates!B71)</f>
        <v>0.0223047408597827</v>
      </c>
      <c r="C14" s="225" t="n">
        <f aca="false">SUM(Rates!K22+Rates!B69+Rates!B71)</f>
        <v>0.161427551135239</v>
      </c>
      <c r="D14" s="225" t="n">
        <f aca="false">SUM(Rates!B69+Rates!B71+Rates!K47)</f>
        <v>0.13380847266212</v>
      </c>
      <c r="E14" s="225" t="n">
        <f aca="false">0.0622+B14</f>
        <v>0.0845047408597827</v>
      </c>
      <c r="F14" s="141" t="s">
        <v>321</v>
      </c>
      <c r="G14" s="141"/>
      <c r="H14" s="226"/>
      <c r="J14" s="200" t="s">
        <v>322</v>
      </c>
      <c r="K14" s="227" t="n">
        <f aca="false">SUM(K12:K13)</f>
        <v>0.0919516833571995</v>
      </c>
      <c r="M14" s="193" t="s">
        <v>323</v>
      </c>
      <c r="N14" s="193" t="n">
        <f aca="false">+N11-E14</f>
        <v>4.37549525914022</v>
      </c>
    </row>
    <row r="15" customFormat="false" ht="13.5" hidden="false" customHeight="false" outlineLevel="0" collapsed="false">
      <c r="A15" s="150"/>
      <c r="B15" s="228"/>
      <c r="C15" s="228"/>
      <c r="D15" s="228"/>
      <c r="E15" s="228"/>
      <c r="F15" s="150"/>
      <c r="G15" s="150"/>
      <c r="H15" s="150"/>
      <c r="J15" s="200"/>
      <c r="K15" s="217"/>
      <c r="N15" s="193"/>
    </row>
    <row r="16" customFormat="false" ht="12.75" hidden="false" customHeight="false" outlineLevel="0" collapsed="false">
      <c r="A16" s="195" t="s">
        <v>324</v>
      </c>
      <c r="B16" s="229"/>
      <c r="C16" s="229" t="n">
        <v>2</v>
      </c>
      <c r="D16" s="229" t="n">
        <v>3</v>
      </c>
      <c r="E16" s="229" t="n">
        <v>4</v>
      </c>
      <c r="F16" s="229" t="s">
        <v>307</v>
      </c>
      <c r="G16" s="229" t="n">
        <v>5</v>
      </c>
      <c r="H16" s="230" t="n">
        <v>6</v>
      </c>
      <c r="J16" s="231"/>
      <c r="K16" s="232"/>
      <c r="N16" s="193"/>
    </row>
    <row r="17" customFormat="false" ht="12.75" hidden="false" customHeight="false" outlineLevel="0" collapsed="false">
      <c r="A17" s="205" t="n">
        <v>2</v>
      </c>
      <c r="B17" s="206"/>
      <c r="C17" s="233" t="n">
        <f aca="false">SUM(Rates!E37)-0.0189</f>
        <v>0.0857565776260291</v>
      </c>
      <c r="D17" s="233" t="n">
        <f aca="false">SUM(Rates!E39,Rates!E41)</f>
        <v>0.137820072624572</v>
      </c>
      <c r="E17" s="233" t="n">
        <f aca="false">SUM(Rates!E47)</f>
        <v>0.36234884318766</v>
      </c>
      <c r="F17" s="233"/>
      <c r="G17" s="233"/>
      <c r="H17" s="234"/>
      <c r="J17" s="200"/>
      <c r="K17" s="217"/>
      <c r="N17" s="193"/>
    </row>
    <row r="18" customFormat="false" ht="12.75" hidden="false" customHeight="false" outlineLevel="0" collapsed="false">
      <c r="A18" s="205" t="n">
        <v>3</v>
      </c>
      <c r="B18" s="206"/>
      <c r="C18" s="233"/>
      <c r="D18" s="233" t="n">
        <f aca="false">SUM(Rates!E49,Rates!E51)</f>
        <v>0.0962047408597827</v>
      </c>
      <c r="E18" s="233" t="n">
        <f aca="false">SUM(Rates!E57)</f>
        <v>0.320906603870175</v>
      </c>
      <c r="F18" s="233"/>
      <c r="G18" s="233"/>
      <c r="H18" s="234"/>
      <c r="J18" s="200"/>
      <c r="K18" s="217"/>
      <c r="N18" s="193"/>
    </row>
    <row r="19" customFormat="false" ht="12.75" hidden="false" customHeight="false" outlineLevel="0" collapsed="false">
      <c r="A19" s="205" t="n">
        <v>4</v>
      </c>
      <c r="B19" s="206"/>
      <c r="C19" s="233"/>
      <c r="D19" s="233"/>
      <c r="E19" s="233" t="n">
        <f aca="false">SUM(Rates!E67)</f>
        <v>0.26623861991642</v>
      </c>
      <c r="F19" s="233"/>
      <c r="G19" s="233"/>
      <c r="H19" s="234"/>
      <c r="J19" s="200"/>
      <c r="K19" s="217"/>
      <c r="N19" s="193"/>
    </row>
    <row r="20" customFormat="false" ht="12.75" hidden="false" customHeight="false" outlineLevel="0" collapsed="false">
      <c r="A20" s="200" t="n">
        <v>6</v>
      </c>
      <c r="B20" s="228"/>
      <c r="C20" s="228"/>
      <c r="D20" s="228"/>
      <c r="E20" s="228"/>
      <c r="F20" s="235"/>
      <c r="G20" s="235"/>
      <c r="H20" s="236" t="n">
        <f aca="false">SUM(Rates!E82)</f>
        <v>0.146671166448231</v>
      </c>
      <c r="J20" s="200"/>
      <c r="K20" s="217"/>
      <c r="N20" s="193"/>
    </row>
    <row r="21" customFormat="false" ht="12.75" hidden="false" customHeight="false" outlineLevel="0" collapsed="false">
      <c r="A21" s="224"/>
      <c r="B21" s="237" t="s">
        <v>325</v>
      </c>
      <c r="C21" s="225"/>
      <c r="D21" s="225"/>
      <c r="E21" s="225"/>
      <c r="F21" s="141"/>
      <c r="G21" s="141"/>
      <c r="H21" s="226"/>
      <c r="J21" s="200"/>
      <c r="K21" s="217"/>
      <c r="N21" s="193"/>
    </row>
    <row r="22" customFormat="false" ht="12.75" hidden="false" customHeight="false" outlineLevel="0" collapsed="false">
      <c r="A22" s="238"/>
      <c r="J22" s="200"/>
      <c r="K22" s="217"/>
      <c r="N22" s="193" t="n">
        <f aca="false">+N12-E14</f>
        <v>4.33549525914022</v>
      </c>
    </row>
    <row r="23" customFormat="false" ht="12.75" hidden="false" customHeight="false" outlineLevel="0" collapsed="false">
      <c r="A23" s="239" t="s">
        <v>326</v>
      </c>
      <c r="B23" s="196"/>
      <c r="C23" s="196"/>
      <c r="D23" s="196"/>
      <c r="E23" s="196"/>
      <c r="F23" s="196"/>
      <c r="G23" s="196"/>
      <c r="H23" s="196"/>
      <c r="I23" s="196"/>
      <c r="J23" s="196"/>
      <c r="K23" s="232"/>
      <c r="N23" s="193"/>
    </row>
    <row r="24" customFormat="false" ht="12.75" hidden="false" customHeight="false" outlineLevel="0" collapsed="false">
      <c r="A24" s="240"/>
      <c r="B24" s="150"/>
      <c r="C24" s="201" t="s">
        <v>327</v>
      </c>
      <c r="D24" s="150"/>
      <c r="E24" s="150"/>
      <c r="F24" s="150"/>
      <c r="G24" s="150"/>
      <c r="H24" s="150"/>
      <c r="I24" s="150"/>
      <c r="J24" s="150"/>
      <c r="K24" s="241"/>
      <c r="M24" s="193" t="s">
        <v>328</v>
      </c>
      <c r="N24" s="193" t="n">
        <f aca="false">+N11-D14</f>
        <v>4.32619152733788</v>
      </c>
    </row>
    <row r="25" customFormat="false" ht="12.75" hidden="false" customHeight="false" outlineLevel="0" collapsed="false">
      <c r="A25" s="240"/>
      <c r="B25" s="150"/>
      <c r="C25" s="201" t="s">
        <v>329</v>
      </c>
      <c r="D25" s="150" t="s">
        <v>330</v>
      </c>
      <c r="E25" s="150"/>
      <c r="F25" s="150"/>
      <c r="G25" s="150"/>
      <c r="H25" s="150"/>
      <c r="I25" s="150"/>
      <c r="J25" s="150"/>
      <c r="K25" s="241"/>
      <c r="N25" s="193" t="n">
        <f aca="false">+N12-D14</f>
        <v>4.28619152733788</v>
      </c>
    </row>
    <row r="26" customFormat="false" ht="12.75" hidden="false" customHeight="false" outlineLevel="0" collapsed="false">
      <c r="A26" s="205"/>
      <c r="B26" s="201" t="s">
        <v>331</v>
      </c>
      <c r="C26" s="201" t="s">
        <v>332</v>
      </c>
      <c r="D26" s="201" t="s">
        <v>333</v>
      </c>
      <c r="E26" s="201" t="s">
        <v>334</v>
      </c>
      <c r="F26" s="201" t="s">
        <v>335</v>
      </c>
      <c r="G26" s="150" t="s">
        <v>336</v>
      </c>
      <c r="H26" s="201" t="s">
        <v>257</v>
      </c>
      <c r="I26" s="201" t="s">
        <v>337</v>
      </c>
      <c r="J26" s="201" t="s">
        <v>338</v>
      </c>
      <c r="K26" s="242" t="s">
        <v>339</v>
      </c>
      <c r="N26" s="193"/>
    </row>
    <row r="27" customFormat="false" ht="12.75" hidden="false" customHeight="false" outlineLevel="0" collapsed="false">
      <c r="A27" s="210" t="s">
        <v>340</v>
      </c>
      <c r="B27" s="206" t="n">
        <f aca="false">+Rates!H22-0.0225+B35+B36</f>
        <v>0.229604698535906</v>
      </c>
      <c r="C27" s="206" t="n">
        <f aca="false">+Rates!H22-0.0072</f>
        <v>0.191816154161541</v>
      </c>
      <c r="D27" s="206" t="n">
        <f aca="false">+C27-0.0072</f>
        <v>0.184616154161541</v>
      </c>
      <c r="E27" s="206" t="n">
        <f aca="false">+D27-0.0225</f>
        <v>0.162116154161541</v>
      </c>
      <c r="F27" s="206" t="n">
        <f aca="false">+D27+0.0072</f>
        <v>0.191816154161541</v>
      </c>
      <c r="G27" s="206" t="n">
        <f aca="false">+Rates!H27</f>
        <v>0.28330913466569</v>
      </c>
      <c r="H27" s="206" t="n">
        <f aca="false">+Rates!H32</f>
        <v>0.313096040438079</v>
      </c>
      <c r="I27" s="206" t="n">
        <f aca="false">+Rates!H37</f>
        <v>0.368208067940552</v>
      </c>
      <c r="J27" s="211" t="n">
        <f aca="false">+Rates!H42</f>
        <v>0.421545283018868</v>
      </c>
      <c r="K27" s="207" t="n">
        <f aca="false">+Rates!H47</f>
        <v>0.491789803413265</v>
      </c>
      <c r="M27" s="193" t="s">
        <v>277</v>
      </c>
      <c r="N27" s="193" t="n">
        <f aca="false">+N11-C14</f>
        <v>4.29857244886476</v>
      </c>
    </row>
    <row r="28" customFormat="false" ht="12.75" hidden="false" customHeight="false" outlineLevel="0" collapsed="false">
      <c r="A28" s="210" t="s">
        <v>341</v>
      </c>
      <c r="B28" s="206"/>
      <c r="C28" s="206" t="n">
        <f aca="false">+Rates!H52-0.0072</f>
        <v>0.0921358404846038</v>
      </c>
      <c r="D28" s="206"/>
      <c r="E28" s="206"/>
      <c r="F28" s="206" t="n">
        <f aca="false">+C28+0.0072</f>
        <v>0.0993358404846038</v>
      </c>
      <c r="G28" s="206"/>
      <c r="H28" s="206"/>
      <c r="I28" s="206"/>
      <c r="J28" s="243"/>
      <c r="K28" s="242"/>
      <c r="N28" s="193" t="n">
        <f aca="false">+N12-C14</f>
        <v>4.25857244886476</v>
      </c>
    </row>
    <row r="29" customFormat="false" ht="12.75" hidden="false" customHeight="false" outlineLevel="0" collapsed="false">
      <c r="A29" s="205" t="n">
        <v>1</v>
      </c>
      <c r="B29" s="206" t="n">
        <f aca="false">+Rates!H57-0.0225+B35+B36</f>
        <v>0.189875116093591</v>
      </c>
      <c r="C29" s="206"/>
      <c r="D29" s="206" t="n">
        <f aca="false">+Rates!H57-0.0072</f>
        <v>0.152086571719227</v>
      </c>
      <c r="E29" s="206" t="n">
        <f aca="false">+D29-0.0225</f>
        <v>0.129586571719227</v>
      </c>
      <c r="F29" s="206"/>
      <c r="G29" s="206" t="n">
        <f aca="false">+Rates!H62</f>
        <v>0.242737078185028</v>
      </c>
      <c r="H29" s="206" t="n">
        <f aca="false">+Rates!H67</f>
        <v>0.272029213248355</v>
      </c>
      <c r="I29" s="206" t="n">
        <f aca="false">+Rates!H72</f>
        <v>0.327518053507478</v>
      </c>
      <c r="J29" s="206" t="n">
        <f aca="false">+Rates!H77</f>
        <v>0.380205827927257</v>
      </c>
      <c r="K29" s="207" t="n">
        <f aca="false">+Rates!H82</f>
        <v>0.450370031072538</v>
      </c>
    </row>
    <row r="30" customFormat="false" ht="12.75" hidden="false" customHeight="false" outlineLevel="0" collapsed="false">
      <c r="A30" s="205" t="n">
        <v>2</v>
      </c>
      <c r="B30" s="206"/>
      <c r="C30" s="206"/>
      <c r="D30" s="206"/>
      <c r="E30" s="206"/>
      <c r="F30" s="206"/>
      <c r="G30" s="206"/>
      <c r="H30" s="206"/>
      <c r="I30" s="206"/>
      <c r="J30" s="206" t="n">
        <f aca="false">SUM(Rates!H87)</f>
        <v>0.0889575818142895</v>
      </c>
      <c r="K30" s="207"/>
    </row>
    <row r="31" customFormat="false" ht="12.75" hidden="false" customHeight="false" outlineLevel="0" collapsed="false">
      <c r="A31" s="205" t="n">
        <v>4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7" t="n">
        <f aca="false">+Rates!H97</f>
        <v>0.178929526916803</v>
      </c>
    </row>
    <row r="32" customFormat="false" ht="12.75" hidden="false" customHeight="false" outlineLevel="0" collapsed="false">
      <c r="A32" s="205" t="n">
        <v>5</v>
      </c>
      <c r="B32" s="206"/>
      <c r="C32" s="206"/>
      <c r="D32" s="206"/>
      <c r="E32" s="206"/>
      <c r="F32" s="206"/>
      <c r="G32" s="206"/>
      <c r="H32" s="206"/>
      <c r="I32" s="206" t="n">
        <f aca="false">+Rates!H102</f>
        <v>0.10279736177095</v>
      </c>
      <c r="J32" s="206" t="n">
        <f aca="false">+Rates!H107</f>
        <v>0.104107831630072</v>
      </c>
      <c r="K32" s="207" t="n">
        <f aca="false">+Rates!H117</f>
        <v>0.16928059914408</v>
      </c>
    </row>
    <row r="33" customFormat="false" ht="12.75" hidden="false" customHeight="false" outlineLevel="0" collapsed="false">
      <c r="A33" s="244" t="n">
        <v>6</v>
      </c>
      <c r="B33" s="245"/>
      <c r="C33" s="245"/>
      <c r="D33" s="245"/>
      <c r="E33" s="245"/>
      <c r="F33" s="206"/>
      <c r="G33" s="206"/>
      <c r="H33" s="206"/>
      <c r="I33" s="206"/>
      <c r="J33" s="206"/>
      <c r="K33" s="207" t="n">
        <f aca="false">+Rates!H132</f>
        <v>0.10829157841654</v>
      </c>
    </row>
    <row r="34" customFormat="false" ht="12.75" hidden="false" customHeight="false" outlineLevel="0" collapsed="false">
      <c r="A34" s="209"/>
      <c r="B34" s="206"/>
      <c r="C34" s="206"/>
      <c r="D34" s="206"/>
      <c r="E34" s="206"/>
      <c r="F34" s="246"/>
      <c r="G34" s="206"/>
      <c r="H34" s="206"/>
      <c r="I34" s="206"/>
      <c r="J34" s="206"/>
      <c r="K34" s="207"/>
    </row>
    <row r="35" customFormat="false" ht="12.75" hidden="false" customHeight="false" outlineLevel="0" collapsed="false">
      <c r="A35" s="247" t="s">
        <v>342</v>
      </c>
      <c r="B35" s="199" t="n">
        <f aca="false">0.0009+0.0022+0.0075</f>
        <v>0.0106</v>
      </c>
      <c r="F35" s="248" t="s">
        <v>343</v>
      </c>
      <c r="G35" s="150"/>
      <c r="H35" s="150"/>
      <c r="I35" s="150"/>
      <c r="J35" s="150"/>
      <c r="K35" s="242"/>
    </row>
    <row r="36" customFormat="false" ht="12.75" hidden="false" customHeight="false" outlineLevel="0" collapsed="false">
      <c r="A36" s="224" t="s">
        <v>344</v>
      </c>
      <c r="B36" s="249" t="n">
        <f aca="false">0.0101*(+Rates!H4+Rates!H57-0.0225)</f>
        <v>0.0424885443743642</v>
      </c>
      <c r="F36" s="248" t="s">
        <v>345</v>
      </c>
      <c r="G36" s="150"/>
      <c r="H36" s="150"/>
      <c r="I36" s="250" t="n">
        <f aca="false">+I27-I32</f>
        <v>0.265410706169603</v>
      </c>
      <c r="J36" s="250" t="n">
        <f aca="false">+J27-J32</f>
        <v>0.317437451388796</v>
      </c>
      <c r="K36" s="251" t="n">
        <f aca="false">+K27-K32</f>
        <v>0.322509204269185</v>
      </c>
    </row>
    <row r="37" customFormat="false" ht="12.75" hidden="false" customHeight="false" outlineLevel="0" collapsed="false">
      <c r="A37" s="150"/>
      <c r="B37" s="206"/>
      <c r="F37" s="252" t="s">
        <v>346</v>
      </c>
      <c r="G37" s="141"/>
      <c r="H37" s="141"/>
      <c r="I37" s="253" t="n">
        <f aca="false">+I29-I32</f>
        <v>0.224720691736529</v>
      </c>
      <c r="J37" s="253" t="n">
        <f aca="false">+J29-J32</f>
        <v>0.276097996297185</v>
      </c>
      <c r="K37" s="254" t="n">
        <f aca="false">+K29-K32</f>
        <v>0.281089431928459</v>
      </c>
    </row>
    <row r="38" customFormat="false" ht="12.75" hidden="false" customHeight="false" outlineLevel="0" collapsed="false">
      <c r="A38" s="150"/>
      <c r="B38" s="206"/>
    </row>
    <row r="39" customFormat="false" ht="12.75" hidden="false" customHeight="false" outlineLevel="0" collapsed="false">
      <c r="A39" s="239" t="s">
        <v>347</v>
      </c>
      <c r="B39" s="196"/>
      <c r="C39" s="196"/>
      <c r="D39" s="196"/>
      <c r="E39" s="196"/>
      <c r="F39" s="196"/>
      <c r="G39" s="196"/>
      <c r="H39" s="196"/>
      <c r="I39" s="196"/>
      <c r="J39" s="255"/>
      <c r="K39" s="256"/>
      <c r="L39" s="150"/>
    </row>
    <row r="40" customFormat="false" ht="12.75" hidden="false" customHeight="false" outlineLevel="0" collapsed="false">
      <c r="A40" s="205"/>
      <c r="B40" s="201" t="s">
        <v>316</v>
      </c>
      <c r="C40" s="201" t="s">
        <v>348</v>
      </c>
      <c r="D40" s="201" t="s">
        <v>349</v>
      </c>
      <c r="E40" s="201" t="s">
        <v>350</v>
      </c>
      <c r="F40" s="201" t="s">
        <v>351</v>
      </c>
      <c r="G40" s="201" t="s">
        <v>352</v>
      </c>
      <c r="H40" s="257"/>
      <c r="I40" s="150"/>
      <c r="J40" s="257" t="s">
        <v>353</v>
      </c>
      <c r="K40" s="258" t="s">
        <v>354</v>
      </c>
      <c r="L40" s="150"/>
    </row>
    <row r="41" customFormat="false" ht="12.75" hidden="false" customHeight="false" outlineLevel="0" collapsed="false">
      <c r="A41" s="210" t="s">
        <v>316</v>
      </c>
      <c r="B41" s="206" t="n">
        <f aca="false">+Rates!K17</f>
        <v>0.139767978569957</v>
      </c>
      <c r="C41" s="206" t="n">
        <f aca="false">+Rates!K27</f>
        <v>0.181559837854693</v>
      </c>
      <c r="D41" s="206" t="n">
        <f aca="false">+Rates!K22</f>
        <v>0.139122810275456</v>
      </c>
      <c r="E41" s="206" t="n">
        <f aca="false">+Rates!K32</f>
        <v>0.322751429795438</v>
      </c>
      <c r="F41" s="206" t="n">
        <f aca="false">+Rates!K37</f>
        <v>0.404791743617599</v>
      </c>
      <c r="G41" s="206" t="n">
        <f aca="false">+Rates!K42</f>
        <v>0.461328872312418</v>
      </c>
      <c r="H41" s="233"/>
      <c r="I41" s="150"/>
      <c r="J41" s="259" t="n">
        <f aca="false">+Rates!N32</f>
        <v>0.880591743617599</v>
      </c>
      <c r="K41" s="260" t="n">
        <f aca="false">SUM(Rates!N37)</f>
        <v>1.02032887231242</v>
      </c>
      <c r="L41" s="150"/>
    </row>
    <row r="42" customFormat="false" ht="12.75" hidden="false" customHeight="false" outlineLevel="0" collapsed="false">
      <c r="A42" s="210" t="s">
        <v>355</v>
      </c>
      <c r="B42" s="206"/>
      <c r="C42" s="206" t="n">
        <f aca="false">+Rates!K87</f>
        <v>0.141385425893501</v>
      </c>
      <c r="D42" s="261" t="n">
        <f aca="false">+D44</f>
        <v>0.135985425893501</v>
      </c>
      <c r="E42" s="206" t="n">
        <f aca="false">+E44</f>
        <v>0.283352785145889</v>
      </c>
      <c r="F42" s="206" t="n">
        <f aca="false">+F44</f>
        <v>0.36574452813946</v>
      </c>
      <c r="G42" s="206" t="n">
        <f aca="false">+G44</f>
        <v>0.422514645806172</v>
      </c>
      <c r="H42" s="233"/>
      <c r="I42" s="150"/>
      <c r="J42" s="259" t="n">
        <f aca="false">SUM(Rates!N77)</f>
        <v>0.69624452813946</v>
      </c>
      <c r="K42" s="260" t="n">
        <f aca="false">SUM(Rates!N82)</f>
        <v>0.836214645806171</v>
      </c>
      <c r="L42" s="150"/>
    </row>
    <row r="43" customFormat="false" ht="12.75" hidden="false" customHeight="false" outlineLevel="0" collapsed="false">
      <c r="A43" s="210" t="s">
        <v>317</v>
      </c>
      <c r="B43" s="206"/>
      <c r="C43" s="206" t="n">
        <f aca="false">+Rates!K52</f>
        <v>0.154162259863664</v>
      </c>
      <c r="D43" s="206" t="n">
        <f aca="false">+Rates!K47</f>
        <v>0.111503731802337</v>
      </c>
      <c r="E43" s="206" t="n">
        <f aca="false">+Rates!K57</f>
        <v>0.296230346882316</v>
      </c>
      <c r="F43" s="206" t="n">
        <f aca="false">+Rates!K62</f>
        <v>0.378678761061947</v>
      </c>
      <c r="G43" s="206" t="n">
        <f aca="false">+Rates!K67</f>
        <v>0.435490966546802</v>
      </c>
      <c r="H43" s="233"/>
      <c r="I43" s="150"/>
      <c r="J43" s="259" t="n">
        <f aca="false">SUM(Rates!N52)</f>
        <v>0.723778761061947</v>
      </c>
      <c r="K43" s="260" t="n">
        <f aca="false">SUM(Rates!N57)</f>
        <v>0.863790966546802</v>
      </c>
      <c r="L43" s="150"/>
    </row>
    <row r="44" customFormat="false" ht="12.75" hidden="false" customHeight="false" outlineLevel="0" collapsed="false">
      <c r="A44" s="210" t="s">
        <v>318</v>
      </c>
      <c r="B44" s="206"/>
      <c r="C44" s="206" t="n">
        <f aca="false">+Rates!K87</f>
        <v>0.141385425893501</v>
      </c>
      <c r="D44" s="206" t="n">
        <f aca="false">+Rates!K77</f>
        <v>0.135985425893501</v>
      </c>
      <c r="E44" s="206" t="n">
        <f aca="false">+Rates!K97</f>
        <v>0.283352785145889</v>
      </c>
      <c r="F44" s="206" t="n">
        <f aca="false">+Rates!K102</f>
        <v>0.36574452813946</v>
      </c>
      <c r="G44" s="206" t="n">
        <f aca="false">+Rates!K107</f>
        <v>0.422514645806172</v>
      </c>
      <c r="H44" s="233"/>
      <c r="I44" s="150"/>
      <c r="J44" s="259" t="n">
        <f aca="false">SUM(Rates!N77)</f>
        <v>0.69624452813946</v>
      </c>
      <c r="K44" s="260" t="n">
        <f aca="false">SUM(Rates!N82)</f>
        <v>0.836214645806171</v>
      </c>
      <c r="L44" s="150"/>
    </row>
    <row r="45" customFormat="false" ht="12.75" hidden="false" customHeight="false" outlineLevel="0" collapsed="false">
      <c r="A45" s="262" t="s">
        <v>356</v>
      </c>
      <c r="B45" s="150"/>
      <c r="C45" s="150"/>
      <c r="D45" s="150"/>
      <c r="E45" s="193" t="n">
        <f aca="false">+Rates!K112</f>
        <v>0.147381926718814</v>
      </c>
      <c r="F45" s="206" t="n">
        <f aca="false">+Rates!K117</f>
        <v>0.227857095158597</v>
      </c>
      <c r="G45" s="206" t="n">
        <f aca="false">+Rates!K122</f>
        <v>0.283274091627172</v>
      </c>
      <c r="H45" s="206"/>
      <c r="I45" s="150"/>
      <c r="J45" s="259" t="n">
        <f aca="false">SUM(Rates!N87)</f>
        <v>0.487957095158597</v>
      </c>
      <c r="K45" s="260" t="n">
        <f aca="false">SUM(Rates!N92)</f>
        <v>0.626574091627172</v>
      </c>
    </row>
    <row r="46" customFormat="false" ht="12.75" hidden="false" customHeight="false" outlineLevel="0" collapsed="false">
      <c r="A46" s="262" t="s">
        <v>284</v>
      </c>
      <c r="B46" s="150"/>
      <c r="C46" s="150"/>
      <c r="D46" s="150"/>
      <c r="E46" s="193"/>
      <c r="F46" s="206" t="n">
        <f aca="false">+Rates!K142</f>
        <v>0</v>
      </c>
      <c r="G46" s="206" t="n">
        <f aca="false">+Rates!K147</f>
        <v>0</v>
      </c>
      <c r="H46" s="233"/>
      <c r="I46" s="150"/>
      <c r="J46" s="259"/>
      <c r="K46" s="260" t="n">
        <f aca="false">SUM(Rates!N102)</f>
        <v>0.532805712492153</v>
      </c>
    </row>
    <row r="47" customFormat="false" ht="12.75" hidden="false" customHeight="false" outlineLevel="0" collapsed="false">
      <c r="A47" s="263" t="s">
        <v>357</v>
      </c>
      <c r="B47" s="141"/>
      <c r="C47" s="141"/>
      <c r="D47" s="141"/>
      <c r="E47" s="264"/>
      <c r="F47" s="141"/>
      <c r="G47" s="245" t="n">
        <f aca="false">+Rates!K152</f>
        <v>0</v>
      </c>
      <c r="H47" s="265"/>
      <c r="I47" s="141"/>
      <c r="J47" s="266"/>
      <c r="K47" s="267" t="n">
        <f aca="false">SUM(Rates!N107)</f>
        <v>0.334722600619196</v>
      </c>
    </row>
    <row r="48" customFormat="false" ht="12.75" hidden="false" customHeight="false" outlineLevel="0" collapsed="false">
      <c r="A48" s="268"/>
      <c r="E48" s="193"/>
      <c r="G48" s="206"/>
      <c r="H48" s="269"/>
      <c r="J48" s="259"/>
      <c r="K48" s="259"/>
    </row>
    <row r="49" customFormat="false" ht="12.75" hidden="false" customHeight="false" outlineLevel="0" collapsed="false">
      <c r="F49" s="195" t="s">
        <v>358</v>
      </c>
      <c r="G49" s="196"/>
      <c r="H49" s="196"/>
      <c r="I49" s="196"/>
      <c r="J49" s="197"/>
    </row>
    <row r="50" customFormat="false" ht="12.75" hidden="false" customHeight="false" outlineLevel="0" collapsed="false">
      <c r="A50" s="195" t="s">
        <v>236</v>
      </c>
      <c r="B50" s="270" t="s">
        <v>359</v>
      </c>
      <c r="C50" s="270" t="s">
        <v>360</v>
      </c>
      <c r="D50" s="270" t="s">
        <v>361</v>
      </c>
      <c r="E50" s="270" t="s">
        <v>362</v>
      </c>
      <c r="F50" s="200"/>
      <c r="G50" s="150" t="s">
        <v>363</v>
      </c>
      <c r="H50" s="150" t="s">
        <v>364</v>
      </c>
      <c r="I50" s="201" t="s">
        <v>365</v>
      </c>
      <c r="J50" s="202" t="s">
        <v>366</v>
      </c>
    </row>
    <row r="51" customFormat="false" ht="12.75" hidden="false" customHeight="false" outlineLevel="0" collapsed="false">
      <c r="A51" s="224"/>
      <c r="B51" s="225" t="n">
        <f aca="false">+Rates!Q17</f>
        <v>0.077941116751269</v>
      </c>
      <c r="C51" s="225" t="n">
        <f aca="false">SUM(Rates!Q22)</f>
        <v>0.079941116751269</v>
      </c>
      <c r="D51" s="225" t="n">
        <f aca="false">SUM(Rates!Q27)</f>
        <v>0.119190788126919</v>
      </c>
      <c r="E51" s="225" t="n">
        <f aca="false">SUM(Rates!Q32)</f>
        <v>0.140179466119096</v>
      </c>
      <c r="F51" s="216" t="s">
        <v>367</v>
      </c>
      <c r="G51" s="233" t="n">
        <f aca="false">+Rates!AF17-0.0072</f>
        <v>0.0138904919346758</v>
      </c>
      <c r="H51" s="271" t="n">
        <f aca="false">+G51+0.0072</f>
        <v>0.0210904919346758</v>
      </c>
      <c r="I51" s="272" t="n">
        <f aca="false">+Rates!AF35</f>
        <v>0.104628830850847</v>
      </c>
      <c r="J51" s="234" t="n">
        <f aca="false">+Rates!AF23</f>
        <v>0.157634460016488</v>
      </c>
    </row>
    <row r="52" customFormat="false" ht="12.75" hidden="false" customHeight="false" outlineLevel="0" collapsed="false">
      <c r="F52" s="224" t="n">
        <v>1</v>
      </c>
      <c r="G52" s="141"/>
      <c r="H52" s="141"/>
      <c r="I52" s="141"/>
      <c r="J52" s="273" t="n">
        <f aca="false">SUM(Rates!AF29)</f>
        <v>0.155834460016488</v>
      </c>
    </row>
    <row r="53" customFormat="false" ht="13.5" hidden="false" customHeight="false" outlineLevel="0" collapsed="false">
      <c r="I53" s="274"/>
      <c r="J53" s="150"/>
      <c r="K53" s="150"/>
      <c r="L53" s="150"/>
    </row>
    <row r="54" customFormat="false" ht="14.25" hidden="false" customHeight="false" outlineLevel="0" collapsed="false">
      <c r="A54" s="195" t="s">
        <v>368</v>
      </c>
      <c r="B54" s="196"/>
      <c r="C54" s="196"/>
      <c r="D54" s="196"/>
      <c r="E54" s="197"/>
      <c r="F54" s="275" t="s">
        <v>369</v>
      </c>
      <c r="G54" s="197"/>
      <c r="I54" s="276" t="s">
        <v>370</v>
      </c>
      <c r="J54" s="277" t="s">
        <v>371</v>
      </c>
      <c r="K54" s="278" t="n">
        <f aca="false">+Rates!AL17</f>
        <v>0.0957448979591835</v>
      </c>
      <c r="L54" s="279" t="s">
        <v>45</v>
      </c>
    </row>
    <row r="55" customFormat="false" ht="13.5" hidden="false" customHeight="false" outlineLevel="0" collapsed="false">
      <c r="A55" s="205"/>
      <c r="B55" s="201" t="s">
        <v>372</v>
      </c>
      <c r="C55" s="201" t="s">
        <v>373</v>
      </c>
      <c r="D55" s="201" t="s">
        <v>169</v>
      </c>
      <c r="E55" s="202"/>
      <c r="F55" s="280" t="s">
        <v>374</v>
      </c>
      <c r="G55" s="242"/>
      <c r="I55" s="281"/>
      <c r="J55" s="274"/>
      <c r="K55" s="282"/>
      <c r="L55" s="274"/>
    </row>
    <row r="56" customFormat="false" ht="12.75" hidden="false" customHeight="false" outlineLevel="0" collapsed="false">
      <c r="A56" s="210" t="s">
        <v>372</v>
      </c>
      <c r="B56" s="206" t="n">
        <f aca="false">+Rates!T32</f>
        <v>0.112607931783444</v>
      </c>
      <c r="C56" s="206" t="n">
        <f aca="false">+C57+B56</f>
        <v>0.180501362999018</v>
      </c>
      <c r="D56" s="206" t="n">
        <f aca="false">SUM(Rates!T27,Rates!T37,Rates!T32)</f>
        <v>0.325613500606256</v>
      </c>
      <c r="E56" s="207"/>
      <c r="F56" s="283" t="s">
        <v>375</v>
      </c>
      <c r="G56" s="207" t="n">
        <f aca="false">Rates!AC34</f>
        <v>0.0583199356266344</v>
      </c>
      <c r="H56" s="284"/>
      <c r="I56" s="285"/>
      <c r="J56" s="285"/>
      <c r="K56" s="285"/>
      <c r="L56" s="285"/>
    </row>
    <row r="57" customFormat="false" ht="12.75" hidden="false" customHeight="false" outlineLevel="0" collapsed="false">
      <c r="A57" s="210" t="s">
        <v>373</v>
      </c>
      <c r="B57" s="206"/>
      <c r="C57" s="206" t="n">
        <f aca="false">+Rates!T37</f>
        <v>0.0678934312155731</v>
      </c>
      <c r="D57" s="206" t="n">
        <f aca="false">+Rates!T37+Rates!T27</f>
        <v>0.213005568822811</v>
      </c>
      <c r="E57" s="207"/>
      <c r="F57" s="231"/>
      <c r="G57" s="231"/>
      <c r="H57" s="270"/>
      <c r="I57" s="286"/>
      <c r="J57" s="286" t="s">
        <v>376</v>
      </c>
      <c r="K57" s="286"/>
      <c r="L57" s="287"/>
    </row>
    <row r="58" customFormat="false" ht="12.75" hidden="false" customHeight="false" outlineLevel="0" collapsed="false">
      <c r="A58" s="210" t="s">
        <v>377</v>
      </c>
      <c r="B58" s="206"/>
      <c r="C58" s="206"/>
      <c r="D58" s="206" t="n">
        <f aca="false">+Rates!T27</f>
        <v>0.145112137607238</v>
      </c>
      <c r="E58" s="207"/>
      <c r="F58" s="206"/>
      <c r="G58" s="288"/>
      <c r="H58" s="274" t="s">
        <v>378</v>
      </c>
      <c r="I58" s="285"/>
      <c r="J58" s="285"/>
      <c r="K58" s="285"/>
      <c r="L58" s="289"/>
    </row>
    <row r="59" customFormat="false" ht="12.75" hidden="false" customHeight="false" outlineLevel="0" collapsed="false">
      <c r="A59" s="290"/>
      <c r="B59" s="245" t="s">
        <v>379</v>
      </c>
      <c r="C59" s="245"/>
      <c r="D59" s="245"/>
      <c r="E59" s="249"/>
      <c r="F59" s="206"/>
      <c r="G59" s="200"/>
      <c r="H59" s="291" t="n">
        <v>0</v>
      </c>
      <c r="I59" s="291" t="s">
        <v>341</v>
      </c>
      <c r="J59" s="291" t="n">
        <v>1</v>
      </c>
      <c r="K59" s="291" t="n">
        <v>2</v>
      </c>
      <c r="L59" s="292" t="n">
        <v>3</v>
      </c>
    </row>
    <row r="60" customFormat="false" ht="12.75" hidden="false" customHeight="false" outlineLevel="0" collapsed="false">
      <c r="G60" s="293" t="s">
        <v>340</v>
      </c>
      <c r="H60" s="228" t="n">
        <f aca="false">+Rates!H238</f>
        <v>0.0690116982654291</v>
      </c>
      <c r="I60" s="291"/>
      <c r="J60" s="228" t="n">
        <f aca="false">+Rates!H244</f>
        <v>0.135416154161541</v>
      </c>
      <c r="K60" s="228" t="n">
        <f aca="false">+Rates!H250</f>
        <v>0.22110913466569</v>
      </c>
      <c r="L60" s="236" t="n">
        <f aca="false">+Rates!H256</f>
        <v>0.248096040438079</v>
      </c>
    </row>
    <row r="61" customFormat="false" ht="13.5" hidden="false" customHeight="false" outlineLevel="0" collapsed="false">
      <c r="F61" s="294"/>
      <c r="G61" s="295" t="s">
        <v>341</v>
      </c>
      <c r="H61" s="235"/>
      <c r="I61" s="228" t="n">
        <f aca="false">+Rates!H262</f>
        <v>0.0740358404846039</v>
      </c>
      <c r="J61" s="291"/>
      <c r="K61" s="291"/>
      <c r="L61" s="292"/>
    </row>
    <row r="62" customFormat="false" ht="13.5" hidden="false" customHeight="false" outlineLevel="0" collapsed="false">
      <c r="A62" s="296" t="s">
        <v>380</v>
      </c>
      <c r="B62" s="297"/>
      <c r="C62" s="297"/>
      <c r="D62" s="297"/>
      <c r="E62" s="297"/>
      <c r="F62" s="298" t="n">
        <f aca="false">Rates!A1</f>
        <v>37028</v>
      </c>
      <c r="G62" s="291" t="n">
        <v>1</v>
      </c>
      <c r="H62" s="235"/>
      <c r="I62" s="291"/>
      <c r="J62" s="228" t="n">
        <f aca="false">+Rates!H268</f>
        <v>0.105386571719227</v>
      </c>
      <c r="K62" s="228" t="n">
        <f aca="false">+Rates!H274</f>
        <v>0.190937078185028</v>
      </c>
      <c r="L62" s="273" t="n">
        <f aca="false">+Rates!H280</f>
        <v>0.217429213248355</v>
      </c>
    </row>
    <row r="63" customFormat="false" ht="12.75" hidden="false" customHeight="false" outlineLevel="0" collapsed="false">
      <c r="A63" s="269" t="s">
        <v>381</v>
      </c>
      <c r="B63" s="193" t="n">
        <f aca="false">+Rates!B6</f>
        <v>4.18</v>
      </c>
      <c r="D63" s="299" t="s">
        <v>382</v>
      </c>
      <c r="E63" s="193" t="n">
        <f aca="false">Rates!T3</f>
        <v>4.145</v>
      </c>
      <c r="F63" s="300" t="str">
        <f aca="false">Rates!A2</f>
        <v>Gas Daily </v>
      </c>
      <c r="G63" s="301"/>
      <c r="H63" s="196"/>
      <c r="I63" s="302"/>
      <c r="J63" s="302"/>
      <c r="K63" s="303"/>
      <c r="L63" s="285"/>
    </row>
    <row r="64" customFormat="false" ht="13.5" hidden="false" customHeight="false" outlineLevel="0" collapsed="false">
      <c r="A64" s="201" t="s">
        <v>383</v>
      </c>
      <c r="B64" s="304" t="n">
        <f aca="false">+Rates!B5</f>
        <v>4.21</v>
      </c>
      <c r="C64" s="201"/>
      <c r="D64" s="243" t="s">
        <v>384</v>
      </c>
      <c r="E64" s="193" t="n">
        <f aca="false">Rates!T4</f>
        <v>4.21289343121557</v>
      </c>
      <c r="F64" s="305" t="str">
        <f aca="false">Rates!B2</f>
        <v>-.30</v>
      </c>
      <c r="G64" s="306"/>
      <c r="H64" s="274" t="s">
        <v>385</v>
      </c>
      <c r="I64" s="285"/>
      <c r="J64" s="285"/>
      <c r="K64" s="289"/>
      <c r="L64" s="285"/>
    </row>
    <row r="65" customFormat="false" ht="12.75" hidden="false" customHeight="false" outlineLevel="0" collapsed="false">
      <c r="A65" s="201" t="s">
        <v>386</v>
      </c>
      <c r="B65" s="193" t="n">
        <f aca="false">Rates!B4</f>
        <v>4.255</v>
      </c>
      <c r="C65" s="206"/>
      <c r="D65" s="211" t="s">
        <v>387</v>
      </c>
      <c r="E65" s="193" t="n">
        <f aca="false">+Rates!AF3</f>
        <v>4.145</v>
      </c>
      <c r="G65" s="200"/>
      <c r="H65" s="274"/>
      <c r="I65" s="307" t="s">
        <v>388</v>
      </c>
      <c r="J65" s="307" t="s">
        <v>389</v>
      </c>
      <c r="K65" s="308" t="s">
        <v>390</v>
      </c>
      <c r="L65" s="285"/>
    </row>
    <row r="66" customFormat="false" ht="12.75" hidden="false" customHeight="false" outlineLevel="0" collapsed="false">
      <c r="A66" s="269" t="s">
        <v>391</v>
      </c>
      <c r="B66" s="193" t="n">
        <f aca="false">Rates!B3</f>
        <v>4.16</v>
      </c>
      <c r="C66" s="206"/>
      <c r="D66" s="23" t="s">
        <v>392</v>
      </c>
      <c r="E66" s="193" t="n">
        <f aca="false">+Rates!H4</f>
        <v>4.07</v>
      </c>
      <c r="G66" s="200" t="s">
        <v>393</v>
      </c>
      <c r="H66" s="150"/>
      <c r="I66" s="309" t="n">
        <f aca="false">+Rates!AR17</f>
        <v>0.141644262295082</v>
      </c>
      <c r="J66" s="309" t="n">
        <f aca="false">+Rates!AR41</f>
        <v>0.124644262295082</v>
      </c>
      <c r="K66" s="310" t="n">
        <f aca="false">+Rates!AR35</f>
        <v>0.431480327868853</v>
      </c>
      <c r="L66" s="285"/>
    </row>
    <row r="67" customFormat="false" ht="12.75" hidden="false" customHeight="false" outlineLevel="0" collapsed="false">
      <c r="A67" s="269" t="s">
        <v>394</v>
      </c>
      <c r="B67" s="193" t="n">
        <f aca="false">Rates!B7</f>
        <v>4.61574489795918</v>
      </c>
      <c r="C67" s="206"/>
      <c r="D67" s="299" t="s">
        <v>395</v>
      </c>
      <c r="E67" s="193" t="n">
        <f aca="false">+Rates!H5</f>
        <v>4.41</v>
      </c>
      <c r="G67" s="200" t="s">
        <v>396</v>
      </c>
      <c r="H67" s="150"/>
      <c r="I67" s="311" t="n">
        <f aca="false">+Rates!AR23</f>
        <v>0.136480327868853</v>
      </c>
      <c r="J67" s="311" t="n">
        <f aca="false">+Rates!AR48</f>
        <v>0.119480327868853</v>
      </c>
      <c r="K67" s="312" t="n">
        <f aca="false">+Rates!AR35</f>
        <v>0.431480327868853</v>
      </c>
      <c r="L67" s="274"/>
    </row>
    <row r="68" customFormat="false" ht="12.75" hidden="false" customHeight="false" outlineLevel="0" collapsed="false">
      <c r="A68" s="201" t="s">
        <v>277</v>
      </c>
      <c r="B68" s="193" t="n">
        <f aca="false">Rates!K5</f>
        <v>4.02</v>
      </c>
      <c r="D68" s="211" t="s">
        <v>397</v>
      </c>
      <c r="E68" s="193" t="n">
        <f aca="false">Rates!Z3</f>
        <v>4.4</v>
      </c>
      <c r="G68" s="200"/>
      <c r="H68" s="150"/>
      <c r="I68" s="285"/>
      <c r="J68" s="285"/>
      <c r="K68" s="289"/>
      <c r="L68" s="285"/>
    </row>
    <row r="69" customFormat="false" ht="12.75" hidden="false" customHeight="false" outlineLevel="0" collapsed="false">
      <c r="A69" s="201" t="s">
        <v>328</v>
      </c>
      <c r="B69" s="193" t="n">
        <f aca="false">Rates!K4</f>
        <v>4.1</v>
      </c>
      <c r="D69" s="211" t="s">
        <v>56</v>
      </c>
      <c r="E69" s="193" t="n">
        <f aca="false">Rates!W3</f>
        <v>4.39</v>
      </c>
      <c r="G69" s="200"/>
      <c r="H69" s="150" t="s">
        <v>398</v>
      </c>
      <c r="I69" s="313" t="n">
        <v>0.0348</v>
      </c>
      <c r="J69" s="313" t="n">
        <v>0.0178</v>
      </c>
      <c r="K69" s="242" t="n">
        <v>0.3298</v>
      </c>
      <c r="L69" s="285"/>
    </row>
    <row r="70" customFormat="false" ht="12.75" hidden="false" customHeight="false" outlineLevel="0" collapsed="false">
      <c r="A70" s="269" t="s">
        <v>323</v>
      </c>
      <c r="B70" s="193" t="n">
        <f aca="false">Rates!K3</f>
        <v>4.12</v>
      </c>
      <c r="D70" s="299" t="s">
        <v>83</v>
      </c>
      <c r="E70" s="193" t="n">
        <f aca="false">Rates!AI3</f>
        <v>4.3</v>
      </c>
      <c r="G70" s="224"/>
      <c r="H70" s="141" t="s">
        <v>344</v>
      </c>
      <c r="I70" s="314" t="n">
        <v>0.024</v>
      </c>
      <c r="J70" s="314" t="n">
        <v>0.024</v>
      </c>
      <c r="K70" s="315" t="n">
        <v>0.024</v>
      </c>
      <c r="L70" s="285"/>
    </row>
    <row r="71" customFormat="false" ht="12.75" hidden="false" customHeight="false" outlineLevel="0" collapsed="false">
      <c r="A71" s="269" t="s">
        <v>356</v>
      </c>
      <c r="B71" s="193" t="n">
        <f aca="false">Rates!K6</f>
        <v>4.245</v>
      </c>
      <c r="E71" s="193"/>
      <c r="I71" s="285"/>
      <c r="J71" s="285"/>
      <c r="K71" s="285"/>
      <c r="L71" s="285"/>
    </row>
    <row r="72" customFormat="false" ht="12.75" hidden="false" customHeight="false" outlineLevel="0" collapsed="false">
      <c r="A72" s="269" t="s">
        <v>357</v>
      </c>
      <c r="B72" s="193" t="n">
        <f aca="false">Rates!K7</f>
        <v>4.53</v>
      </c>
      <c r="D72" s="316" t="s">
        <v>399</v>
      </c>
      <c r="E72" s="317" t="n">
        <f aca="false">Rates!D2</f>
        <v>4.165</v>
      </c>
      <c r="I72" s="285"/>
      <c r="J72" s="285"/>
      <c r="K72" s="285"/>
      <c r="L72" s="285"/>
    </row>
    <row r="73" customFormat="false" ht="12.75" hidden="false" customHeight="false" outlineLevel="0" collapsed="false">
      <c r="I73" s="285"/>
      <c r="J73" s="285"/>
      <c r="K73" s="285"/>
      <c r="L73" s="285"/>
    </row>
    <row r="74" customFormat="false" ht="12.75" hidden="false" customHeight="false" outlineLevel="0" collapsed="false">
      <c r="I74" s="285"/>
      <c r="J74" s="285"/>
      <c r="K74" s="285"/>
      <c r="L74" s="285"/>
    </row>
    <row r="75" customFormat="false" ht="12.75" hidden="false" customHeight="false" outlineLevel="0" collapsed="false">
      <c r="I75" s="285"/>
      <c r="J75" s="285"/>
      <c r="K75" s="285"/>
      <c r="L75" s="285"/>
    </row>
    <row r="76" customFormat="false" ht="12.75" hidden="false" customHeight="false" outlineLevel="0" collapsed="false">
      <c r="I76" s="285"/>
      <c r="J76" s="285"/>
      <c r="K76" s="285"/>
      <c r="L76" s="285"/>
    </row>
    <row r="77" customFormat="false" ht="12.75" hidden="false" customHeight="false" outlineLevel="0" collapsed="false">
      <c r="I77" s="274"/>
      <c r="J77" s="150"/>
      <c r="K77" s="150"/>
      <c r="L77" s="150"/>
    </row>
    <row r="78" customFormat="false" ht="12.75" hidden="false" customHeight="false" outlineLevel="0" collapsed="false">
      <c r="I78" s="150"/>
      <c r="J78" s="274"/>
      <c r="K78" s="150"/>
      <c r="L78" s="274"/>
    </row>
    <row r="79" customFormat="false" ht="12.75" hidden="false" customHeight="false" outlineLevel="0" collapsed="false">
      <c r="I79" s="285"/>
      <c r="J79" s="285"/>
      <c r="K79" s="285"/>
      <c r="L79" s="285"/>
    </row>
    <row r="80" customFormat="false" ht="12.75" hidden="false" customHeight="false" outlineLevel="0" collapsed="false">
      <c r="I80" s="285"/>
      <c r="J80" s="285"/>
      <c r="K80" s="285"/>
      <c r="L80" s="285"/>
    </row>
    <row r="81" customFormat="false" ht="12.75" hidden="false" customHeight="false" outlineLevel="0" collapsed="false">
      <c r="I81" s="285"/>
      <c r="J81" s="285"/>
      <c r="K81" s="285"/>
      <c r="L81" s="285"/>
    </row>
    <row r="82" customFormat="false" ht="12.75" hidden="false" customHeight="false" outlineLevel="0" collapsed="false">
      <c r="I82" s="285"/>
      <c r="J82" s="285"/>
      <c r="K82" s="285"/>
      <c r="L82" s="285"/>
    </row>
    <row r="83" customFormat="false" ht="12.75" hidden="false" customHeight="false" outlineLevel="0" collapsed="false">
      <c r="I83" s="285"/>
      <c r="J83" s="285"/>
      <c r="K83" s="285"/>
      <c r="L83" s="285"/>
    </row>
    <row r="84" customFormat="false" ht="12.75" hidden="false" customHeight="false" outlineLevel="0" collapsed="false">
      <c r="I84" s="285"/>
      <c r="J84" s="285"/>
      <c r="K84" s="285"/>
      <c r="L84" s="285"/>
    </row>
    <row r="85" customFormat="false" ht="12.75" hidden="false" customHeight="false" outlineLevel="0" collapsed="false">
      <c r="I85" s="285"/>
      <c r="J85" s="285"/>
      <c r="K85" s="285"/>
      <c r="L85" s="285"/>
    </row>
    <row r="86" customFormat="false" ht="12.75" hidden="false" customHeight="false" outlineLevel="0" collapsed="false">
      <c r="I86" s="318"/>
      <c r="J86" s="318"/>
      <c r="K86" s="318"/>
      <c r="L86" s="318"/>
    </row>
    <row r="87" customFormat="false" ht="12.75" hidden="false" customHeight="false" outlineLevel="0" collapsed="false">
      <c r="I87" s="318"/>
      <c r="J87" s="318"/>
      <c r="K87" s="318"/>
      <c r="L87" s="318"/>
    </row>
    <row r="88" customFormat="false" ht="12.75" hidden="false" customHeight="false" outlineLevel="0" collapsed="false">
      <c r="I88" s="318"/>
      <c r="J88" s="318"/>
      <c r="K88" s="318"/>
      <c r="L88" s="318"/>
    </row>
    <row r="89" customFormat="false" ht="12.75" hidden="false" customHeight="false" outlineLevel="0" collapsed="false">
      <c r="I89" s="318"/>
      <c r="J89" s="318"/>
      <c r="K89" s="318"/>
      <c r="L89" s="318"/>
    </row>
    <row r="90" customFormat="false" ht="12.75" hidden="false" customHeight="false" outlineLevel="0" collapsed="false">
      <c r="I90" s="318"/>
      <c r="J90" s="318"/>
      <c r="K90" s="318"/>
      <c r="L90" s="3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&amp;C&amp;14May
 2001 Rates Using Current Cash Prices</oddHeader>
    <oddFooter>&amp;L&amp;D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" width="11.85"/>
    <col collapsed="false" customWidth="true" hidden="false" outlineLevel="0" max="2" min="2" style="8" width="10.85"/>
    <col collapsed="false" customWidth="true" hidden="false" outlineLevel="0" max="3" min="3" style="8" width="3.99"/>
    <col collapsed="false" customWidth="true" hidden="false" outlineLevel="0" max="4" min="4" style="8" width="11.85"/>
    <col collapsed="false" customWidth="true" hidden="false" outlineLevel="0" max="5" min="5" style="8" width="11.99"/>
    <col collapsed="false" customWidth="true" hidden="false" outlineLevel="0" max="6" min="6" style="8" width="2.84"/>
    <col collapsed="false" customWidth="true" hidden="false" outlineLevel="0" max="8" min="7" style="8" width="10.85"/>
    <col collapsed="false" customWidth="true" hidden="false" outlineLevel="0" max="9" min="9" style="8" width="2.84"/>
    <col collapsed="false" customWidth="true" hidden="false" outlineLevel="0" max="11" min="10" style="319" width="10.85"/>
    <col collapsed="false" customWidth="true" hidden="false" outlineLevel="0" max="12" min="12" style="8" width="2.84"/>
    <col collapsed="false" customWidth="true" hidden="false" outlineLevel="0" max="14" min="13" style="8" width="10.85"/>
    <col collapsed="false" customWidth="true" hidden="false" outlineLevel="0" max="15" min="15" style="8" width="2.84"/>
    <col collapsed="false" customWidth="true" hidden="false" outlineLevel="0" max="17" min="16" style="8" width="10.85"/>
    <col collapsed="false" customWidth="true" hidden="false" outlineLevel="0" max="18" min="18" style="8" width="2.84"/>
    <col collapsed="false" customWidth="true" hidden="false" outlineLevel="0" max="20" min="19" style="8" width="10.85"/>
    <col collapsed="false" customWidth="true" hidden="false" outlineLevel="0" max="21" min="21" style="8" width="2.84"/>
    <col collapsed="false" customWidth="true" hidden="false" outlineLevel="0" max="23" min="22" style="8" width="10.85"/>
    <col collapsed="false" customWidth="true" hidden="false" outlineLevel="0" max="24" min="24" style="8" width="2.84"/>
    <col collapsed="false" customWidth="true" hidden="false" outlineLevel="0" max="25" min="25" style="8" width="12.14"/>
    <col collapsed="false" customWidth="true" hidden="false" outlineLevel="0" max="26" min="26" style="8" width="10.85"/>
    <col collapsed="false" customWidth="true" hidden="false" outlineLevel="0" max="27" min="27" style="8" width="3.42"/>
    <col collapsed="false" customWidth="true" hidden="false" outlineLevel="0" max="28" min="28" style="8" width="9.28"/>
    <col collapsed="false" customWidth="false" hidden="false" outlineLevel="0" max="29" min="29" style="8" width="9.14"/>
    <col collapsed="false" customWidth="true" hidden="false" outlineLevel="0" max="30" min="30" style="8" width="3.42"/>
    <col collapsed="false" customWidth="false" hidden="false" outlineLevel="0" max="32" min="31" style="8" width="9.14"/>
    <col collapsed="false" customWidth="true" hidden="false" outlineLevel="0" max="33" min="33" style="8" width="3.42"/>
    <col collapsed="false" customWidth="true" hidden="false" outlineLevel="0" max="34" min="34" style="8" width="9.28"/>
    <col collapsed="false" customWidth="false" hidden="false" outlineLevel="0" max="35" min="35" style="8" width="9.14"/>
    <col collapsed="false" customWidth="true" hidden="false" outlineLevel="0" max="36" min="36" style="8" width="3.42"/>
    <col collapsed="false" customWidth="false" hidden="false" outlineLevel="0" max="38" min="37" style="8" width="9.14"/>
    <col collapsed="false" customWidth="true" hidden="false" outlineLevel="0" max="39" min="39" style="8" width="10.28"/>
    <col collapsed="false" customWidth="false" hidden="false" outlineLevel="0" max="40" min="40" style="8" width="9.14"/>
    <col collapsed="false" customWidth="true" hidden="false" outlineLevel="0" max="41" min="41" style="8" width="10.99"/>
    <col collapsed="false" customWidth="false" hidden="false" outlineLevel="0" max="42" min="42" style="8" width="9.14"/>
    <col collapsed="false" customWidth="true" hidden="false" outlineLevel="0" max="43" min="43" style="8" width="11.56"/>
    <col collapsed="false" customWidth="true" hidden="false" outlineLevel="0" max="44" min="44" style="8" width="11.13"/>
    <col collapsed="false" customWidth="false" hidden="false" outlineLevel="0" max="257" min="45" style="8" width="9.14"/>
  </cols>
  <sheetData>
    <row r="1" customFormat="false" ht="13.5" hidden="false" customHeight="false" outlineLevel="0" collapsed="false">
      <c r="A1" s="320" t="n">
        <v>37028</v>
      </c>
      <c r="B1" s="8" t="n">
        <v>4.22</v>
      </c>
      <c r="D1" s="321" t="s">
        <v>399</v>
      </c>
      <c r="J1" s="322"/>
      <c r="K1" s="322"/>
    </row>
    <row r="2" customFormat="false" ht="13.5" hidden="false" customHeight="false" outlineLevel="0" collapsed="false">
      <c r="A2" s="323" t="s">
        <v>400</v>
      </c>
      <c r="B2" s="324" t="s">
        <v>401</v>
      </c>
      <c r="C2" s="323"/>
      <c r="D2" s="325" t="n">
        <v>4.165</v>
      </c>
      <c r="E2" s="326" t="s">
        <v>402</v>
      </c>
      <c r="F2" s="323"/>
      <c r="G2" s="323" t="s">
        <v>9</v>
      </c>
      <c r="H2" s="323"/>
      <c r="I2" s="323"/>
      <c r="J2" s="327" t="s">
        <v>9</v>
      </c>
      <c r="K2" s="328"/>
      <c r="L2" s="323"/>
      <c r="M2" s="323"/>
      <c r="N2" s="326" t="s">
        <v>402</v>
      </c>
      <c r="O2" s="323"/>
      <c r="P2" s="323"/>
      <c r="Q2" s="329"/>
      <c r="R2" s="323"/>
      <c r="S2" s="323"/>
      <c r="T2" s="329"/>
      <c r="U2" s="323"/>
      <c r="V2" s="323"/>
      <c r="W2" s="329"/>
      <c r="X2" s="323" t="s">
        <v>9</v>
      </c>
      <c r="Y2" s="323" t="s">
        <v>9</v>
      </c>
      <c r="Z2" s="323" t="s">
        <v>9</v>
      </c>
      <c r="AC2" s="8" t="s">
        <v>403</v>
      </c>
      <c r="AF2" s="8" t="n">
        <v>4.4775</v>
      </c>
      <c r="AH2" s="330" t="s">
        <v>404</v>
      </c>
    </row>
    <row r="3" customFormat="false" ht="12.75" hidden="false" customHeight="false" outlineLevel="0" collapsed="false">
      <c r="A3" s="331" t="s">
        <v>405</v>
      </c>
      <c r="B3" s="332" t="n">
        <v>4.16</v>
      </c>
      <c r="C3" s="323"/>
      <c r="D3" s="331" t="s">
        <v>405</v>
      </c>
      <c r="E3" s="333" t="n">
        <f aca="false">+B3</f>
        <v>4.16</v>
      </c>
      <c r="F3" s="323"/>
      <c r="G3" s="334" t="s">
        <v>406</v>
      </c>
      <c r="H3" s="2" t="n">
        <v>4.015</v>
      </c>
      <c r="I3" s="323"/>
      <c r="J3" s="335" t="s">
        <v>280</v>
      </c>
      <c r="K3" s="336" t="n">
        <v>4.12</v>
      </c>
      <c r="L3" s="323"/>
      <c r="M3" s="331" t="s">
        <v>280</v>
      </c>
      <c r="N3" s="333" t="n">
        <f aca="false">+K3</f>
        <v>4.12</v>
      </c>
      <c r="O3" s="323"/>
      <c r="P3" s="331" t="s">
        <v>407</v>
      </c>
      <c r="Q3" s="337" t="n">
        <v>4.12</v>
      </c>
      <c r="R3" s="323" t="s">
        <v>9</v>
      </c>
      <c r="S3" s="331" t="s">
        <v>408</v>
      </c>
      <c r="T3" s="337" t="n">
        <v>4.145</v>
      </c>
      <c r="U3" s="323" t="s">
        <v>9</v>
      </c>
      <c r="V3" s="331" t="s">
        <v>56</v>
      </c>
      <c r="W3" s="337" t="n">
        <v>4.39</v>
      </c>
      <c r="X3" s="323"/>
      <c r="Y3" s="338" t="s">
        <v>409</v>
      </c>
      <c r="Z3" s="337" t="n">
        <v>4.4</v>
      </c>
      <c r="AB3" s="331" t="s">
        <v>357</v>
      </c>
      <c r="AC3" s="339" t="n">
        <v>6.5</v>
      </c>
      <c r="AE3" s="194" t="s">
        <v>410</v>
      </c>
      <c r="AF3" s="337" t="n">
        <v>4.145</v>
      </c>
      <c r="AH3" s="331" t="s">
        <v>411</v>
      </c>
      <c r="AI3" s="337" t="n">
        <v>4.3</v>
      </c>
      <c r="AK3" s="331" t="s">
        <v>370</v>
      </c>
      <c r="AL3" s="337" t="n">
        <f aca="false">4.32+0.2</f>
        <v>4.52</v>
      </c>
      <c r="AM3" s="194" t="s">
        <v>412</v>
      </c>
      <c r="AN3" s="340" t="n">
        <v>4.345</v>
      </c>
      <c r="AO3" s="194" t="s">
        <v>413</v>
      </c>
      <c r="AP3" s="340" t="n">
        <v>4.135</v>
      </c>
    </row>
    <row r="4" customFormat="false" ht="12.75" hidden="false" customHeight="false" outlineLevel="0" collapsed="false">
      <c r="A4" s="331" t="s">
        <v>414</v>
      </c>
      <c r="B4" s="341" t="n">
        <f aca="false">+B1+0.035</f>
        <v>4.255</v>
      </c>
      <c r="C4" s="201"/>
      <c r="D4" s="331" t="s">
        <v>414</v>
      </c>
      <c r="E4" s="333" t="n">
        <f aca="false">+B4</f>
        <v>4.255</v>
      </c>
      <c r="F4" s="201"/>
      <c r="G4" s="334" t="s">
        <v>415</v>
      </c>
      <c r="H4" s="341" t="n">
        <v>4.07</v>
      </c>
      <c r="I4" s="323"/>
      <c r="J4" s="335" t="s">
        <v>416</v>
      </c>
      <c r="K4" s="336" t="n">
        <v>4.1</v>
      </c>
      <c r="L4" s="323"/>
      <c r="M4" s="331" t="s">
        <v>416</v>
      </c>
      <c r="N4" s="333" t="n">
        <f aca="false">+K4</f>
        <v>4.1</v>
      </c>
      <c r="O4" s="323"/>
      <c r="P4" s="331"/>
      <c r="Q4" s="337"/>
      <c r="R4" s="323"/>
      <c r="S4" s="331" t="s">
        <v>417</v>
      </c>
      <c r="T4" s="337" t="n">
        <f aca="false">+T3+T37</f>
        <v>4.21289343121557</v>
      </c>
      <c r="U4" s="323"/>
      <c r="V4" s="331"/>
      <c r="W4" s="337" t="n">
        <f aca="false">+W17+W3</f>
        <v>4.53794600510162</v>
      </c>
      <c r="X4" s="323"/>
      <c r="Y4" s="323"/>
      <c r="Z4" s="323"/>
      <c r="AB4" s="194" t="s">
        <v>418</v>
      </c>
      <c r="AE4" s="194" t="s">
        <v>419</v>
      </c>
      <c r="AL4" s="342"/>
    </row>
    <row r="5" customFormat="false" ht="12.75" hidden="false" customHeight="false" outlineLevel="0" collapsed="false">
      <c r="A5" s="331" t="s">
        <v>420</v>
      </c>
      <c r="B5" s="343" t="n">
        <f aca="false">+B1-0.01</f>
        <v>4.21</v>
      </c>
      <c r="C5" s="206"/>
      <c r="D5" s="331" t="s">
        <v>420</v>
      </c>
      <c r="E5" s="333" t="n">
        <f aca="false">+B5</f>
        <v>4.21</v>
      </c>
      <c r="F5" s="206"/>
      <c r="G5" s="334" t="s">
        <v>226</v>
      </c>
      <c r="H5" s="343" t="n">
        <v>4.41</v>
      </c>
      <c r="I5" s="323"/>
      <c r="J5" s="335" t="s">
        <v>281</v>
      </c>
      <c r="K5" s="336" t="n">
        <v>4.02</v>
      </c>
      <c r="L5" s="323"/>
      <c r="M5" s="331" t="s">
        <v>281</v>
      </c>
      <c r="N5" s="333" t="n">
        <f aca="false">+K5</f>
        <v>4.02</v>
      </c>
      <c r="O5" s="323"/>
      <c r="P5" s="331"/>
      <c r="Q5" s="329"/>
      <c r="R5" s="323"/>
      <c r="S5" s="331" t="s">
        <v>421</v>
      </c>
      <c r="T5" s="329" t="n">
        <f aca="false">+T4+T27</f>
        <v>4.35800556882281</v>
      </c>
      <c r="U5" s="323"/>
      <c r="V5" s="331"/>
      <c r="W5" s="329"/>
      <c r="X5" s="323"/>
      <c r="Y5" s="323"/>
      <c r="Z5" s="344"/>
      <c r="AF5" s="342" t="n">
        <f aca="false">+AF2-AF3-AF23</f>
        <v>0.174865539983513</v>
      </c>
      <c r="AL5" s="342"/>
    </row>
    <row r="6" customFormat="false" ht="12.75" hidden="false" customHeight="false" outlineLevel="0" collapsed="false">
      <c r="A6" s="334" t="s">
        <v>422</v>
      </c>
      <c r="B6" s="343" t="n">
        <f aca="false">+B1-0.04</f>
        <v>4.18</v>
      </c>
      <c r="C6" s="206"/>
      <c r="D6" s="334" t="s">
        <v>422</v>
      </c>
      <c r="E6" s="333" t="n">
        <f aca="false">+B6</f>
        <v>4.18</v>
      </c>
      <c r="F6" s="206"/>
      <c r="G6" s="150"/>
      <c r="H6" s="150"/>
      <c r="I6" s="282"/>
      <c r="J6" s="345" t="s">
        <v>423</v>
      </c>
      <c r="K6" s="346" t="n">
        <v>4.245</v>
      </c>
      <c r="L6" s="282"/>
      <c r="M6" s="334" t="s">
        <v>423</v>
      </c>
      <c r="N6" s="333" t="n">
        <f aca="false">+K6</f>
        <v>4.245</v>
      </c>
      <c r="O6" s="282"/>
      <c r="P6" s="334"/>
      <c r="Q6" s="347"/>
      <c r="R6" s="282"/>
      <c r="S6" s="334" t="s">
        <v>424</v>
      </c>
      <c r="T6" s="347" t="n">
        <f aca="false">+T5-T3</f>
        <v>0.213005568822811</v>
      </c>
      <c r="U6" s="282"/>
      <c r="V6" s="334"/>
      <c r="W6" s="347"/>
      <c r="X6" s="282"/>
      <c r="Y6" s="282"/>
      <c r="Z6" s="347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</row>
    <row r="7" customFormat="false" ht="12.75" hidden="false" customHeight="false" outlineLevel="0" collapsed="false">
      <c r="A7" s="348" t="s">
        <v>425</v>
      </c>
      <c r="B7" s="343" t="n">
        <f aca="false">+AL3+AL17</f>
        <v>4.61574489795918</v>
      </c>
      <c r="C7" s="206"/>
      <c r="D7" s="348" t="s">
        <v>425</v>
      </c>
      <c r="E7" s="333" t="n">
        <f aca="false">+B7</f>
        <v>4.61574489795918</v>
      </c>
      <c r="F7" s="206"/>
      <c r="G7" s="206"/>
      <c r="H7" s="206"/>
      <c r="I7" s="349"/>
      <c r="J7" s="350" t="s">
        <v>357</v>
      </c>
      <c r="K7" s="351" t="n">
        <v>4.53</v>
      </c>
      <c r="L7" s="349"/>
      <c r="M7" s="348" t="s">
        <v>357</v>
      </c>
      <c r="N7" s="333" t="n">
        <f aca="false">+K7</f>
        <v>4.53</v>
      </c>
      <c r="O7" s="349"/>
      <c r="P7" s="348"/>
      <c r="Q7" s="352"/>
      <c r="R7" s="349"/>
      <c r="S7" s="348"/>
      <c r="T7" s="352"/>
      <c r="U7" s="349"/>
      <c r="V7" s="348"/>
      <c r="W7" s="352"/>
      <c r="X7" s="349"/>
      <c r="Y7" s="349"/>
      <c r="Z7" s="352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  <c r="IT7" s="141"/>
      <c r="IU7" s="141"/>
      <c r="IV7" s="141"/>
      <c r="IW7" s="141"/>
    </row>
    <row r="8" customFormat="false" ht="12.75" hidden="false" customHeight="false" outlineLevel="0" collapsed="false">
      <c r="A8" s="353" t="s">
        <v>426</v>
      </c>
      <c r="B8" s="206"/>
      <c r="C8" s="206"/>
      <c r="D8" s="206" t="s">
        <v>427</v>
      </c>
      <c r="E8" s="206"/>
      <c r="F8" s="206"/>
      <c r="G8" s="354" t="s">
        <v>428</v>
      </c>
      <c r="H8" s="206"/>
      <c r="I8" s="353"/>
      <c r="J8" s="355" t="s">
        <v>429</v>
      </c>
      <c r="K8" s="356"/>
      <c r="L8" s="323"/>
      <c r="M8" s="355" t="s">
        <v>429</v>
      </c>
      <c r="N8" s="357"/>
      <c r="O8" s="323"/>
      <c r="P8" s="331"/>
      <c r="Q8" s="329"/>
      <c r="R8" s="323"/>
      <c r="S8" s="353" t="s">
        <v>430</v>
      </c>
      <c r="T8" s="329"/>
      <c r="U8" s="323"/>
      <c r="V8" s="331" t="s">
        <v>431</v>
      </c>
      <c r="W8" s="329"/>
      <c r="X8" s="323"/>
      <c r="Y8" s="331" t="s">
        <v>432</v>
      </c>
      <c r="Z8" s="323"/>
      <c r="AB8" s="8" t="s">
        <v>433</v>
      </c>
      <c r="AE8" s="8" t="s">
        <v>433</v>
      </c>
      <c r="AH8" s="8" t="s">
        <v>434</v>
      </c>
      <c r="AK8" s="8" t="s">
        <v>435</v>
      </c>
    </row>
    <row r="9" customFormat="false" ht="12.75" hidden="false" customHeight="false" outlineLevel="0" collapsed="false">
      <c r="A9" s="353" t="s">
        <v>436</v>
      </c>
      <c r="B9" s="206"/>
      <c r="C9" s="206"/>
      <c r="D9" s="206"/>
      <c r="E9" s="206"/>
      <c r="F9" s="206"/>
      <c r="G9" s="206" t="s">
        <v>437</v>
      </c>
      <c r="H9" s="206"/>
      <c r="I9" s="235"/>
      <c r="J9" s="125" t="s">
        <v>438</v>
      </c>
      <c r="K9" s="356"/>
      <c r="L9" s="323"/>
      <c r="M9" s="23" t="s">
        <v>439</v>
      </c>
      <c r="N9" s="357"/>
      <c r="O9" s="323"/>
      <c r="P9" s="353" t="s">
        <v>440</v>
      </c>
      <c r="Q9" s="347"/>
      <c r="R9" s="282"/>
      <c r="S9" s="334" t="s">
        <v>441</v>
      </c>
      <c r="T9" s="347"/>
      <c r="U9" s="282"/>
      <c r="V9" s="334" t="s">
        <v>442</v>
      </c>
      <c r="W9" s="347"/>
      <c r="X9" s="323"/>
      <c r="Y9" s="331" t="s">
        <v>344</v>
      </c>
      <c r="Z9" s="323"/>
      <c r="AE9" s="8" t="s">
        <v>443</v>
      </c>
      <c r="AH9" s="8" t="s">
        <v>444</v>
      </c>
      <c r="AK9" s="8" t="s">
        <v>445</v>
      </c>
    </row>
    <row r="10" customFormat="false" ht="12.75" hidden="false" customHeight="false" outlineLevel="0" collapsed="false">
      <c r="A10" s="353" t="s">
        <v>446</v>
      </c>
      <c r="B10" s="206"/>
      <c r="C10" s="206"/>
      <c r="D10" s="206" t="s">
        <v>446</v>
      </c>
      <c r="E10" s="206"/>
      <c r="F10" s="206"/>
      <c r="G10" s="206" t="s">
        <v>447</v>
      </c>
      <c r="H10" s="206"/>
      <c r="I10" s="235"/>
      <c r="J10" s="358" t="s">
        <v>448</v>
      </c>
      <c r="K10" s="356"/>
      <c r="L10" s="323"/>
      <c r="M10" s="353" t="s">
        <v>448</v>
      </c>
      <c r="N10" s="357"/>
      <c r="O10" s="323"/>
      <c r="P10" s="353" t="s">
        <v>449</v>
      </c>
      <c r="Q10" s="347"/>
      <c r="R10" s="282"/>
      <c r="S10" s="334" t="s">
        <v>450</v>
      </c>
      <c r="T10" s="347"/>
      <c r="U10" s="282"/>
      <c r="V10" s="334" t="s">
        <v>451</v>
      </c>
      <c r="W10" s="347"/>
      <c r="X10" s="323"/>
      <c r="Y10" s="331" t="s">
        <v>452</v>
      </c>
      <c r="Z10" s="331"/>
      <c r="AB10" s="8" t="s">
        <v>453</v>
      </c>
      <c r="AE10" s="8" t="s">
        <v>454</v>
      </c>
      <c r="AH10" s="8" t="s">
        <v>455</v>
      </c>
      <c r="AK10" s="8" t="s">
        <v>456</v>
      </c>
    </row>
    <row r="11" customFormat="false" ht="12.75" hidden="false" customHeight="false" outlineLevel="0" collapsed="false">
      <c r="A11" s="334"/>
      <c r="B11" s="23"/>
      <c r="C11" s="23"/>
      <c r="D11" s="23"/>
      <c r="E11" s="23"/>
      <c r="F11" s="23"/>
      <c r="G11" s="23" t="s">
        <v>457</v>
      </c>
      <c r="H11" s="206"/>
      <c r="I11" s="235"/>
      <c r="J11" s="353" t="s">
        <v>458</v>
      </c>
      <c r="K11" s="356"/>
      <c r="L11" s="323"/>
      <c r="M11" s="353" t="s">
        <v>458</v>
      </c>
      <c r="N11" s="357"/>
      <c r="O11" s="323"/>
      <c r="P11" s="353" t="s">
        <v>459</v>
      </c>
      <c r="Q11" s="347"/>
      <c r="R11" s="282"/>
      <c r="S11" s="359" t="s">
        <v>460</v>
      </c>
      <c r="T11" s="360"/>
      <c r="U11" s="282"/>
      <c r="V11" s="334" t="s">
        <v>461</v>
      </c>
      <c r="W11" s="347"/>
      <c r="X11" s="323"/>
      <c r="Y11" s="331"/>
      <c r="Z11" s="331"/>
      <c r="AB11" s="8" t="s">
        <v>462</v>
      </c>
      <c r="AE11" s="8" t="s">
        <v>463</v>
      </c>
      <c r="AK11" s="8" t="s">
        <v>464</v>
      </c>
    </row>
    <row r="12" customFormat="false" ht="12.75" hidden="false" customHeight="false" outlineLevel="0" collapsed="false">
      <c r="A12" s="355"/>
      <c r="B12" s="361"/>
      <c r="C12" s="323"/>
      <c r="D12" s="331"/>
      <c r="E12" s="362"/>
      <c r="F12" s="363"/>
      <c r="G12" s="364"/>
      <c r="H12" s="365"/>
      <c r="I12" s="323"/>
      <c r="J12" s="366" t="s">
        <v>465</v>
      </c>
      <c r="K12" s="367"/>
      <c r="L12" s="323"/>
      <c r="M12" s="331" t="s">
        <v>19</v>
      </c>
      <c r="N12" s="337"/>
      <c r="O12" s="323"/>
      <c r="P12" s="334" t="s">
        <v>466</v>
      </c>
      <c r="Q12" s="329"/>
      <c r="R12" s="323"/>
      <c r="S12" s="331"/>
      <c r="T12" s="329"/>
      <c r="U12" s="323"/>
      <c r="V12" s="359" t="s">
        <v>460</v>
      </c>
      <c r="W12" s="360"/>
      <c r="X12" s="323"/>
      <c r="Y12" s="331"/>
      <c r="Z12" s="331"/>
      <c r="AE12" s="8" t="s">
        <v>467</v>
      </c>
      <c r="AK12" s="368" t="n">
        <v>36526</v>
      </c>
      <c r="AN12" s="8" t="s">
        <v>468</v>
      </c>
      <c r="AO12" s="2" t="n">
        <v>2.025</v>
      </c>
    </row>
    <row r="13" customFormat="false" ht="12.75" hidden="false" customHeight="false" outlineLevel="0" collapsed="false">
      <c r="A13" s="369" t="s">
        <v>2</v>
      </c>
      <c r="B13" s="7" t="s">
        <v>469</v>
      </c>
      <c r="C13" s="370"/>
      <c r="D13" s="8" t="s">
        <v>2</v>
      </c>
      <c r="E13" s="8" t="s">
        <v>470</v>
      </c>
      <c r="F13" s="371"/>
      <c r="G13" s="369" t="s">
        <v>471</v>
      </c>
      <c r="H13" s="372" t="s">
        <v>472</v>
      </c>
      <c r="I13" s="363"/>
      <c r="J13" s="373" t="s">
        <v>473</v>
      </c>
      <c r="K13" s="7" t="s">
        <v>474</v>
      </c>
      <c r="L13" s="363"/>
      <c r="M13" s="374" t="s">
        <v>475</v>
      </c>
      <c r="N13" s="375" t="s">
        <v>474</v>
      </c>
      <c r="O13" s="363"/>
      <c r="P13" s="376" t="s">
        <v>236</v>
      </c>
      <c r="Q13" s="377" t="s">
        <v>476</v>
      </c>
      <c r="R13" s="370"/>
      <c r="S13" s="376" t="s">
        <v>477</v>
      </c>
      <c r="T13" s="377" t="s">
        <v>478</v>
      </c>
      <c r="U13" s="370"/>
      <c r="V13" s="376" t="s">
        <v>182</v>
      </c>
      <c r="W13" s="377" t="s">
        <v>479</v>
      </c>
      <c r="X13" s="370"/>
      <c r="Y13" s="376" t="s">
        <v>58</v>
      </c>
      <c r="Z13" s="377" t="s">
        <v>480</v>
      </c>
      <c r="AB13" s="376" t="s">
        <v>481</v>
      </c>
      <c r="AC13" s="377" t="s">
        <v>375</v>
      </c>
      <c r="AE13" s="8" t="s">
        <v>482</v>
      </c>
      <c r="AF13" s="8" t="s">
        <v>483</v>
      </c>
      <c r="AH13" s="376" t="s">
        <v>404</v>
      </c>
      <c r="AI13" s="377" t="s">
        <v>484</v>
      </c>
      <c r="AK13" s="376" t="s">
        <v>485</v>
      </c>
      <c r="AL13" s="377" t="s">
        <v>486</v>
      </c>
      <c r="AN13" s="194" t="s">
        <v>487</v>
      </c>
      <c r="AO13" s="2"/>
      <c r="AQ13" s="8" t="s">
        <v>488</v>
      </c>
    </row>
    <row r="14" customFormat="false" ht="12.75" hidden="false" customHeight="false" outlineLevel="0" collapsed="false">
      <c r="A14" s="5" t="s">
        <v>6</v>
      </c>
      <c r="B14" s="10" t="n">
        <v>0.0029</v>
      </c>
      <c r="C14" s="371"/>
      <c r="D14" s="11" t="s">
        <v>489</v>
      </c>
      <c r="E14" s="12" t="n">
        <v>0.0642</v>
      </c>
      <c r="F14" s="371"/>
      <c r="G14" s="5" t="s">
        <v>6</v>
      </c>
      <c r="H14" s="10" t="n">
        <v>0.0439</v>
      </c>
      <c r="I14" s="371"/>
      <c r="J14" s="378" t="s">
        <v>6</v>
      </c>
      <c r="K14" s="10" t="n">
        <v>0.0088</v>
      </c>
      <c r="L14" s="371"/>
      <c r="M14" s="379" t="s">
        <v>6</v>
      </c>
      <c r="N14" s="14" t="n">
        <v>0.1895</v>
      </c>
      <c r="O14" s="371"/>
      <c r="P14" s="11" t="s">
        <v>6</v>
      </c>
      <c r="Q14" s="14" t="n">
        <v>0.006</v>
      </c>
      <c r="R14" s="371"/>
      <c r="S14" s="11" t="s">
        <v>6</v>
      </c>
      <c r="T14" s="380" t="n">
        <v>0.0002</v>
      </c>
      <c r="U14" s="371"/>
      <c r="V14" s="11" t="s">
        <v>6</v>
      </c>
      <c r="W14" s="380" t="n">
        <v>0.0134</v>
      </c>
      <c r="X14" s="371"/>
      <c r="Y14" s="11" t="s">
        <v>6</v>
      </c>
      <c r="Z14" s="380" t="n">
        <v>0.0951</v>
      </c>
      <c r="AB14" s="11" t="s">
        <v>6</v>
      </c>
      <c r="AC14" s="14" t="n">
        <v>0.0112</v>
      </c>
      <c r="AE14" s="11" t="s">
        <v>6</v>
      </c>
      <c r="AF14" s="14" t="n">
        <f aca="false">0.004</f>
        <v>0.004</v>
      </c>
      <c r="AH14" s="11" t="s">
        <v>6</v>
      </c>
      <c r="AI14" s="14" t="n">
        <v>0.003</v>
      </c>
      <c r="AK14" s="11" t="s">
        <v>6</v>
      </c>
      <c r="AL14" s="14" t="n">
        <f aca="false">+AL20+AL26+AL32</f>
        <v>0.0013</v>
      </c>
      <c r="AN14" s="8" t="s">
        <v>489</v>
      </c>
      <c r="AO14" s="2" t="n">
        <v>0.01</v>
      </c>
      <c r="AQ14" s="8" t="s">
        <v>490</v>
      </c>
      <c r="AR14" s="8" t="n">
        <v>0.0312</v>
      </c>
    </row>
    <row r="15" customFormat="false" ht="12.75" hidden="false" customHeight="false" outlineLevel="0" collapsed="false">
      <c r="A15" s="5" t="s">
        <v>7</v>
      </c>
      <c r="B15" s="10" t="n">
        <f aca="false">0.0022+0.007+0.0097</f>
        <v>0.0189</v>
      </c>
      <c r="C15" s="371"/>
      <c r="D15" s="11" t="s">
        <v>7</v>
      </c>
      <c r="E15" s="12" t="n">
        <f aca="false">0.007+0.0022+0.0097</f>
        <v>0.0189</v>
      </c>
      <c r="F15" s="381"/>
      <c r="G15" s="5" t="s">
        <v>7</v>
      </c>
      <c r="H15" s="10" t="n">
        <f aca="false">0.0022+0.007+0.0225</f>
        <v>0.0317</v>
      </c>
      <c r="I15" s="371"/>
      <c r="J15" s="378" t="s">
        <v>7</v>
      </c>
      <c r="K15" s="10" t="n">
        <f aca="false">0.0022+0.007</f>
        <v>0.0092</v>
      </c>
      <c r="L15" s="371"/>
      <c r="M15" s="379" t="s">
        <v>7</v>
      </c>
      <c r="N15" s="14" t="n">
        <f aca="false">0.0022+0.007</f>
        <v>0.0092</v>
      </c>
      <c r="O15" s="371"/>
      <c r="P15" s="11" t="s">
        <v>7</v>
      </c>
      <c r="Q15" s="14" t="n">
        <f aca="false">0.0022+0.007</f>
        <v>0.0092</v>
      </c>
      <c r="R15" s="371"/>
      <c r="S15" s="11" t="s">
        <v>7</v>
      </c>
      <c r="T15" s="380" t="n">
        <v>0.0022</v>
      </c>
      <c r="U15" s="371"/>
      <c r="V15" s="11" t="s">
        <v>7</v>
      </c>
      <c r="W15" s="380" t="n">
        <f aca="false">0.0022+0.007</f>
        <v>0.0092</v>
      </c>
      <c r="X15" s="371"/>
      <c r="Y15" s="11" t="s">
        <v>7</v>
      </c>
      <c r="Z15" s="14" t="n">
        <v>0.0022</v>
      </c>
      <c r="AB15" s="11" t="s">
        <v>7</v>
      </c>
      <c r="AC15" s="14" t="n">
        <f aca="false">0.0022+0.007</f>
        <v>0.0092</v>
      </c>
      <c r="AE15" s="11" t="s">
        <v>7</v>
      </c>
      <c r="AF15" s="14" t="n">
        <f aca="false">0.0022+0.007</f>
        <v>0.0092</v>
      </c>
      <c r="AH15" s="11" t="s">
        <v>7</v>
      </c>
      <c r="AI15" s="14" t="n">
        <f aca="false">0.0022+0.0007-0.0002</f>
        <v>0.0027</v>
      </c>
      <c r="AK15" s="11" t="s">
        <v>7</v>
      </c>
      <c r="AL15" s="14" t="n">
        <f aca="false">0.0022</f>
        <v>0.0022</v>
      </c>
      <c r="AN15" s="8" t="s">
        <v>491</v>
      </c>
      <c r="AO15" s="2" t="n">
        <v>0.0022</v>
      </c>
      <c r="AQ15" s="8" t="s">
        <v>7</v>
      </c>
      <c r="AR15" s="8" t="n">
        <f aca="false">0.0348-0.0312</f>
        <v>0.0036</v>
      </c>
    </row>
    <row r="16" customFormat="false" ht="12.75" hidden="false" customHeight="false" outlineLevel="0" collapsed="false">
      <c r="A16" s="15" t="n">
        <v>0.0035</v>
      </c>
      <c r="B16" s="382" t="n">
        <f aca="false">B6/(1-A16)-B6</f>
        <v>0.0146813848469645</v>
      </c>
      <c r="C16" s="381"/>
      <c r="D16" s="17" t="n">
        <v>0.0035</v>
      </c>
      <c r="E16" s="16" t="n">
        <f aca="false">(E6)/(1-D16)-E6</f>
        <v>0.0146813848469645</v>
      </c>
      <c r="F16" s="383"/>
      <c r="G16" s="15" t="n">
        <v>0.0084</v>
      </c>
      <c r="H16" s="384" t="n">
        <f aca="false">(H$3)/(1-G16)-H$3</f>
        <v>0.0340116982654291</v>
      </c>
      <c r="I16" s="381"/>
      <c r="J16" s="17" t="n">
        <v>0.0294</v>
      </c>
      <c r="K16" s="382" t="n">
        <f aca="false">(K$5)/(1-J16)-K$5</f>
        <v>0.121767978569957</v>
      </c>
      <c r="L16" s="381"/>
      <c r="M16" s="17" t="n">
        <v>0.0294</v>
      </c>
      <c r="N16" s="16" t="n">
        <f aca="false">(N$5)/(1-M16)-N$5</f>
        <v>0.121767978569957</v>
      </c>
      <c r="O16" s="381"/>
      <c r="P16" s="11" t="s">
        <v>492</v>
      </c>
      <c r="Q16" s="16" t="n">
        <f aca="false">+Q$3/(1-0.015)-Q$3</f>
        <v>0.062741116751269</v>
      </c>
      <c r="R16" s="381"/>
      <c r="S16" s="11" t="s">
        <v>493</v>
      </c>
      <c r="T16" s="16" t="n">
        <f aca="false">(+T3-0.108)/(1-0.00552)-(T3-0.108)</f>
        <v>0.0224079317834445</v>
      </c>
      <c r="U16" s="381"/>
      <c r="V16" s="17" t="n">
        <v>0.02776</v>
      </c>
      <c r="W16" s="16" t="n">
        <f aca="false">+W$3/(1-V16)-W$3</f>
        <v>0.125346005101621</v>
      </c>
      <c r="X16" s="381"/>
      <c r="Y16" s="17" t="n">
        <v>0.0228</v>
      </c>
      <c r="Z16" s="16" t="n">
        <f aca="false">+Z$3/(1-Y16)-Z$3</f>
        <v>0.102660663119116</v>
      </c>
      <c r="AB16" s="17" t="n">
        <v>0.003</v>
      </c>
      <c r="AC16" s="16" t="n">
        <f aca="false">+AC3/(1-AB16)-AC3</f>
        <v>0.0195586760280841</v>
      </c>
      <c r="AE16" s="17" t="n">
        <v>0.0019</v>
      </c>
      <c r="AF16" s="16" t="n">
        <f aca="false">+AF$3/(1-AE16)-AF$3</f>
        <v>0.00789049193467584</v>
      </c>
      <c r="AH16" s="17" t="n">
        <v>0.004</v>
      </c>
      <c r="AI16" s="16" t="n">
        <f aca="false">+AI3/(1-AH16)-AI3</f>
        <v>0.0172690763052206</v>
      </c>
      <c r="AK16" s="11" t="s">
        <v>494</v>
      </c>
      <c r="AL16" s="16" t="n">
        <f aca="false">+AL3/(1-0.02)-AL3</f>
        <v>0.0922448979591835</v>
      </c>
      <c r="AN16" s="8" t="s">
        <v>495</v>
      </c>
      <c r="AO16" s="2" t="n">
        <v>0</v>
      </c>
      <c r="AQ16" s="8" t="s">
        <v>496</v>
      </c>
      <c r="AR16" s="16" t="n">
        <f aca="false">+AN3/(1-0.024)-AN3</f>
        <v>0.106844262295082</v>
      </c>
    </row>
    <row r="17" customFormat="false" ht="12.75" hidden="false" customHeight="false" outlineLevel="0" collapsed="false">
      <c r="A17" s="13"/>
      <c r="B17" s="6" t="n">
        <f aca="false">SUM(B14:B16)</f>
        <v>0.0364813848469645</v>
      </c>
      <c r="C17" s="383"/>
      <c r="D17" s="11"/>
      <c r="E17" s="20" t="n">
        <f aca="false">SUM(E14:E16)</f>
        <v>0.0977813848469645</v>
      </c>
      <c r="F17" s="363"/>
      <c r="G17" s="13"/>
      <c r="H17" s="6" t="n">
        <f aca="false">SUM(H14:H16)</f>
        <v>0.109611698265429</v>
      </c>
      <c r="I17" s="383"/>
      <c r="J17" s="378"/>
      <c r="K17" s="6" t="n">
        <f aca="false">SUM(K14:K16)</f>
        <v>0.139767978569957</v>
      </c>
      <c r="L17" s="383"/>
      <c r="M17" s="17"/>
      <c r="N17" s="16" t="n">
        <f aca="false">SUM(N14:N16)</f>
        <v>0.320467978569957</v>
      </c>
      <c r="O17" s="383"/>
      <c r="P17" s="385"/>
      <c r="Q17" s="20" t="n">
        <f aca="false">SUM(Q14:Q16)</f>
        <v>0.077941116751269</v>
      </c>
      <c r="R17" s="383"/>
      <c r="S17" s="385"/>
      <c r="T17" s="20" t="n">
        <f aca="false">SUM(T14:T16)</f>
        <v>0.0248079317834445</v>
      </c>
      <c r="U17" s="383"/>
      <c r="V17" s="385"/>
      <c r="W17" s="20" t="n">
        <f aca="false">SUM(W14:W16)</f>
        <v>0.147946005101621</v>
      </c>
      <c r="X17" s="383" t="n">
        <v>0</v>
      </c>
      <c r="Y17" s="385"/>
      <c r="Z17" s="20" t="n">
        <f aca="false">SUM(Z14:Z16)</f>
        <v>0.199960663119116</v>
      </c>
      <c r="AB17" s="385"/>
      <c r="AC17" s="20" t="n">
        <f aca="false">SUM(AC14:AC16)</f>
        <v>0.0399586760280841</v>
      </c>
      <c r="AE17" s="385"/>
      <c r="AF17" s="20" t="n">
        <f aca="false">SUM(AF14:AF16)</f>
        <v>0.0210904919346758</v>
      </c>
      <c r="AH17" s="385"/>
      <c r="AI17" s="20" t="n">
        <f aca="false">SUM(AI14:AI16)</f>
        <v>0.0229690763052206</v>
      </c>
      <c r="AK17" s="385"/>
      <c r="AL17" s="20" t="n">
        <f aca="false">SUM(AL14:AL16)</f>
        <v>0.0957448979591835</v>
      </c>
      <c r="AN17" s="8" t="s">
        <v>497</v>
      </c>
      <c r="AO17" s="8" t="n">
        <v>0.016</v>
      </c>
      <c r="AR17" s="386" t="n">
        <f aca="false">SUM(AR14:AR16)</f>
        <v>0.141644262295082</v>
      </c>
    </row>
    <row r="18" customFormat="false" ht="12.75" hidden="false" customHeight="false" outlineLevel="0" collapsed="false">
      <c r="A18" s="387" t="s">
        <v>2</v>
      </c>
      <c r="B18" s="7" t="s">
        <v>498</v>
      </c>
      <c r="C18" s="370"/>
      <c r="D18" s="8" t="s">
        <v>2</v>
      </c>
      <c r="E18" s="8" t="s">
        <v>499</v>
      </c>
      <c r="F18" s="371"/>
      <c r="G18" s="387" t="s">
        <v>471</v>
      </c>
      <c r="H18" s="388" t="s">
        <v>500</v>
      </c>
      <c r="I18" s="363"/>
      <c r="J18" s="373" t="s">
        <v>473</v>
      </c>
      <c r="K18" s="7" t="s">
        <v>501</v>
      </c>
      <c r="L18" s="363"/>
      <c r="M18" s="374" t="s">
        <v>475</v>
      </c>
      <c r="N18" s="375" t="s">
        <v>501</v>
      </c>
      <c r="O18" s="363"/>
      <c r="P18" s="389" t="s">
        <v>236</v>
      </c>
      <c r="Q18" s="390" t="s">
        <v>502</v>
      </c>
      <c r="R18" s="370"/>
      <c r="S18" s="389" t="s">
        <v>477</v>
      </c>
      <c r="T18" s="390" t="s">
        <v>503</v>
      </c>
      <c r="U18" s="370"/>
      <c r="V18" s="389" t="s">
        <v>182</v>
      </c>
      <c r="W18" s="390" t="s">
        <v>504</v>
      </c>
      <c r="X18" s="370"/>
      <c r="Y18" s="376" t="s">
        <v>58</v>
      </c>
      <c r="Z18" s="377" t="s">
        <v>505</v>
      </c>
      <c r="AN18" s="8" t="s">
        <v>506</v>
      </c>
      <c r="AO18" s="2" t="n">
        <f aca="false">+AO12/(1-AO17)-AO12</f>
        <v>0.0329268292682925</v>
      </c>
    </row>
    <row r="19" customFormat="false" ht="12.75" hidden="false" customHeight="false" outlineLevel="0" collapsed="false">
      <c r="A19" s="5" t="s">
        <v>6</v>
      </c>
      <c r="B19" s="10" t="n">
        <v>0.006</v>
      </c>
      <c r="C19" s="371"/>
      <c r="D19" s="11" t="s">
        <v>6</v>
      </c>
      <c r="E19" s="12" t="n">
        <v>0.0881</v>
      </c>
      <c r="F19" s="371"/>
      <c r="G19" s="5" t="s">
        <v>6</v>
      </c>
      <c r="H19" s="10" t="n">
        <v>0.0669</v>
      </c>
      <c r="I19" s="371"/>
      <c r="J19" s="378" t="s">
        <v>6</v>
      </c>
      <c r="K19" s="10" t="n">
        <v>0.0096</v>
      </c>
      <c r="L19" s="371"/>
      <c r="M19" s="379" t="s">
        <v>6</v>
      </c>
      <c r="N19" s="14" t="n">
        <v>0.1953</v>
      </c>
      <c r="O19" s="371"/>
      <c r="P19" s="11" t="s">
        <v>6</v>
      </c>
      <c r="Q19" s="14" t="n">
        <v>0.008</v>
      </c>
      <c r="R19" s="371"/>
      <c r="S19" s="11" t="s">
        <v>6</v>
      </c>
      <c r="T19" s="380" t="n">
        <v>0.0017</v>
      </c>
      <c r="U19" s="371"/>
      <c r="V19" s="11" t="s">
        <v>6</v>
      </c>
      <c r="W19" s="380" t="n">
        <v>0.1441</v>
      </c>
      <c r="X19" s="371"/>
      <c r="Y19" s="11" t="s">
        <v>6</v>
      </c>
      <c r="Z19" s="380" t="n">
        <v>0.1943</v>
      </c>
      <c r="AB19" s="376" t="s">
        <v>481</v>
      </c>
      <c r="AC19" s="377" t="s">
        <v>507</v>
      </c>
      <c r="AE19" s="8" t="s">
        <v>482</v>
      </c>
      <c r="AF19" s="8" t="s">
        <v>508</v>
      </c>
      <c r="AH19" s="376" t="s">
        <v>404</v>
      </c>
      <c r="AI19" s="377" t="s">
        <v>509</v>
      </c>
      <c r="AK19" s="376" t="s">
        <v>485</v>
      </c>
      <c r="AL19" s="377" t="s">
        <v>510</v>
      </c>
      <c r="AN19" s="8" t="s">
        <v>511</v>
      </c>
      <c r="AO19" s="391" t="n">
        <f aca="false">+AO18+AO16+AO15+AO14</f>
        <v>0.0451268292682925</v>
      </c>
      <c r="AQ19" s="8" t="s">
        <v>512</v>
      </c>
    </row>
    <row r="20" customFormat="false" ht="13.5" hidden="false" customHeight="false" outlineLevel="0" collapsed="false">
      <c r="A20" s="5" t="s">
        <v>7</v>
      </c>
      <c r="B20" s="10" t="n">
        <f aca="false">0.0022+0.007+0.0097</f>
        <v>0.0189</v>
      </c>
      <c r="C20" s="371"/>
      <c r="D20" s="11" t="s">
        <v>7</v>
      </c>
      <c r="E20" s="12" t="n">
        <f aca="false">0.007+0.0022+0.0097</f>
        <v>0.0189</v>
      </c>
      <c r="F20" s="381"/>
      <c r="G20" s="5" t="s">
        <v>7</v>
      </c>
      <c r="H20" s="10" t="n">
        <f aca="false">0.0022+0.007+0.0225</f>
        <v>0.0317</v>
      </c>
      <c r="I20" s="371"/>
      <c r="J20" s="378" t="s">
        <v>7</v>
      </c>
      <c r="K20" s="10" t="n">
        <f aca="false">0.0022</f>
        <v>0.0022</v>
      </c>
      <c r="L20" s="371"/>
      <c r="M20" s="379" t="s">
        <v>7</v>
      </c>
      <c r="N20" s="14" t="n">
        <f aca="false">0.0022+0.007</f>
        <v>0.0092</v>
      </c>
      <c r="O20" s="371"/>
      <c r="P20" s="11" t="s">
        <v>7</v>
      </c>
      <c r="Q20" s="14" t="n">
        <f aca="false">0.0022+0.007</f>
        <v>0.0092</v>
      </c>
      <c r="R20" s="371"/>
      <c r="S20" s="11" t="s">
        <v>7</v>
      </c>
      <c r="T20" s="380" t="n">
        <v>0.0022</v>
      </c>
      <c r="U20" s="371"/>
      <c r="V20" s="11" t="s">
        <v>7</v>
      </c>
      <c r="W20" s="380" t="n">
        <f aca="false">0.0022+0.007</f>
        <v>0.0092</v>
      </c>
      <c r="X20" s="371"/>
      <c r="Y20" s="11" t="s">
        <v>7</v>
      </c>
      <c r="Z20" s="14" t="n">
        <v>0.0022</v>
      </c>
      <c r="AB20" s="11" t="s">
        <v>6</v>
      </c>
      <c r="AC20" s="14" t="n">
        <v>0</v>
      </c>
      <c r="AE20" s="11" t="s">
        <v>6</v>
      </c>
      <c r="AF20" s="14" t="n">
        <f aca="false">0.022</f>
        <v>0.022</v>
      </c>
      <c r="AH20" s="11" t="s">
        <v>6</v>
      </c>
      <c r="AI20" s="14" t="n">
        <v>0.0054</v>
      </c>
      <c r="AK20" s="11" t="s">
        <v>6</v>
      </c>
      <c r="AL20" s="14" t="n">
        <f aca="false">0.0001</f>
        <v>0.0001</v>
      </c>
      <c r="AN20" s="8" t="s">
        <v>513</v>
      </c>
      <c r="AO20" s="392"/>
      <c r="AQ20" s="8" t="s">
        <v>514</v>
      </c>
      <c r="AR20" s="8" t="n">
        <v>0.0312</v>
      </c>
    </row>
    <row r="21" customFormat="false" ht="13.5" hidden="false" customHeight="false" outlineLevel="0" collapsed="false">
      <c r="A21" s="15" t="n">
        <v>0.0077</v>
      </c>
      <c r="B21" s="382" t="n">
        <f aca="false">B6/(1-A21)-B6</f>
        <v>0.0324357553159329</v>
      </c>
      <c r="C21" s="381"/>
      <c r="D21" s="17" t="n">
        <v>0.0077</v>
      </c>
      <c r="E21" s="16" t="n">
        <f aca="false">(E$6)/(1-D21)-E$6</f>
        <v>0.0324357553159329</v>
      </c>
      <c r="F21" s="383"/>
      <c r="G21" s="15" t="n">
        <v>0.0244</v>
      </c>
      <c r="H21" s="384" t="n">
        <f aca="false">(H$3)/(1-G21)-H$3</f>
        <v>0.100416154161541</v>
      </c>
      <c r="I21" s="381"/>
      <c r="J21" s="17" t="n">
        <v>0.0307</v>
      </c>
      <c r="K21" s="382" t="n">
        <f aca="false">(K$5)/(1-J21)-K$5</f>
        <v>0.127322810275456</v>
      </c>
      <c r="L21" s="381"/>
      <c r="M21" s="17" t="n">
        <v>0.0307</v>
      </c>
      <c r="N21" s="16" t="n">
        <f aca="false">(N$5)/(1-M21)-N$5</f>
        <v>0.127322810275456</v>
      </c>
      <c r="O21" s="381"/>
      <c r="P21" s="11" t="s">
        <v>492</v>
      </c>
      <c r="Q21" s="16" t="n">
        <f aca="false">+Q$3/(1-0.015)-Q$3</f>
        <v>0.062741116751269</v>
      </c>
      <c r="R21" s="381"/>
      <c r="S21" s="11" t="s">
        <v>515</v>
      </c>
      <c r="T21" s="16" t="n">
        <f aca="false">+T3/(1-0.00697)-T3</f>
        <v>0.0290934312155731</v>
      </c>
      <c r="U21" s="381"/>
      <c r="V21" s="17" t="n">
        <v>0.02776</v>
      </c>
      <c r="W21" s="16" t="n">
        <f aca="false">+W$3/(1-V21)-W$3</f>
        <v>0.125346005101621</v>
      </c>
      <c r="X21" s="381"/>
      <c r="Y21" s="17" t="n">
        <v>0.0228</v>
      </c>
      <c r="Z21" s="16" t="n">
        <f aca="false">+Z$3/(1-Y21)-Z$3</f>
        <v>0.102660663119116</v>
      </c>
      <c r="AB21" s="11" t="s">
        <v>7</v>
      </c>
      <c r="AC21" s="14" t="n">
        <f aca="false">0.0022+0.007</f>
        <v>0.0092</v>
      </c>
      <c r="AE21" s="11" t="s">
        <v>7</v>
      </c>
      <c r="AF21" s="14" t="n">
        <f aca="false">0.007+0.0022</f>
        <v>0.0092</v>
      </c>
      <c r="AH21" s="11" t="s">
        <v>7</v>
      </c>
      <c r="AI21" s="14" t="n">
        <f aca="false">0.0022+0.007+0.0012-0.0004</f>
        <v>0.01</v>
      </c>
      <c r="AK21" s="11" t="s">
        <v>7</v>
      </c>
      <c r="AL21" s="14" t="n">
        <f aca="false">0.007+0.0022</f>
        <v>0.0092</v>
      </c>
      <c r="AQ21" s="8" t="s">
        <v>7</v>
      </c>
      <c r="AR21" s="8" t="n">
        <f aca="false">0.0348-0.0312</f>
        <v>0.0036</v>
      </c>
    </row>
    <row r="22" customFormat="false" ht="12.75" hidden="false" customHeight="false" outlineLevel="0" collapsed="false">
      <c r="A22" s="13" t="s">
        <v>9</v>
      </c>
      <c r="B22" s="6" t="n">
        <f aca="false">SUM(B19:B21)</f>
        <v>0.0573357553159329</v>
      </c>
      <c r="C22" s="383"/>
      <c r="D22" s="11"/>
      <c r="E22" s="20" t="n">
        <f aca="false">SUM(E19:E21)</f>
        <v>0.139435755315933</v>
      </c>
      <c r="F22" s="383"/>
      <c r="G22" s="13"/>
      <c r="H22" s="6" t="n">
        <f aca="false">SUM(H19:H21)</f>
        <v>0.199016154161541</v>
      </c>
      <c r="I22" s="383"/>
      <c r="J22" s="378"/>
      <c r="K22" s="6" t="n">
        <f aca="false">SUM(K19:K21)</f>
        <v>0.139122810275456</v>
      </c>
      <c r="L22" s="383"/>
      <c r="M22" s="379"/>
      <c r="N22" s="20" t="n">
        <f aca="false">SUM(N19:N21)</f>
        <v>0.331822810275456</v>
      </c>
      <c r="O22" s="383"/>
      <c r="P22" s="385"/>
      <c r="Q22" s="20" t="n">
        <f aca="false">SUM(Q19:Q21)</f>
        <v>0.079941116751269</v>
      </c>
      <c r="R22" s="383"/>
      <c r="S22" s="385"/>
      <c r="T22" s="20" t="n">
        <f aca="false">SUM(T19:T21)</f>
        <v>0.0329934312155731</v>
      </c>
      <c r="U22" s="383"/>
      <c r="V22" s="385"/>
      <c r="W22" s="20" t="n">
        <f aca="false">SUM(W19:W21)</f>
        <v>0.278646005101621</v>
      </c>
      <c r="X22" s="383"/>
      <c r="Y22" s="385"/>
      <c r="Z22" s="20" t="n">
        <f aca="false">SUM(Z19:Z21)</f>
        <v>0.299160663119116</v>
      </c>
      <c r="AB22" s="17" t="n">
        <v>0.003</v>
      </c>
      <c r="AC22" s="16" t="n">
        <f aca="false">+AC$3/(1-AB22)-AC3</f>
        <v>0.0195586760280841</v>
      </c>
      <c r="AE22" s="17" t="n">
        <v>0.0296</v>
      </c>
      <c r="AF22" s="16" t="n">
        <f aca="false">+AF$3/(1-AE22)-AF$3</f>
        <v>0.126434460016488</v>
      </c>
      <c r="AH22" s="17" t="n">
        <v>0.008</v>
      </c>
      <c r="AI22" s="16" t="n">
        <f aca="false">+AI3/(1-AH22)-AI3</f>
        <v>0.0346774193548391</v>
      </c>
      <c r="AK22" s="11" t="s">
        <v>494</v>
      </c>
      <c r="AL22" s="16" t="n">
        <f aca="false">+AL3/(1-0.02)-AL3</f>
        <v>0.0922448979591835</v>
      </c>
      <c r="AQ22" s="8" t="s">
        <v>496</v>
      </c>
      <c r="AR22" s="16" t="n">
        <f aca="false">+AP3/(1-0.024)-AP3</f>
        <v>0.101680327868853</v>
      </c>
    </row>
    <row r="23" customFormat="false" ht="12.75" hidden="false" customHeight="false" outlineLevel="0" collapsed="false">
      <c r="A23" s="387" t="s">
        <v>2</v>
      </c>
      <c r="B23" s="7" t="s">
        <v>516</v>
      </c>
      <c r="C23" s="370"/>
      <c r="D23" s="374" t="s">
        <v>2</v>
      </c>
      <c r="E23" s="20" t="s">
        <v>517</v>
      </c>
      <c r="F23" s="393"/>
      <c r="G23" s="387" t="s">
        <v>471</v>
      </c>
      <c r="H23" s="388" t="s">
        <v>518</v>
      </c>
      <c r="I23" s="383"/>
      <c r="J23" s="394" t="s">
        <v>473</v>
      </c>
      <c r="K23" s="395" t="s">
        <v>519</v>
      </c>
      <c r="L23" s="383"/>
      <c r="M23" s="374" t="s">
        <v>475</v>
      </c>
      <c r="N23" s="375" t="s">
        <v>519</v>
      </c>
      <c r="O23" s="383"/>
      <c r="P23" s="389" t="s">
        <v>236</v>
      </c>
      <c r="Q23" s="390" t="s">
        <v>520</v>
      </c>
      <c r="R23" s="370"/>
      <c r="S23" s="389" t="s">
        <v>477</v>
      </c>
      <c r="T23" s="390" t="s">
        <v>521</v>
      </c>
      <c r="U23" s="370"/>
      <c r="V23" s="389" t="s">
        <v>182</v>
      </c>
      <c r="W23" s="390" t="s">
        <v>522</v>
      </c>
      <c r="X23" s="370"/>
      <c r="Y23" s="370"/>
      <c r="Z23" s="370"/>
      <c r="AB23" s="385"/>
      <c r="AC23" s="20" t="n">
        <f aca="false">SUM(AC20:AC22)</f>
        <v>0.0287586760280841</v>
      </c>
      <c r="AE23" s="385"/>
      <c r="AF23" s="20" t="n">
        <f aca="false">SUM(AF20:AF22)</f>
        <v>0.157634460016488</v>
      </c>
      <c r="AH23" s="385"/>
      <c r="AI23" s="20" t="n">
        <f aca="false">SUM(AI20:AI22)</f>
        <v>0.0500774193548391</v>
      </c>
      <c r="AK23" s="385"/>
      <c r="AL23" s="20" t="n">
        <f aca="false">SUM(AL20:AL22)</f>
        <v>0.101544897959183</v>
      </c>
      <c r="AR23" s="386" t="n">
        <f aca="false">SUM(AR20:AR22)</f>
        <v>0.136480327868853</v>
      </c>
    </row>
    <row r="24" customFormat="false" ht="12.75" hidden="false" customHeight="false" outlineLevel="0" collapsed="false">
      <c r="A24" s="5" t="s">
        <v>6</v>
      </c>
      <c r="B24" s="10" t="n">
        <v>0.0091</v>
      </c>
      <c r="C24" s="371"/>
      <c r="D24" s="11" t="s">
        <v>6</v>
      </c>
      <c r="E24" s="12" t="n">
        <v>0.1214</v>
      </c>
      <c r="F24" s="393"/>
      <c r="G24" s="5" t="s">
        <v>6</v>
      </c>
      <c r="H24" s="10" t="n">
        <v>0.088</v>
      </c>
      <c r="I24" s="393"/>
      <c r="J24" s="378" t="s">
        <v>6</v>
      </c>
      <c r="K24" s="10" t="n">
        <v>0.014</v>
      </c>
      <c r="L24" s="393"/>
      <c r="M24" s="379" t="s">
        <v>6</v>
      </c>
      <c r="N24" s="14" t="n">
        <v>0.2297</v>
      </c>
      <c r="O24" s="393"/>
      <c r="P24" s="11" t="s">
        <v>6</v>
      </c>
      <c r="Q24" s="14" t="n">
        <v>0.013</v>
      </c>
      <c r="R24" s="371"/>
      <c r="S24" s="11" t="s">
        <v>6</v>
      </c>
      <c r="T24" s="380" t="n">
        <v>0.017</v>
      </c>
      <c r="U24" s="371"/>
      <c r="V24" s="11" t="s">
        <v>6</v>
      </c>
      <c r="W24" s="380" t="n">
        <v>0.2099</v>
      </c>
      <c r="X24" s="371"/>
      <c r="Y24" s="376" t="s">
        <v>58</v>
      </c>
      <c r="Z24" s="377" t="s">
        <v>523</v>
      </c>
    </row>
    <row r="25" customFormat="false" ht="12.75" hidden="false" customHeight="false" outlineLevel="0" collapsed="false">
      <c r="A25" s="5" t="s">
        <v>7</v>
      </c>
      <c r="B25" s="10" t="n">
        <f aca="false">0.0022+0.007+0.0097</f>
        <v>0.0189</v>
      </c>
      <c r="C25" s="371"/>
      <c r="D25" s="11" t="s">
        <v>7</v>
      </c>
      <c r="E25" s="12" t="n">
        <f aca="false">0.007+0.0022+0.0097</f>
        <v>0.0189</v>
      </c>
      <c r="F25" s="381"/>
      <c r="G25" s="5" t="s">
        <v>7</v>
      </c>
      <c r="H25" s="10" t="n">
        <f aca="false">0.0022+0.007</f>
        <v>0.0092</v>
      </c>
      <c r="I25" s="393"/>
      <c r="J25" s="378" t="s">
        <v>7</v>
      </c>
      <c r="K25" s="10" t="n">
        <f aca="false">0.0022+0.007</f>
        <v>0.0092</v>
      </c>
      <c r="L25" s="393"/>
      <c r="M25" s="379" t="s">
        <v>7</v>
      </c>
      <c r="N25" s="14" t="n">
        <f aca="false">0.0022+0.007</f>
        <v>0.0092</v>
      </c>
      <c r="O25" s="393"/>
      <c r="P25" s="11" t="s">
        <v>7</v>
      </c>
      <c r="Q25" s="14" t="n">
        <f aca="false">0.0022+0.007</f>
        <v>0.0092</v>
      </c>
      <c r="R25" s="371"/>
      <c r="S25" s="11" t="s">
        <v>7</v>
      </c>
      <c r="T25" s="380" t="n">
        <v>0.0022</v>
      </c>
      <c r="U25" s="371"/>
      <c r="V25" s="11" t="s">
        <v>7</v>
      </c>
      <c r="W25" s="380" t="n">
        <f aca="false">0.0022+0.007</f>
        <v>0.0092</v>
      </c>
      <c r="X25" s="371"/>
      <c r="Y25" s="11" t="s">
        <v>6</v>
      </c>
      <c r="Z25" s="14" t="n">
        <f aca="false">0.2644-0.0022</f>
        <v>0.2622</v>
      </c>
      <c r="AB25" s="8" t="s">
        <v>524</v>
      </c>
      <c r="AE25" s="8" t="s">
        <v>482</v>
      </c>
      <c r="AF25" s="8" t="s">
        <v>525</v>
      </c>
      <c r="AH25" s="376" t="s">
        <v>404</v>
      </c>
      <c r="AI25" s="377" t="s">
        <v>526</v>
      </c>
      <c r="AK25" s="376" t="s">
        <v>485</v>
      </c>
      <c r="AL25" s="377" t="s">
        <v>527</v>
      </c>
      <c r="AQ25" s="8" t="s">
        <v>528</v>
      </c>
    </row>
    <row r="26" customFormat="false" ht="12.75" hidden="false" customHeight="false" outlineLevel="0" collapsed="false">
      <c r="A26" s="15" t="n">
        <v>0.0121</v>
      </c>
      <c r="B26" s="382" t="n">
        <f aca="false">B6/(1-A26)-B6</f>
        <v>0.0511974896244558</v>
      </c>
      <c r="C26" s="381"/>
      <c r="D26" s="17" t="n">
        <v>0.0121</v>
      </c>
      <c r="E26" s="16" t="n">
        <f aca="false">(E$6)/(1-D26)-E$6</f>
        <v>0.0511974896244558</v>
      </c>
      <c r="F26" s="383"/>
      <c r="G26" s="15" t="n">
        <v>0.0443</v>
      </c>
      <c r="H26" s="384" t="n">
        <f aca="false">(H$3)/(1-G26)-H$3</f>
        <v>0.18610913466569</v>
      </c>
      <c r="I26" s="381"/>
      <c r="J26" s="17" t="n">
        <v>0.0379</v>
      </c>
      <c r="K26" s="382" t="n">
        <f aca="false">(K$5)/(1-J26)-K$5</f>
        <v>0.158359837854693</v>
      </c>
      <c r="L26" s="381"/>
      <c r="M26" s="17" t="n">
        <v>0.046</v>
      </c>
      <c r="N26" s="16" t="n">
        <f aca="false">(N$5)/(1-M26)-N$5</f>
        <v>0.193836477987421</v>
      </c>
      <c r="O26" s="381"/>
      <c r="P26" s="11" t="s">
        <v>529</v>
      </c>
      <c r="Q26" s="16" t="n">
        <f aca="false">+Q$3/(1-0.023)-Q$3</f>
        <v>0.0969907881269192</v>
      </c>
      <c r="R26" s="381"/>
      <c r="S26" s="11" t="s">
        <v>530</v>
      </c>
      <c r="T26" s="16" t="n">
        <f aca="false">+T4/(1-0.02902)-T4</f>
        <v>0.125912137607238</v>
      </c>
      <c r="U26" s="381"/>
      <c r="V26" s="17" t="n">
        <v>0.02776</v>
      </c>
      <c r="W26" s="16" t="n">
        <f aca="false">+W$3/(1-V26)-W$3</f>
        <v>0.125346005101621</v>
      </c>
      <c r="X26" s="381"/>
      <c r="Y26" s="11" t="s">
        <v>7</v>
      </c>
      <c r="Z26" s="14" t="n">
        <v>0.0022</v>
      </c>
      <c r="AB26" s="8" t="s">
        <v>531</v>
      </c>
      <c r="AE26" s="11" t="s">
        <v>6</v>
      </c>
      <c r="AF26" s="14" t="n">
        <v>0.0202</v>
      </c>
      <c r="AH26" s="11" t="s">
        <v>6</v>
      </c>
      <c r="AI26" s="14" t="n">
        <v>0.4693</v>
      </c>
      <c r="AK26" s="11" t="s">
        <v>6</v>
      </c>
      <c r="AL26" s="14" t="n">
        <v>0.0009</v>
      </c>
    </row>
    <row r="27" customFormat="false" ht="12.75" hidden="false" customHeight="false" outlineLevel="0" collapsed="false">
      <c r="A27" s="13"/>
      <c r="B27" s="6" t="n">
        <f aca="false">SUM(B24:B26)</f>
        <v>0.0791974896244558</v>
      </c>
      <c r="C27" s="383"/>
      <c r="D27" s="11"/>
      <c r="E27" s="20" t="n">
        <f aca="false">SUM(E24:E26)</f>
        <v>0.191497489624456</v>
      </c>
      <c r="F27" s="370"/>
      <c r="G27" s="13"/>
      <c r="H27" s="6" t="n">
        <f aca="false">SUM(H24:H26)</f>
        <v>0.28330913466569</v>
      </c>
      <c r="I27" s="383"/>
      <c r="J27" s="378"/>
      <c r="K27" s="6" t="n">
        <f aca="false">SUM(K24:K26)</f>
        <v>0.181559837854693</v>
      </c>
      <c r="L27" s="383"/>
      <c r="M27" s="379"/>
      <c r="N27" s="20" t="n">
        <f aca="false">SUM(N24:N26)</f>
        <v>0.432736477987421</v>
      </c>
      <c r="O27" s="383"/>
      <c r="P27" s="385"/>
      <c r="Q27" s="20" t="n">
        <f aca="false">SUM(Q24:Q26)</f>
        <v>0.119190788126919</v>
      </c>
      <c r="R27" s="383"/>
      <c r="S27" s="385"/>
      <c r="T27" s="20" t="n">
        <f aca="false">SUM(T24:T26)</f>
        <v>0.145112137607238</v>
      </c>
      <c r="U27" s="383"/>
      <c r="V27" s="385"/>
      <c r="W27" s="20" t="n">
        <f aca="false">SUM(W24:W26)</f>
        <v>0.344446005101621</v>
      </c>
      <c r="X27" s="383"/>
      <c r="Y27" s="17" t="n">
        <v>0.0228</v>
      </c>
      <c r="Z27" s="16" t="n">
        <f aca="false">+Z$3/(1-Y27)-Z$3</f>
        <v>0.102660663119116</v>
      </c>
      <c r="AB27" s="8" t="s">
        <v>453</v>
      </c>
      <c r="AE27" s="11" t="s">
        <v>7</v>
      </c>
      <c r="AF27" s="14" t="n">
        <f aca="false">0.007+0.0022</f>
        <v>0.0092</v>
      </c>
      <c r="AH27" s="11" t="s">
        <v>7</v>
      </c>
      <c r="AI27" s="14" t="n">
        <f aca="false">0.0022+0.007+0.0012-0.0004</f>
        <v>0.01</v>
      </c>
      <c r="AK27" s="11" t="s">
        <v>7</v>
      </c>
      <c r="AL27" s="14" t="n">
        <f aca="false">0.007+0.0022</f>
        <v>0.0092</v>
      </c>
      <c r="AQ27" s="8" t="s">
        <v>532</v>
      </c>
      <c r="AR27" s="8" t="n">
        <v>0.3298</v>
      </c>
    </row>
    <row r="28" customFormat="false" ht="12.75" hidden="false" customHeight="false" outlineLevel="0" collapsed="false">
      <c r="A28" s="369" t="s">
        <v>2</v>
      </c>
      <c r="B28" s="7" t="s">
        <v>533</v>
      </c>
      <c r="D28" s="8" t="s">
        <v>2</v>
      </c>
      <c r="E28" s="8" t="s">
        <v>534</v>
      </c>
      <c r="F28" s="371"/>
      <c r="G28" s="387" t="s">
        <v>471</v>
      </c>
      <c r="H28" s="396" t="s">
        <v>535</v>
      </c>
      <c r="I28" s="370"/>
      <c r="J28" s="373" t="s">
        <v>473</v>
      </c>
      <c r="K28" s="7" t="s">
        <v>536</v>
      </c>
      <c r="L28" s="370"/>
      <c r="M28" s="374" t="s">
        <v>475</v>
      </c>
      <c r="N28" s="375" t="s">
        <v>537</v>
      </c>
      <c r="O28" s="370"/>
      <c r="P28" s="389" t="s">
        <v>236</v>
      </c>
      <c r="Q28" s="390" t="s">
        <v>538</v>
      </c>
      <c r="S28" s="376" t="s">
        <v>477</v>
      </c>
      <c r="T28" s="377" t="s">
        <v>539</v>
      </c>
      <c r="V28" s="376" t="s">
        <v>182</v>
      </c>
      <c r="W28" s="377" t="s">
        <v>540</v>
      </c>
      <c r="Y28" s="385"/>
      <c r="Z28" s="20" t="n">
        <f aca="false">SUM(Z25:Z27)</f>
        <v>0.367060663119116</v>
      </c>
      <c r="AB28" s="8" t="s">
        <v>462</v>
      </c>
      <c r="AE28" s="17" t="n">
        <v>0.0296</v>
      </c>
      <c r="AF28" s="16" t="n">
        <f aca="false">+AF$3/(1-AE28)-AF$3</f>
        <v>0.126434460016488</v>
      </c>
      <c r="AH28" s="17" t="n">
        <v>0.008</v>
      </c>
      <c r="AI28" s="16" t="n">
        <f aca="false">+AI3/(1-AH28)-AI3</f>
        <v>0.0346774193548391</v>
      </c>
      <c r="AK28" s="11" t="s">
        <v>494</v>
      </c>
      <c r="AL28" s="16" t="n">
        <f aca="false">+AL3/(1-0.02)-AL3</f>
        <v>0.0922448979591835</v>
      </c>
      <c r="AQ28" s="8" t="s">
        <v>496</v>
      </c>
      <c r="AR28" s="16" t="n">
        <f aca="false">+AN3/(1-0.024)-AN3</f>
        <v>0.106844262295082</v>
      </c>
    </row>
    <row r="29" customFormat="false" ht="12.75" hidden="false" customHeight="false" outlineLevel="0" collapsed="false">
      <c r="A29" s="5" t="s">
        <v>6</v>
      </c>
      <c r="B29" s="10" t="n">
        <v>0.0226</v>
      </c>
      <c r="D29" s="11" t="s">
        <v>6</v>
      </c>
      <c r="E29" s="12" t="n">
        <v>0.2445</v>
      </c>
      <c r="F29" s="371"/>
      <c r="G29" s="13" t="s">
        <v>6</v>
      </c>
      <c r="H29" s="10" t="n">
        <v>0.0978</v>
      </c>
      <c r="I29" s="371"/>
      <c r="J29" s="378" t="s">
        <v>6</v>
      </c>
      <c r="K29" s="10" t="n">
        <v>0.0281</v>
      </c>
      <c r="L29" s="371"/>
      <c r="M29" s="379" t="s">
        <v>6</v>
      </c>
      <c r="N29" s="14" t="n">
        <v>0.5242</v>
      </c>
      <c r="O29" s="371"/>
      <c r="P29" s="11" t="s">
        <v>6</v>
      </c>
      <c r="Q29" s="14" t="n">
        <v>0.021</v>
      </c>
      <c r="S29" s="11" t="s">
        <v>6</v>
      </c>
      <c r="T29" s="380" t="n">
        <v>0.088</v>
      </c>
      <c r="V29" s="11" t="s">
        <v>6</v>
      </c>
      <c r="W29" s="380" t="n">
        <v>0.006</v>
      </c>
      <c r="Y29" s="371" t="s">
        <v>9</v>
      </c>
      <c r="Z29" s="371" t="s">
        <v>9</v>
      </c>
      <c r="AE29" s="385"/>
      <c r="AF29" s="20" t="n">
        <f aca="false">SUM(AF26:AF28)</f>
        <v>0.155834460016488</v>
      </c>
      <c r="AH29" s="385"/>
      <c r="AI29" s="20" t="n">
        <f aca="false">SUM(AI26:AI28)</f>
        <v>0.513977419354839</v>
      </c>
      <c r="AK29" s="385"/>
      <c r="AL29" s="20" t="n">
        <f aca="false">SUM(AL26:AL28)</f>
        <v>0.102344897959183</v>
      </c>
      <c r="AR29" s="386" t="n">
        <f aca="false">SUM(AR27:AR28)</f>
        <v>0.436644262295082</v>
      </c>
    </row>
    <row r="30" customFormat="false" ht="12.75" hidden="false" customHeight="false" outlineLevel="0" collapsed="false">
      <c r="A30" s="5" t="s">
        <v>7</v>
      </c>
      <c r="B30" s="10" t="n">
        <f aca="false">0.0022+0.007+0.0097</f>
        <v>0.0189</v>
      </c>
      <c r="C30" s="393"/>
      <c r="D30" s="11" t="s">
        <v>7</v>
      </c>
      <c r="E30" s="12" t="n">
        <f aca="false">0.007+0.0097+0.0022</f>
        <v>0.0189</v>
      </c>
      <c r="F30" s="381"/>
      <c r="G30" s="13" t="s">
        <v>7</v>
      </c>
      <c r="H30" s="10" t="n">
        <f aca="false">0.0022</f>
        <v>0.0022</v>
      </c>
      <c r="I30" s="371"/>
      <c r="J30" s="378" t="s">
        <v>7</v>
      </c>
      <c r="K30" s="10" t="n">
        <f aca="false">0.0022+0.007</f>
        <v>0.0092</v>
      </c>
      <c r="L30" s="371"/>
      <c r="M30" s="379" t="s">
        <v>7</v>
      </c>
      <c r="N30" s="14" t="n">
        <f aca="false">0.0022+0.007</f>
        <v>0.0092</v>
      </c>
      <c r="O30" s="371"/>
      <c r="P30" s="11" t="s">
        <v>7</v>
      </c>
      <c r="Q30" s="14" t="n">
        <f aca="false">0.0022+0.007</f>
        <v>0.0092</v>
      </c>
      <c r="R30" s="393"/>
      <c r="S30" s="11" t="s">
        <v>7</v>
      </c>
      <c r="T30" s="380" t="n">
        <v>0.0022</v>
      </c>
      <c r="U30" s="393"/>
      <c r="V30" s="11" t="s">
        <v>7</v>
      </c>
      <c r="W30" s="14" t="n">
        <v>0</v>
      </c>
      <c r="X30" s="393"/>
      <c r="Y30" s="371" t="s">
        <v>9</v>
      </c>
      <c r="Z30" s="371" t="s">
        <v>9</v>
      </c>
      <c r="AB30" s="376" t="s">
        <v>481</v>
      </c>
      <c r="AC30" s="377" t="s">
        <v>375</v>
      </c>
    </row>
    <row r="31" customFormat="false" ht="12.75" hidden="false" customHeight="false" outlineLevel="0" collapsed="false">
      <c r="A31" s="15" t="n">
        <v>0.031</v>
      </c>
      <c r="B31" s="382" t="n">
        <f aca="false">B6/(1-A31)-B6</f>
        <v>0.133725490196079</v>
      </c>
      <c r="C31" s="381"/>
      <c r="D31" s="17" t="n">
        <v>0.031</v>
      </c>
      <c r="E31" s="16" t="n">
        <f aca="false">(E$6)/(1-D31)-E$6</f>
        <v>0.133725490196079</v>
      </c>
      <c r="F31" s="383"/>
      <c r="G31" s="15" t="n">
        <v>0.0504</v>
      </c>
      <c r="H31" s="384" t="n">
        <f aca="false">(H$3)/(1-G31)-H$3</f>
        <v>0.213096040438079</v>
      </c>
      <c r="I31" s="381"/>
      <c r="J31" s="17" t="n">
        <v>0.0663</v>
      </c>
      <c r="K31" s="382" t="n">
        <f aca="false">(K$5)/(1-J31)-K$5</f>
        <v>0.285451429795438</v>
      </c>
      <c r="L31" s="381"/>
      <c r="M31" s="17" t="n">
        <v>0.0795</v>
      </c>
      <c r="N31" s="16" t="n">
        <f aca="false">(N$5)/(1-M31)-N$5</f>
        <v>0.347191743617599</v>
      </c>
      <c r="O31" s="381"/>
      <c r="P31" s="11" t="s">
        <v>541</v>
      </c>
      <c r="Q31" s="16" t="n">
        <f aca="false">+Q$3/(1-0.026)-Q$3</f>
        <v>0.109979466119096</v>
      </c>
      <c r="R31" s="381"/>
      <c r="S31" s="11" t="s">
        <v>493</v>
      </c>
      <c r="T31" s="16" t="n">
        <f aca="false">(+T3-0.108)/(1-0.00552)-(T3-0.108)</f>
        <v>0.0224079317834445</v>
      </c>
      <c r="U31" s="381"/>
      <c r="V31" s="17" t="n">
        <v>0.00902</v>
      </c>
      <c r="W31" s="16" t="n">
        <f aca="false">+W$3/(1-V31)-W$3</f>
        <v>0.0399582231730209</v>
      </c>
      <c r="X31" s="381"/>
      <c r="Y31" s="381"/>
      <c r="Z31" s="381"/>
      <c r="AB31" s="11" t="s">
        <v>6</v>
      </c>
      <c r="AC31" s="14" t="n">
        <v>0.0112</v>
      </c>
      <c r="AE31" s="8" t="s">
        <v>482</v>
      </c>
      <c r="AF31" s="8" t="s">
        <v>542</v>
      </c>
      <c r="AH31" s="376" t="s">
        <v>404</v>
      </c>
      <c r="AI31" s="377" t="s">
        <v>543</v>
      </c>
      <c r="AK31" s="376" t="s">
        <v>485</v>
      </c>
      <c r="AL31" s="377" t="s">
        <v>544</v>
      </c>
      <c r="AQ31" s="8" t="s">
        <v>545</v>
      </c>
    </row>
    <row r="32" customFormat="false" ht="12.75" hidden="false" customHeight="false" outlineLevel="0" collapsed="false">
      <c r="A32" s="13"/>
      <c r="B32" s="6" t="n">
        <f aca="false">SUM(B29:B31)</f>
        <v>0.175225490196078</v>
      </c>
      <c r="C32" s="383"/>
      <c r="D32" s="11"/>
      <c r="E32" s="20" t="n">
        <f aca="false">SUM(E29:E31)</f>
        <v>0.397125490196078</v>
      </c>
      <c r="F32" s="370"/>
      <c r="G32" s="13"/>
      <c r="H32" s="6" t="n">
        <f aca="false">SUM(H29:H31)</f>
        <v>0.313096040438079</v>
      </c>
      <c r="I32" s="383"/>
      <c r="J32" s="378"/>
      <c r="K32" s="6" t="n">
        <f aca="false">SUM(K29:K31)</f>
        <v>0.322751429795438</v>
      </c>
      <c r="L32" s="383"/>
      <c r="M32" s="379"/>
      <c r="N32" s="20" t="n">
        <f aca="false">SUM(N29:N31)</f>
        <v>0.880591743617599</v>
      </c>
      <c r="O32" s="383"/>
      <c r="P32" s="385"/>
      <c r="Q32" s="20" t="n">
        <f aca="false">SUM(Q29:Q31)</f>
        <v>0.140179466119096</v>
      </c>
      <c r="R32" s="383"/>
      <c r="S32" s="385"/>
      <c r="T32" s="20" t="n">
        <f aca="false">SUM(T29:T31)</f>
        <v>0.112607931783444</v>
      </c>
      <c r="U32" s="383"/>
      <c r="V32" s="385"/>
      <c r="W32" s="20" t="n">
        <f aca="false">SUM(W29:W31)</f>
        <v>0.0459582231730209</v>
      </c>
      <c r="X32" s="383"/>
      <c r="Y32" s="383"/>
      <c r="Z32" s="383"/>
      <c r="AB32" s="11" t="s">
        <v>7</v>
      </c>
      <c r="AC32" s="14" t="n">
        <f aca="false">0.0022+0.007</f>
        <v>0.0092</v>
      </c>
      <c r="AE32" s="11" t="s">
        <v>6</v>
      </c>
      <c r="AF32" s="14" t="n">
        <v>0.0117</v>
      </c>
      <c r="AH32" s="11" t="s">
        <v>6</v>
      </c>
      <c r="AI32" s="14" t="n">
        <v>0.045</v>
      </c>
      <c r="AK32" s="11" t="s">
        <v>6</v>
      </c>
      <c r="AL32" s="14" t="n">
        <v>0.0003</v>
      </c>
    </row>
    <row r="33" customFormat="false" ht="12.75" hidden="false" customHeight="false" outlineLevel="0" collapsed="false">
      <c r="A33" s="369" t="s">
        <v>2</v>
      </c>
      <c r="B33" s="7" t="s">
        <v>546</v>
      </c>
      <c r="C33" s="370"/>
      <c r="D33" s="8" t="s">
        <v>2</v>
      </c>
      <c r="E33" s="8" t="s">
        <v>547</v>
      </c>
      <c r="F33" s="371"/>
      <c r="G33" s="387" t="s">
        <v>471</v>
      </c>
      <c r="H33" s="396" t="s">
        <v>548</v>
      </c>
      <c r="I33" s="370"/>
      <c r="J33" s="373" t="s">
        <v>473</v>
      </c>
      <c r="K33" s="7" t="s">
        <v>537</v>
      </c>
      <c r="L33" s="370"/>
      <c r="M33" s="374" t="s">
        <v>475</v>
      </c>
      <c r="N33" s="375" t="s">
        <v>549</v>
      </c>
      <c r="O33" s="370"/>
      <c r="P33" s="397"/>
      <c r="Q33" s="370"/>
      <c r="R33" s="370"/>
      <c r="S33" s="389" t="s">
        <v>477</v>
      </c>
      <c r="T33" s="390" t="s">
        <v>550</v>
      </c>
      <c r="U33" s="370"/>
      <c r="V33" s="389" t="s">
        <v>182</v>
      </c>
      <c r="W33" s="390" t="s">
        <v>551</v>
      </c>
      <c r="X33" s="370"/>
      <c r="Y33" s="370"/>
      <c r="Z33" s="370"/>
      <c r="AB33" s="17" t="n">
        <v>0.0105</v>
      </c>
      <c r="AC33" s="16" t="n">
        <f aca="false">+AC3/(1-0.0058)-AC3</f>
        <v>0.0379199356266344</v>
      </c>
      <c r="AE33" s="11" t="s">
        <v>7</v>
      </c>
      <c r="AF33" s="14" t="n">
        <f aca="false">0.007+0.0022</f>
        <v>0.0092</v>
      </c>
      <c r="AH33" s="11" t="s">
        <v>7</v>
      </c>
      <c r="AI33" s="14" t="n">
        <f aca="false">0.0022+0.0012</f>
        <v>0.0034</v>
      </c>
      <c r="AK33" s="11" t="s">
        <v>7</v>
      </c>
      <c r="AL33" s="14" t="n">
        <f aca="false">0.0022</f>
        <v>0.0022</v>
      </c>
      <c r="AQ33" s="8" t="s">
        <v>532</v>
      </c>
      <c r="AR33" s="8" t="n">
        <v>0.3298</v>
      </c>
    </row>
    <row r="34" customFormat="false" ht="12.75" hidden="false" customHeight="false" outlineLevel="0" collapsed="false">
      <c r="A34" s="5" t="s">
        <v>6</v>
      </c>
      <c r="B34" s="10" t="n">
        <v>0.0334</v>
      </c>
      <c r="C34" s="371"/>
      <c r="D34" s="11" t="s">
        <v>6</v>
      </c>
      <c r="E34" s="12" t="n">
        <v>0.068</v>
      </c>
      <c r="F34" s="371"/>
      <c r="G34" s="13" t="s">
        <v>6</v>
      </c>
      <c r="H34" s="10" t="n">
        <v>0.1118</v>
      </c>
      <c r="I34" s="371"/>
      <c r="J34" s="378" t="s">
        <v>6</v>
      </c>
      <c r="K34" s="10" t="n">
        <v>0.0484</v>
      </c>
      <c r="L34" s="371"/>
      <c r="M34" s="379" t="s">
        <v>6</v>
      </c>
      <c r="N34" s="14" t="n">
        <v>0.6213</v>
      </c>
      <c r="O34" s="371"/>
      <c r="P34" s="398"/>
      <c r="Q34" s="371"/>
      <c r="R34" s="371"/>
      <c r="S34" s="11" t="s">
        <v>6</v>
      </c>
      <c r="T34" s="380" t="n">
        <v>0.0366</v>
      </c>
      <c r="U34" s="371"/>
      <c r="V34" s="11" t="s">
        <v>6</v>
      </c>
      <c r="W34" s="14" t="n">
        <v>0.05</v>
      </c>
      <c r="X34" s="371"/>
      <c r="Y34" s="371"/>
      <c r="Z34" s="371"/>
      <c r="AB34" s="385"/>
      <c r="AC34" s="20" t="n">
        <f aca="false">SUM(AC31:AC33)</f>
        <v>0.0583199356266344</v>
      </c>
      <c r="AE34" s="17" t="n">
        <v>0.0198</v>
      </c>
      <c r="AF34" s="16" t="n">
        <f aca="false">+AF$3/(1-AE34)-AF$3</f>
        <v>0.0837288308508466</v>
      </c>
      <c r="AH34" s="17" t="n">
        <v>0.008</v>
      </c>
      <c r="AI34" s="16" t="n">
        <f aca="false">+AI3/(1-AH34)-AI3</f>
        <v>0.0346774193548391</v>
      </c>
      <c r="AK34" s="11" t="s">
        <v>494</v>
      </c>
      <c r="AL34" s="16" t="n">
        <f aca="false">+AL3/(1-0.02)-AL3</f>
        <v>0.0922448979591835</v>
      </c>
      <c r="AQ34" s="8" t="s">
        <v>496</v>
      </c>
      <c r="AR34" s="16" t="n">
        <f aca="false">+AP3/(1-0.024)-AP3</f>
        <v>0.101680327868853</v>
      </c>
    </row>
    <row r="35" customFormat="false" ht="12.75" hidden="false" customHeight="false" outlineLevel="0" collapsed="false">
      <c r="A35" s="5" t="s">
        <v>7</v>
      </c>
      <c r="B35" s="10" t="n">
        <f aca="false">0.0022+0.007+0.0097</f>
        <v>0.0189</v>
      </c>
      <c r="C35" s="371"/>
      <c r="D35" s="11" t="s">
        <v>7</v>
      </c>
      <c r="E35" s="12" t="n">
        <f aca="false">0.007+0.0022+0.0097</f>
        <v>0.0189</v>
      </c>
      <c r="F35" s="381"/>
      <c r="G35" s="13" t="s">
        <v>7</v>
      </c>
      <c r="H35" s="10" t="n">
        <f aca="false">0.0022+0.007</f>
        <v>0.0092</v>
      </c>
      <c r="I35" s="371"/>
      <c r="J35" s="378" t="s">
        <v>7</v>
      </c>
      <c r="K35" s="10" t="n">
        <f aca="false">0.0022+0.007</f>
        <v>0.0092</v>
      </c>
      <c r="L35" s="371"/>
      <c r="M35" s="379" t="s">
        <v>7</v>
      </c>
      <c r="N35" s="14" t="n">
        <f aca="false">0.0022+0.007</f>
        <v>0.0092</v>
      </c>
      <c r="O35" s="371"/>
      <c r="P35" s="398"/>
      <c r="Q35" s="371"/>
      <c r="R35" s="371"/>
      <c r="S35" s="11" t="s">
        <v>7</v>
      </c>
      <c r="T35" s="380" t="n">
        <v>0.0022</v>
      </c>
      <c r="U35" s="371"/>
      <c r="V35" s="11" t="s">
        <v>7</v>
      </c>
      <c r="W35" s="14" t="n">
        <f aca="false">0.0022</f>
        <v>0.0022</v>
      </c>
      <c r="X35" s="371"/>
      <c r="Y35" s="371"/>
      <c r="Z35" s="371"/>
      <c r="AE35" s="385"/>
      <c r="AF35" s="20" t="n">
        <f aca="false">SUM(AF32:AF34)</f>
        <v>0.104628830850847</v>
      </c>
      <c r="AH35" s="385"/>
      <c r="AI35" s="20" t="n">
        <f aca="false">SUM(AI32:AI34)</f>
        <v>0.0830774193548391</v>
      </c>
      <c r="AK35" s="385"/>
      <c r="AL35" s="20" t="n">
        <f aca="false">SUM(AL32:AL34)</f>
        <v>0.0947448979591835</v>
      </c>
      <c r="AR35" s="386" t="n">
        <f aca="false">SUM(AR33:AR34)</f>
        <v>0.431480327868853</v>
      </c>
    </row>
    <row r="36" customFormat="false" ht="12.75" hidden="false" customHeight="false" outlineLevel="0" collapsed="false">
      <c r="A36" s="15" t="n">
        <v>0.0458</v>
      </c>
      <c r="B36" s="382" t="n">
        <f aca="false">B6/(1-A36)-B6</f>
        <v>0.200632990987214</v>
      </c>
      <c r="C36" s="381"/>
      <c r="D36" s="17" t="n">
        <v>0.0042</v>
      </c>
      <c r="E36" s="16" t="n">
        <f aca="false">+E$5/(1-D36)-E$5</f>
        <v>0.0177565776260291</v>
      </c>
      <c r="F36" s="383"/>
      <c r="G36" s="15" t="n">
        <v>0.058</v>
      </c>
      <c r="H36" s="384" t="n">
        <f aca="false">(H$3)/(1-G36)-H$3</f>
        <v>0.247208067940552</v>
      </c>
      <c r="I36" s="381"/>
      <c r="J36" s="17" t="n">
        <v>0.0795</v>
      </c>
      <c r="K36" s="382" t="n">
        <f aca="false">(K$5)/(1-J36)-K$5</f>
        <v>0.347191743617599</v>
      </c>
      <c r="L36" s="381"/>
      <c r="M36" s="17" t="n">
        <v>0.0884</v>
      </c>
      <c r="N36" s="16" t="n">
        <f aca="false">(N$5)/(1-M36)-N$5</f>
        <v>0.389828872312418</v>
      </c>
      <c r="O36" s="381"/>
      <c r="P36" s="398"/>
      <c r="Q36" s="381"/>
      <c r="R36" s="381"/>
      <c r="S36" s="11" t="s">
        <v>515</v>
      </c>
      <c r="T36" s="16" t="n">
        <f aca="false">T3/(1-0.00697)-T3</f>
        <v>0.0290934312155731</v>
      </c>
      <c r="U36" s="381"/>
      <c r="V36" s="17" t="n">
        <v>0.02776</v>
      </c>
      <c r="W36" s="16" t="n">
        <f aca="false">+W$3/(1-V36)-W$3</f>
        <v>0.125346005101621</v>
      </c>
      <c r="X36" s="381"/>
      <c r="Y36" s="381"/>
      <c r="Z36" s="381"/>
      <c r="AB36" s="376" t="s">
        <v>481</v>
      </c>
      <c r="AC36" s="377" t="s">
        <v>507</v>
      </c>
      <c r="AI36" s="399" t="n">
        <f aca="false">SUM(AI35,AI3)</f>
        <v>4.38307741935484</v>
      </c>
      <c r="AL36" s="399"/>
    </row>
    <row r="37" customFormat="false" ht="12.75" hidden="false" customHeight="false" outlineLevel="0" collapsed="false">
      <c r="A37" s="13"/>
      <c r="B37" s="6" t="n">
        <f aca="false">SUM(B34:B36)</f>
        <v>0.252932990987214</v>
      </c>
      <c r="C37" s="383"/>
      <c r="D37" s="11"/>
      <c r="E37" s="20" t="n">
        <f aca="false">SUM(E34:E36)</f>
        <v>0.104656577626029</v>
      </c>
      <c r="F37" s="370"/>
      <c r="G37" s="13"/>
      <c r="H37" s="6" t="n">
        <f aca="false">SUM(H34:H36)</f>
        <v>0.368208067940552</v>
      </c>
      <c r="I37" s="383"/>
      <c r="J37" s="378"/>
      <c r="K37" s="6" t="n">
        <f aca="false">SUM(K34:K36)</f>
        <v>0.404791743617599</v>
      </c>
      <c r="L37" s="383"/>
      <c r="M37" s="379"/>
      <c r="N37" s="20" t="n">
        <f aca="false">SUM(N34:N36)</f>
        <v>1.02032887231242</v>
      </c>
      <c r="O37" s="383"/>
      <c r="P37" s="92"/>
      <c r="Q37" s="400"/>
      <c r="R37" s="383"/>
      <c r="S37" s="385"/>
      <c r="T37" s="401" t="n">
        <f aca="false">SUM(T34:T36)</f>
        <v>0.0678934312155731</v>
      </c>
      <c r="U37" s="383"/>
      <c r="V37" s="385"/>
      <c r="W37" s="20" t="n">
        <f aca="false">SUM(W34:W36)</f>
        <v>0.177546005101621</v>
      </c>
      <c r="X37" s="383"/>
      <c r="Y37" s="383"/>
      <c r="Z37" s="383"/>
      <c r="AB37" s="11" t="s">
        <v>6</v>
      </c>
      <c r="AC37" s="14" t="n">
        <v>0</v>
      </c>
      <c r="AE37" s="8" t="s">
        <v>482</v>
      </c>
      <c r="AF37" s="8" t="s">
        <v>552</v>
      </c>
      <c r="AH37" s="376" t="s">
        <v>404</v>
      </c>
      <c r="AI37" s="377" t="s">
        <v>553</v>
      </c>
      <c r="AK37" s="397"/>
      <c r="AL37" s="370"/>
      <c r="AQ37" s="8" t="s">
        <v>554</v>
      </c>
    </row>
    <row r="38" customFormat="false" ht="12.75" hidden="false" customHeight="false" outlineLevel="0" collapsed="false">
      <c r="A38" s="387" t="s">
        <v>2</v>
      </c>
      <c r="B38" s="7" t="s">
        <v>555</v>
      </c>
      <c r="C38" s="370"/>
      <c r="D38" s="374" t="s">
        <v>2</v>
      </c>
      <c r="E38" s="20" t="s">
        <v>556</v>
      </c>
      <c r="F38" s="371"/>
      <c r="G38" s="387" t="s">
        <v>471</v>
      </c>
      <c r="H38" s="396" t="s">
        <v>557</v>
      </c>
      <c r="I38" s="370"/>
      <c r="J38" s="373" t="s">
        <v>473</v>
      </c>
      <c r="K38" s="7" t="s">
        <v>549</v>
      </c>
      <c r="L38" s="370"/>
      <c r="M38" s="374" t="s">
        <v>475</v>
      </c>
      <c r="N38" s="375" t="s">
        <v>558</v>
      </c>
      <c r="O38" s="370"/>
      <c r="P38" s="397"/>
      <c r="Q38" s="370"/>
      <c r="R38" s="370"/>
      <c r="S38" s="389" t="s">
        <v>477</v>
      </c>
      <c r="T38" s="390" t="s">
        <v>559</v>
      </c>
      <c r="U38" s="370"/>
      <c r="V38" s="389"/>
      <c r="W38" s="390"/>
      <c r="X38" s="370"/>
      <c r="Y38" s="370"/>
      <c r="Z38" s="370"/>
      <c r="AB38" s="11" t="s">
        <v>7</v>
      </c>
      <c r="AC38" s="14" t="n">
        <f aca="false">0.0022+0.007</f>
        <v>0.0092</v>
      </c>
      <c r="AE38" s="11" t="s">
        <v>6</v>
      </c>
      <c r="AF38" s="14" t="n">
        <v>0.0117</v>
      </c>
      <c r="AH38" s="11" t="s">
        <v>6</v>
      </c>
      <c r="AI38" s="14" t="n">
        <f aca="false">0.04+0.004+0.0022+0.0005</f>
        <v>0.0467</v>
      </c>
      <c r="AK38" s="398"/>
      <c r="AL38" s="371"/>
      <c r="AQ38" s="8" t="s">
        <v>514</v>
      </c>
      <c r="AR38" s="8" t="n">
        <v>0.0142</v>
      </c>
    </row>
    <row r="39" customFormat="false" ht="12.75" hidden="false" customHeight="false" outlineLevel="0" collapsed="false">
      <c r="A39" s="5" t="s">
        <v>6</v>
      </c>
      <c r="B39" s="10" t="n">
        <v>0.0392</v>
      </c>
      <c r="C39" s="371"/>
      <c r="D39" s="11" t="s">
        <v>6</v>
      </c>
      <c r="E39" s="12" t="n">
        <v>0.1013</v>
      </c>
      <c r="F39" s="371"/>
      <c r="G39" s="13" t="s">
        <v>6</v>
      </c>
      <c r="H39" s="10" t="n">
        <v>0.1231</v>
      </c>
      <c r="I39" s="371"/>
      <c r="J39" s="378" t="s">
        <v>6</v>
      </c>
      <c r="K39" s="10" t="n">
        <v>0.0623</v>
      </c>
      <c r="L39" s="371"/>
      <c r="M39" s="379" t="s">
        <v>6</v>
      </c>
      <c r="N39" s="14" t="n">
        <v>0.0658</v>
      </c>
      <c r="O39" s="371"/>
      <c r="P39" s="398"/>
      <c r="Q39" s="371"/>
      <c r="R39" s="371"/>
      <c r="S39" s="11" t="s">
        <v>6</v>
      </c>
      <c r="T39" s="380" t="n">
        <v>0.1204</v>
      </c>
      <c r="U39" s="371"/>
      <c r="V39" s="11"/>
      <c r="W39" s="14"/>
      <c r="X39" s="371"/>
      <c r="Y39" s="371"/>
      <c r="Z39" s="371"/>
      <c r="AB39" s="17" t="n">
        <v>0.0105</v>
      </c>
      <c r="AC39" s="16" t="n">
        <f aca="false">+AC3/(1-0.0058)-AC3</f>
        <v>0.0379199356266344</v>
      </c>
      <c r="AE39" s="11" t="s">
        <v>7</v>
      </c>
      <c r="AF39" s="14" t="n">
        <f aca="false">0.007+0.0022</f>
        <v>0.0092</v>
      </c>
      <c r="AH39" s="11" t="s">
        <v>7</v>
      </c>
      <c r="AI39" s="14" t="n">
        <v>0</v>
      </c>
      <c r="AK39" s="398"/>
      <c r="AL39" s="371"/>
      <c r="AQ39" s="8" t="s">
        <v>7</v>
      </c>
      <c r="AR39" s="8" t="n">
        <f aca="false">0.0348-0.0312</f>
        <v>0.0036</v>
      </c>
    </row>
    <row r="40" customFormat="false" ht="12.75" hidden="false" customHeight="false" outlineLevel="0" collapsed="false">
      <c r="A40" s="5" t="s">
        <v>7</v>
      </c>
      <c r="B40" s="10" t="n">
        <f aca="false">0.0022+0.007+0.0097</f>
        <v>0.0189</v>
      </c>
      <c r="C40" s="371"/>
      <c r="D40" s="11" t="s">
        <v>7</v>
      </c>
      <c r="E40" s="12" t="n">
        <f aca="false">0.007+0.0022+0.0097</f>
        <v>0.0189</v>
      </c>
      <c r="F40" s="381"/>
      <c r="G40" s="13" t="s">
        <v>7</v>
      </c>
      <c r="H40" s="10" t="n">
        <f aca="false">0.0022+0.007</f>
        <v>0.0092</v>
      </c>
      <c r="I40" s="371"/>
      <c r="J40" s="378" t="s">
        <v>7</v>
      </c>
      <c r="K40" s="10" t="n">
        <f aca="false">0.0022+0.007</f>
        <v>0.0092</v>
      </c>
      <c r="L40" s="371"/>
      <c r="M40" s="379" t="s">
        <v>7</v>
      </c>
      <c r="N40" s="14" t="n">
        <f aca="false">0.0022</f>
        <v>0.0022</v>
      </c>
      <c r="O40" s="371"/>
      <c r="P40" s="398"/>
      <c r="Q40" s="371"/>
      <c r="R40" s="371"/>
      <c r="S40" s="11" t="s">
        <v>7</v>
      </c>
      <c r="T40" s="380" t="n">
        <v>0.0022</v>
      </c>
      <c r="U40" s="371"/>
      <c r="V40" s="11"/>
      <c r="W40" s="14"/>
      <c r="X40" s="371"/>
      <c r="Y40" s="371"/>
      <c r="Z40" s="371"/>
      <c r="AB40" s="385"/>
      <c r="AC40" s="20" t="n">
        <f aca="false">SUM(AC37:AC39)</f>
        <v>0.0471199356266344</v>
      </c>
      <c r="AE40" s="17" t="n">
        <v>0.0058</v>
      </c>
      <c r="AF40" s="16" t="n">
        <f aca="false">+AF$3/(1-AE40)-AF$3</f>
        <v>0.0241812512572928</v>
      </c>
      <c r="AH40" s="17" t="n">
        <v>0.004</v>
      </c>
      <c r="AI40" s="16" t="n">
        <f aca="false">+AI3/(1-AH40)-AI3</f>
        <v>0.0172690763052206</v>
      </c>
      <c r="AK40" s="398"/>
      <c r="AL40" s="381"/>
      <c r="AQ40" s="8" t="s">
        <v>496</v>
      </c>
      <c r="AR40" s="16" t="n">
        <f aca="false">+AN3/(1-0.024)-AN3</f>
        <v>0.106844262295082</v>
      </c>
    </row>
    <row r="41" customFormat="false" ht="12.75" hidden="false" customHeight="false" outlineLevel="0" collapsed="false">
      <c r="A41" s="15" t="n">
        <v>0.0539</v>
      </c>
      <c r="B41" s="382" t="n">
        <f aca="false">B6/(1-A41)-B6</f>
        <v>0.238137617587993</v>
      </c>
      <c r="C41" s="381"/>
      <c r="D41" s="17" t="n">
        <v>0.0086</v>
      </c>
      <c r="E41" s="16" t="n">
        <f aca="false">+E$5/(1-D41)-E$5</f>
        <v>0.0365200726245716</v>
      </c>
      <c r="F41" s="383"/>
      <c r="G41" s="15" t="n">
        <v>0.0672</v>
      </c>
      <c r="H41" s="384" t="n">
        <f aca="false">(H$3)/(1-G41)-H$3</f>
        <v>0.289245283018868</v>
      </c>
      <c r="I41" s="381"/>
      <c r="J41" s="17" t="n">
        <v>0.0884</v>
      </c>
      <c r="K41" s="382" t="n">
        <f aca="false">(K$5)/(1-J41)-K$5</f>
        <v>0.389828872312418</v>
      </c>
      <c r="L41" s="381"/>
      <c r="M41" s="17" t="n">
        <v>0.0246</v>
      </c>
      <c r="N41" s="16" t="n">
        <f aca="false">(N$4)/(1-M41)-N$4</f>
        <v>0.103403731802337</v>
      </c>
      <c r="O41" s="381"/>
      <c r="P41" s="398"/>
      <c r="Q41" s="381"/>
      <c r="R41" s="381"/>
      <c r="S41" s="11" t="s">
        <v>530</v>
      </c>
      <c r="T41" s="16" t="n">
        <f aca="false">T4/(1-0.02902)-T4</f>
        <v>0.125912137607238</v>
      </c>
      <c r="U41" s="381"/>
      <c r="V41" s="11"/>
      <c r="W41" s="16"/>
      <c r="X41" s="381"/>
      <c r="Y41" s="381"/>
      <c r="Z41" s="381"/>
      <c r="AE41" s="385"/>
      <c r="AF41" s="20" t="n">
        <f aca="false">SUM(AF38:AF40)</f>
        <v>0.0450812512572928</v>
      </c>
      <c r="AH41" s="385"/>
      <c r="AI41" s="20" t="n">
        <f aca="false">SUM(AI38:AI40)</f>
        <v>0.0639690763052206</v>
      </c>
      <c r="AK41" s="92"/>
      <c r="AL41" s="383"/>
      <c r="AR41" s="386" t="n">
        <f aca="false">SUM(AR38:AR40)</f>
        <v>0.124644262295082</v>
      </c>
    </row>
    <row r="42" customFormat="false" ht="12.75" hidden="false" customHeight="false" outlineLevel="0" collapsed="false">
      <c r="A42" s="13"/>
      <c r="B42" s="6" t="n">
        <f aca="false">SUM(B39:B41)</f>
        <v>0.296237617587993</v>
      </c>
      <c r="C42" s="383"/>
      <c r="D42" s="11"/>
      <c r="E42" s="20" t="n">
        <f aca="false">SUM(E39:E41)</f>
        <v>0.156720072624572</v>
      </c>
      <c r="F42" s="370"/>
      <c r="G42" s="13"/>
      <c r="H42" s="6" t="n">
        <f aca="false">SUM(H39:H41)</f>
        <v>0.421545283018868</v>
      </c>
      <c r="I42" s="383"/>
      <c r="J42" s="378"/>
      <c r="K42" s="6" t="n">
        <f aca="false">SUM(K39:K41)</f>
        <v>0.461328872312418</v>
      </c>
      <c r="L42" s="383"/>
      <c r="M42" s="379"/>
      <c r="N42" s="20" t="n">
        <f aca="false">SUM(N39:N41)</f>
        <v>0.171403731802337</v>
      </c>
      <c r="O42" s="383"/>
      <c r="P42" s="92"/>
      <c r="Q42" s="383"/>
      <c r="R42" s="383"/>
      <c r="S42" s="385"/>
      <c r="T42" s="20" t="n">
        <f aca="false">SUM(T39:T41)</f>
        <v>0.248512137607238</v>
      </c>
      <c r="U42" s="383"/>
      <c r="V42" s="385"/>
      <c r="W42" s="20"/>
      <c r="X42" s="383"/>
      <c r="Y42" s="383"/>
      <c r="Z42" s="383"/>
      <c r="AI42" s="402" t="n">
        <f aca="false">+AI41+AI3</f>
        <v>4.36396907630522</v>
      </c>
      <c r="AK42" s="92"/>
      <c r="AL42" s="403"/>
    </row>
    <row r="43" customFormat="false" ht="12.75" hidden="false" customHeight="false" outlineLevel="0" collapsed="false">
      <c r="A43" s="387" t="s">
        <v>2</v>
      </c>
      <c r="B43" s="7" t="s">
        <v>560</v>
      </c>
      <c r="C43" s="370"/>
      <c r="D43" s="8" t="s">
        <v>2</v>
      </c>
      <c r="E43" s="8" t="s">
        <v>561</v>
      </c>
      <c r="F43" s="371"/>
      <c r="G43" s="387" t="s">
        <v>471</v>
      </c>
      <c r="H43" s="396" t="s">
        <v>562</v>
      </c>
      <c r="I43" s="370"/>
      <c r="J43" s="373" t="s">
        <v>473</v>
      </c>
      <c r="K43" s="7" t="s">
        <v>558</v>
      </c>
      <c r="L43" s="370"/>
      <c r="M43" s="374" t="s">
        <v>475</v>
      </c>
      <c r="N43" s="375" t="s">
        <v>563</v>
      </c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404"/>
      <c r="Z43" s="404"/>
      <c r="AH43" s="8" t="s">
        <v>564</v>
      </c>
    </row>
    <row r="44" customFormat="false" ht="12.75" hidden="false" customHeight="false" outlineLevel="0" collapsed="false">
      <c r="A44" s="5" t="s">
        <v>6</v>
      </c>
      <c r="B44" s="10" t="n">
        <v>0.0035</v>
      </c>
      <c r="C44" s="371"/>
      <c r="D44" s="11" t="s">
        <v>6</v>
      </c>
      <c r="E44" s="12" t="n">
        <v>0.2244</v>
      </c>
      <c r="F44" s="371"/>
      <c r="G44" s="13" t="s">
        <v>6</v>
      </c>
      <c r="H44" s="10" t="n">
        <v>0.1608</v>
      </c>
      <c r="I44" s="371"/>
      <c r="J44" s="378" t="s">
        <v>6</v>
      </c>
      <c r="K44" s="10" t="n">
        <v>0.0059</v>
      </c>
      <c r="L44" s="371"/>
      <c r="M44" s="379" t="s">
        <v>6</v>
      </c>
      <c r="N44" s="14" t="n">
        <v>0.2477</v>
      </c>
      <c r="O44" s="371"/>
      <c r="P44" s="397"/>
      <c r="Q44" s="370"/>
      <c r="R44" s="371"/>
      <c r="S44" s="389" t="s">
        <v>477</v>
      </c>
      <c r="T44" s="390" t="s">
        <v>565</v>
      </c>
      <c r="U44" s="371"/>
      <c r="V44" s="389"/>
      <c r="W44" s="390"/>
      <c r="X44" s="371"/>
      <c r="Y44" s="371"/>
      <c r="Z44" s="371"/>
      <c r="AQ44" s="8" t="s">
        <v>566</v>
      </c>
    </row>
    <row r="45" customFormat="false" ht="12.75" hidden="false" customHeight="false" outlineLevel="0" collapsed="false">
      <c r="A45" s="5" t="s">
        <v>7</v>
      </c>
      <c r="B45" s="10" t="n">
        <f aca="false">0.0022+0.007+0.0097</f>
        <v>0.0189</v>
      </c>
      <c r="C45" s="371"/>
      <c r="D45" s="11" t="s">
        <v>7</v>
      </c>
      <c r="E45" s="12" t="n">
        <f aca="false">0.007+0.0022+0.0097</f>
        <v>0.0189</v>
      </c>
      <c r="F45" s="381"/>
      <c r="G45" s="13" t="s">
        <v>7</v>
      </c>
      <c r="H45" s="10" t="n">
        <f aca="false">0.0022+0.007</f>
        <v>0.0092</v>
      </c>
      <c r="I45" s="371"/>
      <c r="J45" s="378" t="s">
        <v>7</v>
      </c>
      <c r="K45" s="10" t="n">
        <f aca="false">0.0022</f>
        <v>0.0022</v>
      </c>
      <c r="L45" s="371"/>
      <c r="M45" s="379" t="s">
        <v>7</v>
      </c>
      <c r="N45" s="14" t="n">
        <f aca="false">0.0022+0.007</f>
        <v>0.0092</v>
      </c>
      <c r="O45" s="371"/>
      <c r="P45" s="398"/>
      <c r="Q45" s="371"/>
      <c r="R45" s="371"/>
      <c r="S45" s="11" t="s">
        <v>6</v>
      </c>
      <c r="T45" s="14" t="n">
        <v>0.03</v>
      </c>
      <c r="U45" s="371"/>
      <c r="V45" s="11"/>
      <c r="W45" s="14"/>
      <c r="X45" s="371"/>
      <c r="Y45" s="371"/>
      <c r="Z45" s="371"/>
      <c r="AH45" s="405" t="n">
        <v>36982</v>
      </c>
      <c r="AK45" s="405"/>
      <c r="AQ45" s="8" t="s">
        <v>514</v>
      </c>
      <c r="AR45" s="8" t="n">
        <v>0.0142</v>
      </c>
    </row>
    <row r="46" customFormat="false" ht="12.75" hidden="false" customHeight="false" outlineLevel="0" collapsed="false">
      <c r="A46" s="15" t="n">
        <v>0.0042</v>
      </c>
      <c r="B46" s="382" t="n">
        <f aca="false">B4/(1-A46)-B4</f>
        <v>0.0179463747740511</v>
      </c>
      <c r="C46" s="381"/>
      <c r="D46" s="17" t="n">
        <v>0.0275</v>
      </c>
      <c r="E46" s="16" t="n">
        <f aca="false">+E$5/(1-D46)-E$5</f>
        <v>0.11904884318766</v>
      </c>
      <c r="F46" s="383"/>
      <c r="G46" s="15" t="n">
        <v>0.0742</v>
      </c>
      <c r="H46" s="384" t="n">
        <f aca="false">(H$3)/(1-G46)-H$3</f>
        <v>0.321789803413265</v>
      </c>
      <c r="I46" s="381"/>
      <c r="J46" s="17" t="n">
        <v>0.0246</v>
      </c>
      <c r="K46" s="406" t="n">
        <f aca="false">(K$4)/(1-J46)-K$4</f>
        <v>0.103403731802337</v>
      </c>
      <c r="L46" s="381"/>
      <c r="M46" s="17" t="n">
        <v>0.0602</v>
      </c>
      <c r="N46" s="16" t="n">
        <f aca="false">(N$4)/(1-M46)-N$4</f>
        <v>0.262630346882315</v>
      </c>
      <c r="O46" s="381"/>
      <c r="P46" s="398"/>
      <c r="Q46" s="371"/>
      <c r="R46" s="381"/>
      <c r="S46" s="11" t="s">
        <v>7</v>
      </c>
      <c r="T46" s="14" t="n">
        <v>0.0022</v>
      </c>
      <c r="U46" s="381"/>
      <c r="V46" s="11"/>
      <c r="W46" s="14"/>
      <c r="X46" s="381"/>
      <c r="Y46" s="381"/>
      <c r="Z46" s="381"/>
      <c r="AH46" s="407" t="s">
        <v>567</v>
      </c>
      <c r="AI46" s="408" t="n">
        <v>0.004</v>
      </c>
      <c r="AK46" s="407"/>
      <c r="AL46" s="408"/>
      <c r="AQ46" s="8" t="s">
        <v>7</v>
      </c>
      <c r="AR46" s="8" t="n">
        <f aca="false">0.0348-0.0312</f>
        <v>0.0036</v>
      </c>
    </row>
    <row r="47" customFormat="false" ht="12.75" hidden="false" customHeight="false" outlineLevel="0" collapsed="false">
      <c r="A47" s="13"/>
      <c r="B47" s="6" t="n">
        <f aca="false">SUM(B44:B46)</f>
        <v>0.0403463747740512</v>
      </c>
      <c r="C47" s="383"/>
      <c r="D47" s="11"/>
      <c r="E47" s="20" t="n">
        <f aca="false">SUM(E44:E46)</f>
        <v>0.36234884318766</v>
      </c>
      <c r="F47" s="404"/>
      <c r="G47" s="13"/>
      <c r="H47" s="6" t="n">
        <f aca="false">SUM(H44:H46)</f>
        <v>0.491789803413265</v>
      </c>
      <c r="I47" s="383"/>
      <c r="J47" s="378"/>
      <c r="K47" s="6" t="n">
        <f aca="false">SUM(K44:K46)</f>
        <v>0.111503731802337</v>
      </c>
      <c r="L47" s="383"/>
      <c r="M47" s="379"/>
      <c r="N47" s="20" t="n">
        <f aca="false">SUM(N44:N46)</f>
        <v>0.519530346882316</v>
      </c>
      <c r="O47" s="383"/>
      <c r="P47" s="398"/>
      <c r="Q47" s="381"/>
      <c r="R47" s="383"/>
      <c r="S47" s="11" t="s">
        <v>515</v>
      </c>
      <c r="T47" s="16" t="n">
        <f aca="false">T3/(1-0.00697)-T3</f>
        <v>0.0290934312155731</v>
      </c>
      <c r="U47" s="383"/>
      <c r="V47" s="11"/>
      <c r="W47" s="16"/>
      <c r="X47" s="383"/>
      <c r="Y47" s="383"/>
      <c r="Z47" s="383"/>
      <c r="AH47" s="8" t="s">
        <v>568</v>
      </c>
      <c r="AI47" s="408" t="n">
        <v>0.008</v>
      </c>
      <c r="AL47" s="408"/>
      <c r="AQ47" s="8" t="s">
        <v>496</v>
      </c>
      <c r="AR47" s="16" t="n">
        <f aca="false">+AP3/(1-0.024)-AP3</f>
        <v>0.101680327868853</v>
      </c>
    </row>
    <row r="48" customFormat="false" ht="12.75" hidden="false" customHeight="false" outlineLevel="0" collapsed="false">
      <c r="A48" s="409" t="s">
        <v>2</v>
      </c>
      <c r="B48" s="7" t="s">
        <v>569</v>
      </c>
      <c r="C48" s="370"/>
      <c r="D48" s="374" t="s">
        <v>2</v>
      </c>
      <c r="E48" s="20" t="s">
        <v>570</v>
      </c>
      <c r="F48" s="371"/>
      <c r="G48" s="387" t="s">
        <v>471</v>
      </c>
      <c r="H48" s="388" t="s">
        <v>571</v>
      </c>
      <c r="I48" s="404"/>
      <c r="J48" s="373" t="s">
        <v>473</v>
      </c>
      <c r="K48" s="7" t="s">
        <v>572</v>
      </c>
      <c r="L48" s="404"/>
      <c r="M48" s="374" t="s">
        <v>475</v>
      </c>
      <c r="N48" s="375" t="s">
        <v>573</v>
      </c>
      <c r="O48" s="404"/>
      <c r="P48" s="92"/>
      <c r="Q48" s="383"/>
      <c r="R48" s="370"/>
      <c r="S48" s="385"/>
      <c r="T48" s="20" t="n">
        <f aca="false">SUM(T45:T47)</f>
        <v>0.0612934312155731</v>
      </c>
      <c r="U48" s="370"/>
      <c r="V48" s="385"/>
      <c r="W48" s="20"/>
      <c r="X48" s="370"/>
      <c r="Y48" s="404"/>
      <c r="Z48" s="404"/>
      <c r="AH48" s="8" t="s">
        <v>574</v>
      </c>
      <c r="AI48" s="408" t="n">
        <v>0.004</v>
      </c>
      <c r="AL48" s="408"/>
      <c r="AR48" s="386" t="n">
        <f aca="false">SUM(AR45:AR47)</f>
        <v>0.119480327868853</v>
      </c>
    </row>
    <row r="49" customFormat="false" ht="12.75" hidden="false" customHeight="false" outlineLevel="0" collapsed="false">
      <c r="A49" s="387" t="s">
        <v>6</v>
      </c>
      <c r="B49" s="10" t="n">
        <v>0.0066</v>
      </c>
      <c r="C49" s="371"/>
      <c r="D49" s="11" t="s">
        <v>6</v>
      </c>
      <c r="E49" s="12" t="n">
        <v>0.0774</v>
      </c>
      <c r="F49" s="371"/>
      <c r="G49" s="5" t="s">
        <v>6</v>
      </c>
      <c r="H49" s="10" t="n">
        <v>0.0286</v>
      </c>
      <c r="I49" s="371"/>
      <c r="J49" s="378" t="s">
        <v>6</v>
      </c>
      <c r="K49" s="10" t="n">
        <v>0.0103</v>
      </c>
      <c r="L49" s="371"/>
      <c r="M49" s="379" t="s">
        <v>6</v>
      </c>
      <c r="N49" s="14" t="n">
        <v>0.3898</v>
      </c>
      <c r="O49" s="371"/>
      <c r="P49" s="92"/>
      <c r="Q49" s="383"/>
      <c r="R49" s="371"/>
      <c r="S49" s="385"/>
      <c r="T49" s="20"/>
      <c r="U49" s="371"/>
      <c r="V49" s="385"/>
      <c r="W49" s="20"/>
      <c r="X49" s="371"/>
      <c r="Y49" s="371"/>
      <c r="Z49" s="371"/>
      <c r="AL49" s="408"/>
    </row>
    <row r="50" customFormat="false" ht="12.75" hidden="false" customHeight="false" outlineLevel="0" collapsed="false">
      <c r="A50" s="5" t="s">
        <v>7</v>
      </c>
      <c r="B50" s="10" t="n">
        <v>0.0022</v>
      </c>
      <c r="C50" s="371"/>
      <c r="D50" s="11" t="s">
        <v>7</v>
      </c>
      <c r="E50" s="12" t="n">
        <f aca="false">0.007+0.0022+0.0097</f>
        <v>0.0189</v>
      </c>
      <c r="F50" s="381"/>
      <c r="G50" s="5" t="s">
        <v>7</v>
      </c>
      <c r="H50" s="10" t="n">
        <f aca="false">0.0022+0.007+0.0225</f>
        <v>0.0317</v>
      </c>
      <c r="I50" s="371"/>
      <c r="J50" s="378" t="s">
        <v>7</v>
      </c>
      <c r="K50" s="10" t="n">
        <f aca="false">0.0022+0.007</f>
        <v>0.0092</v>
      </c>
      <c r="L50" s="371"/>
      <c r="M50" s="379" t="s">
        <v>7</v>
      </c>
      <c r="N50" s="14" t="n">
        <f aca="false">0.0022+0.007</f>
        <v>0.0092</v>
      </c>
      <c r="O50" s="371"/>
      <c r="P50" s="397"/>
      <c r="Q50" s="370"/>
      <c r="R50" s="371"/>
      <c r="S50" s="389" t="s">
        <v>477</v>
      </c>
      <c r="T50" s="390" t="s">
        <v>575</v>
      </c>
      <c r="U50" s="371"/>
      <c r="V50" s="389"/>
      <c r="W50" s="390"/>
      <c r="X50" s="371"/>
      <c r="Y50" s="371"/>
      <c r="Z50" s="371"/>
      <c r="AH50" s="405" t="n">
        <v>36951</v>
      </c>
      <c r="AK50" s="405"/>
    </row>
    <row r="51" customFormat="false" ht="12.75" hidden="false" customHeight="false" outlineLevel="0" collapsed="false">
      <c r="A51" s="15" t="n">
        <v>0.0086</v>
      </c>
      <c r="B51" s="382" t="n">
        <f aca="false">B$5/(1-A51)-B$5</f>
        <v>0.0365200726245716</v>
      </c>
      <c r="C51" s="381"/>
      <c r="D51" s="17" t="n">
        <v>0.0044</v>
      </c>
      <c r="E51" s="16" t="n">
        <f aca="false">(E$4)/(1-D51)-E$4</f>
        <v>0.0188047408597827</v>
      </c>
      <c r="F51" s="383"/>
      <c r="G51" s="15" t="n">
        <v>0.0095</v>
      </c>
      <c r="H51" s="382" t="n">
        <f aca="false">(H$4)/(1-G51)-H$4</f>
        <v>0.0390358404846038</v>
      </c>
      <c r="I51" s="381"/>
      <c r="J51" s="17" t="n">
        <v>0.0318</v>
      </c>
      <c r="K51" s="406" t="n">
        <f aca="false">(K$4)/(1-J51)-K$4</f>
        <v>0.134662259863664</v>
      </c>
      <c r="L51" s="381"/>
      <c r="M51" s="17" t="n">
        <v>0.0734</v>
      </c>
      <c r="N51" s="16" t="n">
        <f aca="false">(N$4)/(1-M51)-N$4</f>
        <v>0.324778761061947</v>
      </c>
      <c r="O51" s="381"/>
      <c r="P51" s="398"/>
      <c r="Q51" s="371"/>
      <c r="R51" s="381"/>
      <c r="S51" s="11" t="s">
        <v>6</v>
      </c>
      <c r="T51" s="14" t="n">
        <v>0.03</v>
      </c>
      <c r="U51" s="381"/>
      <c r="V51" s="11"/>
      <c r="W51" s="14"/>
      <c r="X51" s="381"/>
      <c r="Y51" s="381"/>
      <c r="Z51" s="381"/>
      <c r="AH51" s="407" t="s">
        <v>567</v>
      </c>
      <c r="AI51" s="408" t="n">
        <v>0.005</v>
      </c>
      <c r="AK51" s="407"/>
      <c r="AL51" s="408"/>
    </row>
    <row r="52" customFormat="false" ht="12.75" hidden="false" customHeight="false" outlineLevel="0" collapsed="false">
      <c r="A52" s="5"/>
      <c r="B52" s="6" t="n">
        <f aca="false">SUM(B49:B51)</f>
        <v>0.0453200726245716</v>
      </c>
      <c r="C52" s="383"/>
      <c r="D52" s="11"/>
      <c r="E52" s="20" t="n">
        <f aca="false">SUM(E49:E51)</f>
        <v>0.115104740859783</v>
      </c>
      <c r="F52" s="404"/>
      <c r="G52" s="13"/>
      <c r="H52" s="6" t="n">
        <f aca="false">SUM(H49:H51)</f>
        <v>0.0993358404846038</v>
      </c>
      <c r="I52" s="383"/>
      <c r="J52" s="378"/>
      <c r="K52" s="6" t="n">
        <f aca="false">SUM(K49:K51)</f>
        <v>0.154162259863664</v>
      </c>
      <c r="L52" s="383"/>
      <c r="M52" s="379"/>
      <c r="N52" s="20" t="n">
        <f aca="false">SUM(N49:N51)</f>
        <v>0.723778761061947</v>
      </c>
      <c r="O52" s="383"/>
      <c r="P52" s="398"/>
      <c r="Q52" s="371"/>
      <c r="R52" s="383"/>
      <c r="S52" s="11" t="s">
        <v>7</v>
      </c>
      <c r="T52" s="14" t="n">
        <v>0.0022</v>
      </c>
      <c r="U52" s="383"/>
      <c r="V52" s="11"/>
      <c r="W52" s="14"/>
      <c r="X52" s="383"/>
      <c r="Y52" s="383"/>
      <c r="Z52" s="383"/>
      <c r="AH52" s="8" t="s">
        <v>568</v>
      </c>
      <c r="AI52" s="408" t="n">
        <v>0.01</v>
      </c>
      <c r="AL52" s="408"/>
    </row>
    <row r="53" customFormat="false" ht="12.75" hidden="false" customHeight="false" outlineLevel="0" collapsed="false">
      <c r="A53" s="13" t="s">
        <v>2</v>
      </c>
      <c r="B53" s="7" t="s">
        <v>576</v>
      </c>
      <c r="C53" s="404"/>
      <c r="D53" s="8" t="s">
        <v>2</v>
      </c>
      <c r="E53" s="8" t="s">
        <v>577</v>
      </c>
      <c r="F53" s="371"/>
      <c r="G53" s="387" t="s">
        <v>471</v>
      </c>
      <c r="H53" s="388" t="s">
        <v>578</v>
      </c>
      <c r="I53" s="404"/>
      <c r="J53" s="373" t="s">
        <v>473</v>
      </c>
      <c r="K53" s="7" t="s">
        <v>563</v>
      </c>
      <c r="L53" s="404"/>
      <c r="M53" s="374" t="s">
        <v>475</v>
      </c>
      <c r="N53" s="375" t="s">
        <v>579</v>
      </c>
      <c r="O53" s="404"/>
      <c r="P53" s="398"/>
      <c r="Q53" s="381"/>
      <c r="R53" s="404"/>
      <c r="S53" s="11" t="s">
        <v>530</v>
      </c>
      <c r="T53" s="16" t="n">
        <f aca="false">T4/(1-0.02902)-T4</f>
        <v>0.125912137607238</v>
      </c>
      <c r="U53" s="404"/>
      <c r="V53" s="11"/>
      <c r="W53" s="16"/>
      <c r="X53" s="404"/>
      <c r="Y53" s="370"/>
      <c r="Z53" s="370"/>
      <c r="AH53" s="8" t="s">
        <v>574</v>
      </c>
      <c r="AI53" s="408" t="n">
        <v>0.005</v>
      </c>
      <c r="AL53" s="408"/>
    </row>
    <row r="54" customFormat="false" ht="12.75" hidden="false" customHeight="false" outlineLevel="0" collapsed="false">
      <c r="A54" s="13" t="s">
        <v>6</v>
      </c>
      <c r="B54" s="10" t="n">
        <v>0.0201</v>
      </c>
      <c r="C54" s="371"/>
      <c r="D54" s="11" t="s">
        <v>6</v>
      </c>
      <c r="E54" s="12" t="n">
        <v>0.2005</v>
      </c>
      <c r="F54" s="371"/>
      <c r="G54" s="5" t="s">
        <v>6</v>
      </c>
      <c r="H54" s="10" t="n">
        <v>0.0572</v>
      </c>
      <c r="I54" s="371"/>
      <c r="J54" s="378" t="s">
        <v>6</v>
      </c>
      <c r="K54" s="10" t="n">
        <v>0.0244</v>
      </c>
      <c r="L54" s="371"/>
      <c r="M54" s="379" t="s">
        <v>6</v>
      </c>
      <c r="N54" s="14" t="n">
        <v>0.4869</v>
      </c>
      <c r="O54" s="371"/>
      <c r="P54" s="92"/>
      <c r="Q54" s="383"/>
      <c r="R54" s="371"/>
      <c r="S54" s="385"/>
      <c r="T54" s="20" t="n">
        <f aca="false">SUM(T51:T53)</f>
        <v>0.158112137607238</v>
      </c>
      <c r="U54" s="371"/>
      <c r="V54" s="385"/>
      <c r="W54" s="20"/>
      <c r="X54" s="371"/>
      <c r="Y54" s="371"/>
      <c r="Z54" s="371"/>
      <c r="AL54" s="408"/>
    </row>
    <row r="55" customFormat="false" ht="12.75" hidden="false" customHeight="false" outlineLevel="0" collapsed="false">
      <c r="A55" s="387" t="s">
        <v>7</v>
      </c>
      <c r="B55" s="10" t="n">
        <f aca="false">0.0022+0.007+0.0097</f>
        <v>0.0189</v>
      </c>
      <c r="C55" s="371"/>
      <c r="D55" s="11" t="s">
        <v>7</v>
      </c>
      <c r="E55" s="12" t="n">
        <f aca="false">0.007+0.0022+0.0097</f>
        <v>0.0189</v>
      </c>
      <c r="F55" s="381"/>
      <c r="G55" s="5" t="s">
        <v>7</v>
      </c>
      <c r="H55" s="10" t="n">
        <f aca="false">0.0022+0.007+0.0225</f>
        <v>0.0317</v>
      </c>
      <c r="I55" s="371"/>
      <c r="J55" s="378" t="s">
        <v>7</v>
      </c>
      <c r="K55" s="10" t="n">
        <f aca="false">0.0022+0.007</f>
        <v>0.0092</v>
      </c>
      <c r="L55" s="371"/>
      <c r="M55" s="379" t="s">
        <v>7</v>
      </c>
      <c r="N55" s="14" t="n">
        <f aca="false">0.0022+0.007</f>
        <v>0.0092</v>
      </c>
      <c r="O55" s="371"/>
      <c r="P55" s="370"/>
      <c r="Q55" s="383"/>
      <c r="R55" s="371"/>
      <c r="S55" s="370"/>
      <c r="T55" s="383" t="n">
        <f aca="false">+T54+T48</f>
        <v>0.219405568822811</v>
      </c>
      <c r="U55" s="371"/>
      <c r="V55" s="370"/>
      <c r="W55" s="383"/>
      <c r="X55" s="371"/>
      <c r="Y55" s="371"/>
      <c r="Z55" s="371"/>
      <c r="AH55" s="405" t="n">
        <v>36923</v>
      </c>
      <c r="AK55" s="405"/>
    </row>
    <row r="56" customFormat="false" ht="12.75" hidden="false" customHeight="false" outlineLevel="0" collapsed="false">
      <c r="A56" s="15" t="n">
        <v>0.0275</v>
      </c>
      <c r="B56" s="382" t="n">
        <f aca="false">B$5/(1-A56)-B$5</f>
        <v>0.11904884318766</v>
      </c>
      <c r="C56" s="381"/>
      <c r="D56" s="17" t="n">
        <v>0.0233</v>
      </c>
      <c r="E56" s="16" t="n">
        <f aca="false">(E$4)/(1-D56)-E$4</f>
        <v>0.101506603870175</v>
      </c>
      <c r="F56" s="383"/>
      <c r="G56" s="15" t="n">
        <v>0.017</v>
      </c>
      <c r="H56" s="382" t="n">
        <f aca="false">(H$4)/(1-G56)-H$4</f>
        <v>0.0703865717192267</v>
      </c>
      <c r="I56" s="381"/>
      <c r="J56" s="17" t="n">
        <v>0.0602</v>
      </c>
      <c r="K56" s="406" t="n">
        <f aca="false">(K$4)/(1-J56)-K$4</f>
        <v>0.262630346882315</v>
      </c>
      <c r="L56" s="381"/>
      <c r="M56" s="17" t="n">
        <v>0.0823</v>
      </c>
      <c r="N56" s="16" t="n">
        <f aca="false">(N$4)/(1-M56)-N$4</f>
        <v>0.367690966546802</v>
      </c>
      <c r="O56" s="381"/>
      <c r="P56" s="397"/>
      <c r="Q56" s="370"/>
      <c r="R56" s="381"/>
      <c r="S56" s="376" t="s">
        <v>9</v>
      </c>
      <c r="T56" s="377" t="s">
        <v>9</v>
      </c>
      <c r="U56" s="381"/>
      <c r="V56" s="376"/>
      <c r="W56" s="377"/>
      <c r="X56" s="381"/>
      <c r="Y56" s="381"/>
      <c r="Z56" s="381"/>
      <c r="AH56" s="407" t="s">
        <v>567</v>
      </c>
      <c r="AI56" s="408" t="n">
        <v>0.005</v>
      </c>
      <c r="AK56" s="407"/>
      <c r="AL56" s="408"/>
    </row>
    <row r="57" customFormat="false" ht="12.75" hidden="false" customHeight="false" outlineLevel="0" collapsed="false">
      <c r="A57" s="5"/>
      <c r="B57" s="6" t="n">
        <f aca="false">SUM(B54:B56)</f>
        <v>0.15804884318766</v>
      </c>
      <c r="C57" s="383"/>
      <c r="D57" s="11"/>
      <c r="E57" s="20" t="n">
        <f aca="false">SUM(E54:E56)</f>
        <v>0.320906603870175</v>
      </c>
      <c r="F57" s="370"/>
      <c r="G57" s="13"/>
      <c r="H57" s="6" t="n">
        <f aca="false">SUM(H54:H56)</f>
        <v>0.159286571719227</v>
      </c>
      <c r="I57" s="383"/>
      <c r="J57" s="378"/>
      <c r="K57" s="6" t="n">
        <f aca="false">SUM(K54:K56)</f>
        <v>0.296230346882316</v>
      </c>
      <c r="L57" s="383"/>
      <c r="M57" s="379"/>
      <c r="N57" s="20" t="n">
        <f aca="false">SUM(N54:N56)</f>
        <v>0.863790966546802</v>
      </c>
      <c r="O57" s="383"/>
      <c r="P57" s="398"/>
      <c r="Q57" s="371"/>
      <c r="R57" s="383"/>
      <c r="S57" s="11"/>
      <c r="T57" s="14" t="s">
        <v>9</v>
      </c>
      <c r="U57" s="383"/>
      <c r="V57" s="11"/>
      <c r="W57" s="14"/>
      <c r="X57" s="383"/>
      <c r="Y57" s="383"/>
      <c r="Z57" s="383"/>
      <c r="AH57" s="8" t="s">
        <v>568</v>
      </c>
      <c r="AI57" s="408" t="n">
        <v>0.01</v>
      </c>
      <c r="AL57" s="408"/>
    </row>
    <row r="58" customFormat="false" ht="12.75" hidden="false" customHeight="false" outlineLevel="0" collapsed="false">
      <c r="A58" s="13" t="s">
        <v>2</v>
      </c>
      <c r="B58" s="7" t="s">
        <v>580</v>
      </c>
      <c r="C58" s="404"/>
      <c r="D58" s="8" t="s">
        <v>2</v>
      </c>
      <c r="E58" s="8" t="s">
        <v>581</v>
      </c>
      <c r="F58" s="371"/>
      <c r="G58" s="387" t="s">
        <v>471</v>
      </c>
      <c r="H58" s="388" t="s">
        <v>582</v>
      </c>
      <c r="I58" s="370"/>
      <c r="J58" s="373" t="s">
        <v>473</v>
      </c>
      <c r="K58" s="7" t="s">
        <v>573</v>
      </c>
      <c r="L58" s="370"/>
      <c r="M58" s="374" t="s">
        <v>475</v>
      </c>
      <c r="N58" s="375" t="s">
        <v>583</v>
      </c>
      <c r="O58" s="370"/>
      <c r="P58" s="398"/>
      <c r="Q58" s="371"/>
      <c r="R58" s="404"/>
      <c r="S58" s="11"/>
      <c r="T58" s="14"/>
      <c r="U58" s="404"/>
      <c r="V58" s="11"/>
      <c r="W58" s="14"/>
      <c r="X58" s="404"/>
      <c r="Y58" s="370"/>
      <c r="Z58" s="370"/>
      <c r="AH58" s="8" t="s">
        <v>574</v>
      </c>
      <c r="AI58" s="408" t="n">
        <v>0.005</v>
      </c>
      <c r="AL58" s="408"/>
    </row>
    <row r="59" customFormat="false" ht="12.75" hidden="false" customHeight="false" outlineLevel="0" collapsed="false">
      <c r="A59" s="13" t="s">
        <v>6</v>
      </c>
      <c r="B59" s="10" t="n">
        <v>0.0309</v>
      </c>
      <c r="C59" s="371"/>
      <c r="D59" s="11" t="s">
        <v>6</v>
      </c>
      <c r="E59" s="12" t="n">
        <v>0.3421</v>
      </c>
      <c r="F59" s="371"/>
      <c r="G59" s="5" t="s">
        <v>6</v>
      </c>
      <c r="H59" s="10" t="n">
        <v>0.0776</v>
      </c>
      <c r="I59" s="371"/>
      <c r="J59" s="378" t="s">
        <v>6</v>
      </c>
      <c r="K59" s="10" t="n">
        <v>0.0447</v>
      </c>
      <c r="L59" s="371"/>
      <c r="M59" s="379" t="s">
        <v>6</v>
      </c>
      <c r="N59" s="14" t="n">
        <v>0.0953</v>
      </c>
      <c r="O59" s="371"/>
      <c r="P59" s="398"/>
      <c r="Q59" s="381"/>
      <c r="R59" s="371"/>
      <c r="S59" s="11"/>
      <c r="T59" s="16"/>
      <c r="U59" s="371"/>
      <c r="V59" s="11"/>
      <c r="W59" s="16"/>
      <c r="X59" s="371"/>
      <c r="Y59" s="371"/>
      <c r="Z59" s="371"/>
      <c r="AL59" s="408"/>
    </row>
    <row r="60" customFormat="false" ht="12.75" hidden="false" customHeight="false" outlineLevel="0" collapsed="false">
      <c r="A60" s="387" t="s">
        <v>7</v>
      </c>
      <c r="B60" s="10" t="n">
        <f aca="false">0.0022+0.007+0.0097</f>
        <v>0.0189</v>
      </c>
      <c r="C60" s="371"/>
      <c r="D60" s="11" t="s">
        <v>7</v>
      </c>
      <c r="E60" s="12" t="n">
        <f aca="false">0.0097+0.007+0.0022</f>
        <v>0.0189</v>
      </c>
      <c r="F60" s="381"/>
      <c r="G60" s="5" t="s">
        <v>7</v>
      </c>
      <c r="H60" s="10" t="n">
        <f aca="false">0.0022+0.007</f>
        <v>0.0092</v>
      </c>
      <c r="I60" s="371"/>
      <c r="J60" s="378" t="s">
        <v>7</v>
      </c>
      <c r="K60" s="10" t="n">
        <f aca="false">0.0022+0.007</f>
        <v>0.0092</v>
      </c>
      <c r="L60" s="371"/>
      <c r="M60" s="379" t="s">
        <v>7</v>
      </c>
      <c r="N60" s="14" t="n">
        <f aca="false">0.0022+0.007</f>
        <v>0.0092</v>
      </c>
      <c r="O60" s="371"/>
      <c r="P60" s="92"/>
      <c r="Q60" s="383"/>
      <c r="R60" s="371"/>
      <c r="S60" s="385" t="s">
        <v>9</v>
      </c>
      <c r="T60" s="20" t="s">
        <v>9</v>
      </c>
      <c r="U60" s="371"/>
      <c r="V60" s="385"/>
      <c r="W60" s="20"/>
      <c r="X60" s="371"/>
      <c r="Y60" s="371"/>
      <c r="Z60" s="371"/>
      <c r="AH60" s="405" t="n">
        <v>36892</v>
      </c>
      <c r="AK60" s="405"/>
    </row>
    <row r="61" customFormat="false" ht="12.75" hidden="false" customHeight="false" outlineLevel="0" collapsed="false">
      <c r="A61" s="15" t="n">
        <v>0.0423</v>
      </c>
      <c r="B61" s="382" t="n">
        <f aca="false">B$5/(1-A61)-B$5</f>
        <v>0.185948626918659</v>
      </c>
      <c r="C61" s="381"/>
      <c r="D61" s="17" t="n">
        <v>0.0462</v>
      </c>
      <c r="E61" s="16" t="n">
        <f aca="false">(E$4)/(1-D61)-E$4</f>
        <v>0.206102956594674</v>
      </c>
      <c r="F61" s="383"/>
      <c r="G61" s="15" t="n">
        <v>0.0369</v>
      </c>
      <c r="H61" s="382" t="n">
        <f aca="false">(H$4)/(1-G61)-H$4</f>
        <v>0.155937078185028</v>
      </c>
      <c r="I61" s="381"/>
      <c r="J61" s="17" t="n">
        <v>0.0734</v>
      </c>
      <c r="K61" s="406" t="n">
        <f aca="false">(K$4)/(1-J61)-K$4</f>
        <v>0.324778761061947</v>
      </c>
      <c r="L61" s="381"/>
      <c r="M61" s="17" t="n">
        <v>0.0291</v>
      </c>
      <c r="N61" s="16" t="n">
        <f aca="false">(N$3)/(1-M61)-N$3</f>
        <v>0.123485425893501</v>
      </c>
      <c r="O61" s="381"/>
      <c r="P61" s="397"/>
      <c r="Q61" s="370"/>
      <c r="R61" s="381"/>
      <c r="S61" s="389" t="s">
        <v>9</v>
      </c>
      <c r="T61" s="390" t="s">
        <v>9</v>
      </c>
      <c r="U61" s="381"/>
      <c r="V61" s="389"/>
      <c r="W61" s="390"/>
      <c r="X61" s="381"/>
      <c r="Y61" s="381"/>
      <c r="Z61" s="381"/>
      <c r="AH61" s="407" t="s">
        <v>567</v>
      </c>
      <c r="AI61" s="408" t="n">
        <v>0.005</v>
      </c>
      <c r="AK61" s="407"/>
      <c r="AL61" s="408"/>
    </row>
    <row r="62" customFormat="false" ht="12.75" hidden="false" customHeight="false" outlineLevel="0" collapsed="false">
      <c r="A62" s="5"/>
      <c r="B62" s="6" t="n">
        <f aca="false">SUM(B59:B61)</f>
        <v>0.235748626918659</v>
      </c>
      <c r="C62" s="383"/>
      <c r="D62" s="11"/>
      <c r="E62" s="20" t="n">
        <f aca="false">SUM(E59:E61)</f>
        <v>0.567102956594674</v>
      </c>
      <c r="F62" s="370"/>
      <c r="G62" s="13"/>
      <c r="H62" s="6" t="n">
        <f aca="false">SUM(H59:H61)</f>
        <v>0.242737078185028</v>
      </c>
      <c r="I62" s="383"/>
      <c r="J62" s="378"/>
      <c r="K62" s="6" t="n">
        <f aca="false">SUM(K59:K61)</f>
        <v>0.378678761061947</v>
      </c>
      <c r="L62" s="383"/>
      <c r="M62" s="379"/>
      <c r="N62" s="20" t="n">
        <f aca="false">SUM(N59:N61)</f>
        <v>0.227985425893501</v>
      </c>
      <c r="O62" s="383"/>
      <c r="P62" s="398"/>
      <c r="Q62" s="371"/>
      <c r="R62" s="383"/>
      <c r="S62" s="11" t="s">
        <v>9</v>
      </c>
      <c r="T62" s="14" t="s">
        <v>9</v>
      </c>
      <c r="U62" s="383"/>
      <c r="V62" s="11"/>
      <c r="W62" s="14"/>
      <c r="X62" s="383"/>
      <c r="Y62" s="383"/>
      <c r="Z62" s="383"/>
      <c r="AH62" s="8" t="s">
        <v>568</v>
      </c>
      <c r="AI62" s="408" t="n">
        <v>0.01</v>
      </c>
      <c r="AL62" s="408"/>
    </row>
    <row r="63" customFormat="false" ht="12.75" hidden="false" customHeight="false" outlineLevel="0" collapsed="false">
      <c r="A63" s="5" t="s">
        <v>2</v>
      </c>
      <c r="B63" s="7" t="s">
        <v>584</v>
      </c>
      <c r="C63" s="370"/>
      <c r="D63" s="8" t="s">
        <v>2</v>
      </c>
      <c r="E63" s="8" t="s">
        <v>5</v>
      </c>
      <c r="F63" s="371"/>
      <c r="G63" s="387" t="s">
        <v>471</v>
      </c>
      <c r="H63" s="388" t="s">
        <v>585</v>
      </c>
      <c r="I63" s="370"/>
      <c r="J63" s="373" t="s">
        <v>473</v>
      </c>
      <c r="K63" s="7" t="s">
        <v>579</v>
      </c>
      <c r="L63" s="370"/>
      <c r="M63" s="374" t="s">
        <v>475</v>
      </c>
      <c r="N63" s="375" t="s">
        <v>586</v>
      </c>
      <c r="O63" s="370"/>
      <c r="P63" s="398"/>
      <c r="Q63" s="371"/>
      <c r="R63" s="370"/>
      <c r="S63" s="11" t="s">
        <v>9</v>
      </c>
      <c r="T63" s="14" t="s">
        <v>9</v>
      </c>
      <c r="U63" s="370"/>
      <c r="V63" s="11"/>
      <c r="W63" s="14"/>
      <c r="X63" s="370"/>
      <c r="Y63" s="363"/>
      <c r="Z63" s="363"/>
      <c r="AH63" s="8" t="s">
        <v>574</v>
      </c>
      <c r="AI63" s="408" t="n">
        <v>0.005</v>
      </c>
      <c r="AL63" s="408"/>
    </row>
    <row r="64" customFormat="false" ht="12.75" hidden="false" customHeight="false" outlineLevel="0" collapsed="false">
      <c r="A64" s="13" t="s">
        <v>6</v>
      </c>
      <c r="B64" s="10" t="n">
        <v>0.0367</v>
      </c>
      <c r="C64" s="371"/>
      <c r="D64" s="11" t="s">
        <v>6</v>
      </c>
      <c r="E64" s="12" t="n">
        <v>0.1672</v>
      </c>
      <c r="F64" s="371"/>
      <c r="G64" s="5" t="s">
        <v>6</v>
      </c>
      <c r="H64" s="10" t="n">
        <v>0.0874</v>
      </c>
      <c r="I64" s="371"/>
      <c r="J64" s="378" t="s">
        <v>6</v>
      </c>
      <c r="K64" s="10" t="n">
        <v>0.0586</v>
      </c>
      <c r="L64" s="371"/>
      <c r="M64" s="379" t="s">
        <v>6</v>
      </c>
      <c r="N64" s="14" t="n">
        <v>0.0791</v>
      </c>
      <c r="O64" s="371"/>
      <c r="P64" s="398"/>
      <c r="Q64" s="381"/>
      <c r="R64" s="371"/>
      <c r="S64" s="11" t="s">
        <v>9</v>
      </c>
      <c r="T64" s="16" t="s">
        <v>9</v>
      </c>
      <c r="U64" s="371"/>
      <c r="V64" s="11"/>
      <c r="W64" s="16"/>
      <c r="X64" s="371"/>
      <c r="Y64" s="371"/>
      <c r="Z64" s="371"/>
      <c r="AL64" s="408"/>
    </row>
    <row r="65" customFormat="false" ht="12.75" hidden="false" customHeight="false" outlineLevel="0" collapsed="false">
      <c r="A65" s="173" t="s">
        <v>7</v>
      </c>
      <c r="B65" s="10" t="n">
        <f aca="false">0.0022+0.007+0.0097</f>
        <v>0.0189</v>
      </c>
      <c r="C65" s="371"/>
      <c r="D65" s="11" t="s">
        <v>7</v>
      </c>
      <c r="E65" s="14" t="n">
        <f aca="false">0.0022+0.007+0.0097</f>
        <v>0.0189</v>
      </c>
      <c r="F65" s="381"/>
      <c r="G65" s="5" t="s">
        <v>7</v>
      </c>
      <c r="H65" s="10" t="n">
        <f aca="false">0.0022</f>
        <v>0.0022</v>
      </c>
      <c r="I65" s="371"/>
      <c r="J65" s="378" t="s">
        <v>7</v>
      </c>
      <c r="K65" s="10" t="n">
        <f aca="false">0.0022+0.007</f>
        <v>0.0092</v>
      </c>
      <c r="L65" s="371"/>
      <c r="M65" s="379" t="s">
        <v>7</v>
      </c>
      <c r="N65" s="14" t="n">
        <f aca="false">0.0022+0.007</f>
        <v>0.0092</v>
      </c>
      <c r="O65" s="371"/>
      <c r="P65" s="92"/>
      <c r="Q65" s="383"/>
      <c r="R65" s="371"/>
      <c r="S65" s="385"/>
      <c r="T65" s="20" t="s">
        <v>9</v>
      </c>
      <c r="U65" s="371"/>
      <c r="V65" s="385"/>
      <c r="W65" s="20"/>
      <c r="X65" s="371"/>
      <c r="Y65" s="371"/>
      <c r="Z65" s="371"/>
      <c r="AH65" s="405" t="n">
        <v>36861</v>
      </c>
      <c r="AK65" s="405"/>
    </row>
    <row r="66" customFormat="false" ht="12.75" hidden="false" customHeight="false" outlineLevel="0" collapsed="false">
      <c r="A66" s="15" t="n">
        <v>0.0504</v>
      </c>
      <c r="B66" s="382" t="n">
        <f aca="false">B$5/(1-A66)-B$5</f>
        <v>0.223445661331087</v>
      </c>
      <c r="C66" s="381"/>
      <c r="D66" s="17" t="n">
        <v>0.0189</v>
      </c>
      <c r="E66" s="16" t="n">
        <f aca="false">(E$3)/(1-D66)-E$3</f>
        <v>0.0801386199164202</v>
      </c>
      <c r="F66" s="383"/>
      <c r="G66" s="15" t="n">
        <v>0.0429</v>
      </c>
      <c r="H66" s="382" t="n">
        <f aca="false">(H$4)/(1-G66)-H$4</f>
        <v>0.182429213248355</v>
      </c>
      <c r="I66" s="381"/>
      <c r="J66" s="17" t="n">
        <v>0.0823</v>
      </c>
      <c r="K66" s="406" t="n">
        <f aca="false">(K$4)/(1-J66)-K$4</f>
        <v>0.367690966546802</v>
      </c>
      <c r="L66" s="381"/>
      <c r="M66" s="17" t="n">
        <v>0.0291</v>
      </c>
      <c r="N66" s="16" t="n">
        <f aca="false">(N$3)/(1-M66)-N$3</f>
        <v>0.123485425893501</v>
      </c>
      <c r="O66" s="381"/>
      <c r="P66" s="397"/>
      <c r="Q66" s="370"/>
      <c r="R66" s="381"/>
      <c r="S66" s="389" t="s">
        <v>9</v>
      </c>
      <c r="T66" s="390" t="s">
        <v>9</v>
      </c>
      <c r="U66" s="381"/>
      <c r="V66" s="389"/>
      <c r="W66" s="390"/>
      <c r="X66" s="381"/>
      <c r="Y66" s="381"/>
      <c r="Z66" s="381"/>
      <c r="AH66" s="407" t="s">
        <v>567</v>
      </c>
      <c r="AI66" s="408" t="n">
        <v>0.005</v>
      </c>
      <c r="AK66" s="407"/>
      <c r="AL66" s="408"/>
    </row>
    <row r="67" customFormat="false" ht="12.75" hidden="false" customHeight="false" outlineLevel="0" collapsed="false">
      <c r="A67" s="5"/>
      <c r="B67" s="6" t="n">
        <f aca="false">SUM(B64:B66)</f>
        <v>0.279045661331087</v>
      </c>
      <c r="C67" s="383"/>
      <c r="D67" s="11"/>
      <c r="E67" s="20" t="n">
        <f aca="false">SUM(E64:E66)</f>
        <v>0.26623861991642</v>
      </c>
      <c r="F67" s="363"/>
      <c r="G67" s="13"/>
      <c r="H67" s="6" t="n">
        <f aca="false">SUM(H64:H66)</f>
        <v>0.272029213248355</v>
      </c>
      <c r="I67" s="383"/>
      <c r="J67" s="378"/>
      <c r="K67" s="6" t="n">
        <f aca="false">SUM(K64:K66)</f>
        <v>0.435490966546802</v>
      </c>
      <c r="L67" s="383"/>
      <c r="M67" s="379"/>
      <c r="N67" s="20" t="n">
        <f aca="false">SUM(N64:N66)</f>
        <v>0.211785425893501</v>
      </c>
      <c r="O67" s="383"/>
      <c r="P67" s="398"/>
      <c r="Q67" s="371"/>
      <c r="R67" s="383"/>
      <c r="S67" s="11"/>
      <c r="T67" s="14"/>
      <c r="U67" s="383"/>
      <c r="V67" s="11"/>
      <c r="W67" s="14"/>
      <c r="X67" s="383"/>
      <c r="Y67" s="383"/>
      <c r="Z67" s="383"/>
      <c r="AH67" s="8" t="s">
        <v>568</v>
      </c>
      <c r="AI67" s="408" t="n">
        <v>0.01</v>
      </c>
      <c r="AL67" s="408"/>
    </row>
    <row r="68" customFormat="false" ht="12.75" hidden="false" customHeight="false" outlineLevel="0" collapsed="false">
      <c r="A68" s="5" t="s">
        <v>2</v>
      </c>
      <c r="B68" s="7" t="s">
        <v>587</v>
      </c>
      <c r="C68" s="370"/>
      <c r="D68" s="8" t="s">
        <v>2</v>
      </c>
      <c r="E68" s="8" t="s">
        <v>588</v>
      </c>
      <c r="F68" s="371"/>
      <c r="G68" s="387" t="s">
        <v>471</v>
      </c>
      <c r="H68" s="388" t="s">
        <v>589</v>
      </c>
      <c r="I68" s="363"/>
      <c r="J68" s="373" t="s">
        <v>473</v>
      </c>
      <c r="K68" s="7" t="s">
        <v>590</v>
      </c>
      <c r="L68" s="363"/>
      <c r="M68" s="374" t="s">
        <v>475</v>
      </c>
      <c r="N68" s="375" t="s">
        <v>591</v>
      </c>
      <c r="O68" s="363"/>
      <c r="P68" s="398"/>
      <c r="Q68" s="371"/>
      <c r="R68" s="370"/>
      <c r="S68" s="11"/>
      <c r="T68" s="14"/>
      <c r="U68" s="370"/>
      <c r="V68" s="11"/>
      <c r="W68" s="14"/>
      <c r="X68" s="370"/>
      <c r="Y68" s="363"/>
      <c r="Z68" s="363"/>
      <c r="AH68" s="8" t="s">
        <v>574</v>
      </c>
      <c r="AI68" s="408" t="n">
        <v>0.005</v>
      </c>
      <c r="AL68" s="408"/>
    </row>
    <row r="69" customFormat="false" ht="12.75" hidden="false" customHeight="false" outlineLevel="0" collapsed="false">
      <c r="A69" s="5" t="s">
        <v>6</v>
      </c>
      <c r="B69" s="10" t="n">
        <v>0.0035</v>
      </c>
      <c r="C69" s="371"/>
      <c r="D69" s="11" t="s">
        <v>6</v>
      </c>
      <c r="E69" s="12" t="n">
        <v>0.2591</v>
      </c>
      <c r="F69" s="371"/>
      <c r="G69" s="5" t="s">
        <v>6</v>
      </c>
      <c r="H69" s="10" t="n">
        <v>0.1014</v>
      </c>
      <c r="I69" s="371"/>
      <c r="J69" s="378" t="s">
        <v>6</v>
      </c>
      <c r="K69" s="10" t="n">
        <v>0.014</v>
      </c>
      <c r="L69" s="371"/>
      <c r="M69" s="379" t="s">
        <v>6</v>
      </c>
      <c r="N69" s="14" t="n">
        <v>0.2315</v>
      </c>
      <c r="O69" s="371"/>
      <c r="P69" s="398"/>
      <c r="Q69" s="381"/>
      <c r="R69" s="371"/>
      <c r="S69" s="11"/>
      <c r="T69" s="16"/>
      <c r="U69" s="371"/>
      <c r="V69" s="11"/>
      <c r="W69" s="16"/>
      <c r="X69" s="371"/>
      <c r="Y69" s="371"/>
      <c r="Z69" s="371"/>
      <c r="AL69" s="408"/>
    </row>
    <row r="70" customFormat="false" ht="12.75" hidden="false" customHeight="false" outlineLevel="0" collapsed="false">
      <c r="A70" s="13" t="s">
        <v>7</v>
      </c>
      <c r="B70" s="10" t="n">
        <f aca="false">0.0022+0.007+0.0097</f>
        <v>0.0189</v>
      </c>
      <c r="C70" s="371"/>
      <c r="D70" s="11" t="s">
        <v>7</v>
      </c>
      <c r="E70" s="14" t="n">
        <f aca="false">0.0022+0.007+0.0097</f>
        <v>0.0189</v>
      </c>
      <c r="F70" s="381"/>
      <c r="G70" s="5" t="s">
        <v>7</v>
      </c>
      <c r="H70" s="10" t="n">
        <f aca="false">0.0022+0.007</f>
        <v>0.0092</v>
      </c>
      <c r="I70" s="371"/>
      <c r="J70" s="378" t="s">
        <v>7</v>
      </c>
      <c r="K70" s="10" t="n">
        <f aca="false">0.0022+0.007</f>
        <v>0.0092</v>
      </c>
      <c r="L70" s="371"/>
      <c r="M70" s="379" t="s">
        <v>7</v>
      </c>
      <c r="N70" s="14" t="n">
        <f aca="false">0.0022+0.007</f>
        <v>0.0092</v>
      </c>
      <c r="O70" s="371"/>
      <c r="P70" s="385"/>
      <c r="Q70" s="20"/>
      <c r="R70" s="371"/>
      <c r="S70" s="385"/>
      <c r="T70" s="20"/>
      <c r="U70" s="371"/>
      <c r="V70" s="385"/>
      <c r="W70" s="20"/>
      <c r="X70" s="371"/>
      <c r="Y70" s="371"/>
      <c r="Z70" s="371"/>
      <c r="AH70" s="405" t="n">
        <v>36831</v>
      </c>
      <c r="AK70" s="405"/>
    </row>
    <row r="71" customFormat="false" ht="12.75" hidden="false" customHeight="false" outlineLevel="0" collapsed="false">
      <c r="A71" s="15" t="n">
        <v>0.0044</v>
      </c>
      <c r="B71" s="382" t="n">
        <f aca="false">(B$4)/(1-A71)-B$4</f>
        <v>0.0188047408597827</v>
      </c>
      <c r="C71" s="381"/>
      <c r="D71" s="17" t="n">
        <v>0.0337</v>
      </c>
      <c r="E71" s="16" t="n">
        <f aca="false">(E$3)/(1-D71)-E$3</f>
        <v>0.145081237710856</v>
      </c>
      <c r="F71" s="383"/>
      <c r="G71" s="15" t="n">
        <v>0.0506</v>
      </c>
      <c r="H71" s="382" t="n">
        <f aca="false">(H$4)/(1-G71)-H$4</f>
        <v>0.216918053507478</v>
      </c>
      <c r="I71" s="381"/>
      <c r="J71" s="17" t="n">
        <v>0.0294</v>
      </c>
      <c r="K71" s="406" t="n">
        <f aca="false">(K$3)/(1-J71)-K$3</f>
        <v>0.124797032763239</v>
      </c>
      <c r="L71" s="381"/>
      <c r="M71" s="17" t="n">
        <v>0.0575</v>
      </c>
      <c r="N71" s="16" t="n">
        <f aca="false">(N$3)/(1-M71)-N$3</f>
        <v>0.251352785145889</v>
      </c>
      <c r="O71" s="381"/>
      <c r="P71" s="370"/>
      <c r="Q71" s="370"/>
      <c r="R71" s="381"/>
      <c r="S71" s="370"/>
      <c r="T71" s="370"/>
      <c r="U71" s="381"/>
      <c r="V71" s="370"/>
      <c r="W71" s="370"/>
      <c r="X71" s="381"/>
      <c r="Y71" s="381"/>
      <c r="Z71" s="381"/>
      <c r="AH71" s="407" t="s">
        <v>567</v>
      </c>
      <c r="AI71" s="408" t="n">
        <v>0.003</v>
      </c>
      <c r="AK71" s="407"/>
      <c r="AL71" s="408"/>
    </row>
    <row r="72" customFormat="false" ht="12.75" hidden="false" customHeight="false" outlineLevel="0" collapsed="false">
      <c r="A72" s="5"/>
      <c r="B72" s="6" t="n">
        <f aca="false">SUM(B69:B71)</f>
        <v>0.0412047408597827</v>
      </c>
      <c r="C72" s="383"/>
      <c r="D72" s="17"/>
      <c r="E72" s="20" t="n">
        <f aca="false">SUM(E69:E71)</f>
        <v>0.423081237710856</v>
      </c>
      <c r="F72" s="363"/>
      <c r="G72" s="13"/>
      <c r="H72" s="6" t="n">
        <f aca="false">SUM(H69:H71)</f>
        <v>0.327518053507478</v>
      </c>
      <c r="I72" s="383"/>
      <c r="J72" s="378"/>
      <c r="K72" s="6" t="n">
        <f aca="false">SUM(K69:K71)</f>
        <v>0.147997032763239</v>
      </c>
      <c r="L72" s="383"/>
      <c r="M72" s="379"/>
      <c r="N72" s="20" t="n">
        <f aca="false">SUM(N69:N71)</f>
        <v>0.492052785145889</v>
      </c>
      <c r="O72" s="383"/>
      <c r="P72" s="371"/>
      <c r="Q72" s="371"/>
      <c r="R72" s="383"/>
      <c r="S72" s="371"/>
      <c r="T72" s="371"/>
      <c r="U72" s="383"/>
      <c r="V72" s="371"/>
      <c r="W72" s="371"/>
      <c r="X72" s="383"/>
      <c r="Y72" s="383"/>
      <c r="Z72" s="383"/>
      <c r="AH72" s="8" t="s">
        <v>568</v>
      </c>
      <c r="AI72" s="408" t="n">
        <v>0.006</v>
      </c>
      <c r="AL72" s="408"/>
    </row>
    <row r="73" customFormat="false" ht="12.75" hidden="false" customHeight="false" outlineLevel="0" collapsed="false">
      <c r="A73" s="5" t="s">
        <v>2</v>
      </c>
      <c r="B73" s="6" t="s">
        <v>592</v>
      </c>
      <c r="C73" s="363"/>
      <c r="D73" s="8" t="s">
        <v>593</v>
      </c>
      <c r="E73" s="8" t="s">
        <v>594</v>
      </c>
      <c r="F73" s="371"/>
      <c r="G73" s="387" t="s">
        <v>471</v>
      </c>
      <c r="H73" s="388" t="s">
        <v>595</v>
      </c>
      <c r="I73" s="363"/>
      <c r="J73" s="373" t="s">
        <v>473</v>
      </c>
      <c r="K73" s="7" t="s">
        <v>583</v>
      </c>
      <c r="L73" s="363"/>
      <c r="M73" s="374" t="s">
        <v>475</v>
      </c>
      <c r="N73" s="375" t="s">
        <v>596</v>
      </c>
      <c r="O73" s="363"/>
      <c r="P73" s="381"/>
      <c r="Q73" s="381"/>
      <c r="R73" s="363"/>
      <c r="S73" s="381"/>
      <c r="T73" s="381"/>
      <c r="U73" s="363"/>
      <c r="V73" s="381"/>
      <c r="W73" s="381"/>
      <c r="X73" s="363"/>
      <c r="Y73" s="363"/>
      <c r="Z73" s="363"/>
      <c r="AH73" s="8" t="s">
        <v>574</v>
      </c>
      <c r="AI73" s="408" t="n">
        <v>0.003</v>
      </c>
      <c r="AL73" s="408"/>
    </row>
    <row r="74" customFormat="false" ht="12.75" hidden="false" customHeight="false" outlineLevel="0" collapsed="false">
      <c r="A74" s="5" t="s">
        <v>6</v>
      </c>
      <c r="B74" s="9" t="n">
        <v>0.017</v>
      </c>
      <c r="C74" s="371"/>
      <c r="D74" s="11" t="s">
        <v>6</v>
      </c>
      <c r="E74" s="12" t="n">
        <v>0.0746</v>
      </c>
      <c r="F74" s="371"/>
      <c r="G74" s="5" t="s">
        <v>6</v>
      </c>
      <c r="H74" s="10" t="n">
        <v>0.1126</v>
      </c>
      <c r="I74" s="371"/>
      <c r="J74" s="378" t="s">
        <v>6</v>
      </c>
      <c r="K74" s="10" t="n">
        <v>0.0103</v>
      </c>
      <c r="L74" s="371"/>
      <c r="M74" s="379" t="s">
        <v>6</v>
      </c>
      <c r="N74" s="14" t="n">
        <v>0.3736</v>
      </c>
      <c r="O74" s="371"/>
      <c r="P74" s="383"/>
      <c r="Q74" s="383"/>
      <c r="R74" s="371"/>
      <c r="S74" s="383"/>
      <c r="T74" s="383"/>
      <c r="U74" s="371"/>
      <c r="V74" s="383"/>
      <c r="W74" s="383"/>
      <c r="X74" s="371"/>
      <c r="Y74" s="371"/>
      <c r="Z74" s="371"/>
      <c r="AL74" s="408"/>
    </row>
    <row r="75" customFormat="false" ht="12.75" hidden="false" customHeight="false" outlineLevel="0" collapsed="false">
      <c r="A75" s="13" t="s">
        <v>7</v>
      </c>
      <c r="B75" s="9" t="n">
        <f aca="false">0.0022+0.007+0.0097</f>
        <v>0.0189</v>
      </c>
      <c r="C75" s="371"/>
      <c r="D75" s="11" t="s">
        <v>7</v>
      </c>
      <c r="E75" s="12" t="n">
        <v>0</v>
      </c>
      <c r="F75" s="381"/>
      <c r="G75" s="5" t="s">
        <v>7</v>
      </c>
      <c r="H75" s="10" t="n">
        <f aca="false">0.0022+0.007</f>
        <v>0.0092</v>
      </c>
      <c r="I75" s="371"/>
      <c r="J75" s="378" t="s">
        <v>7</v>
      </c>
      <c r="K75" s="10" t="n">
        <f aca="false">0.0022</f>
        <v>0.0022</v>
      </c>
      <c r="L75" s="371"/>
      <c r="M75" s="379" t="s">
        <v>7</v>
      </c>
      <c r="N75" s="14" t="n">
        <f aca="false">0.0022+0.007</f>
        <v>0.0092</v>
      </c>
      <c r="O75" s="371"/>
      <c r="P75" s="370"/>
      <c r="Q75" s="370"/>
      <c r="R75" s="371"/>
      <c r="S75" s="370"/>
      <c r="T75" s="370"/>
      <c r="U75" s="371"/>
      <c r="V75" s="370"/>
      <c r="W75" s="370"/>
      <c r="X75" s="371"/>
      <c r="Y75" s="371"/>
      <c r="Z75" s="371"/>
      <c r="AH75" s="405" t="n">
        <v>36800</v>
      </c>
      <c r="AK75" s="405"/>
    </row>
    <row r="76" customFormat="false" ht="12.75" hidden="false" customHeight="false" outlineLevel="0" collapsed="false">
      <c r="A76" s="15" t="n">
        <v>0.0233</v>
      </c>
      <c r="B76" s="382" t="n">
        <f aca="false">(B$4)/(1-A76)-B$4</f>
        <v>0.101506603870175</v>
      </c>
      <c r="C76" s="381"/>
      <c r="D76" s="17" t="n">
        <v>0.0057</v>
      </c>
      <c r="E76" s="16" t="n">
        <f aca="false">(E$3)/(1-D76)-E$3</f>
        <v>0.0238479332193506</v>
      </c>
      <c r="F76" s="383"/>
      <c r="G76" s="15" t="n">
        <v>0.0597</v>
      </c>
      <c r="H76" s="382" t="n">
        <f aca="false">(H$4)/(1-G76)-H$4</f>
        <v>0.258405827927257</v>
      </c>
      <c r="I76" s="381"/>
      <c r="J76" s="17" t="n">
        <v>0.0291</v>
      </c>
      <c r="K76" s="406" t="n">
        <f aca="false">(K$3)/(1-J76)-K$3</f>
        <v>0.123485425893501</v>
      </c>
      <c r="L76" s="381"/>
      <c r="M76" s="17" t="n">
        <v>0.0707</v>
      </c>
      <c r="N76" s="16" t="n">
        <f aca="false">(N$3)/(1-M76)-N$3</f>
        <v>0.31344452813946</v>
      </c>
      <c r="O76" s="381"/>
      <c r="P76" s="371"/>
      <c r="Q76" s="371"/>
      <c r="R76" s="381"/>
      <c r="S76" s="371"/>
      <c r="T76" s="371"/>
      <c r="U76" s="381"/>
      <c r="V76" s="371"/>
      <c r="W76" s="371"/>
      <c r="X76" s="381"/>
      <c r="Y76" s="381"/>
      <c r="Z76" s="381"/>
      <c r="AH76" s="407" t="s">
        <v>567</v>
      </c>
      <c r="AI76" s="408" t="n">
        <v>0.001</v>
      </c>
      <c r="AK76" s="407"/>
      <c r="AL76" s="408"/>
    </row>
    <row r="77" customFormat="false" ht="12.75" hidden="false" customHeight="false" outlineLevel="0" collapsed="false">
      <c r="A77" s="5"/>
      <c r="B77" s="6" t="n">
        <f aca="false">SUM(B74:B76)</f>
        <v>0.137406603870175</v>
      </c>
      <c r="C77" s="383"/>
      <c r="D77" s="11"/>
      <c r="E77" s="20" t="n">
        <f aca="false">SUM(E74:E76)</f>
        <v>0.0984479332193506</v>
      </c>
      <c r="F77" s="363"/>
      <c r="G77" s="13"/>
      <c r="H77" s="6" t="n">
        <f aca="false">SUM(H74:H76)</f>
        <v>0.380205827927257</v>
      </c>
      <c r="I77" s="383"/>
      <c r="J77" s="378"/>
      <c r="K77" s="6" t="n">
        <f aca="false">SUM(K74:K76)</f>
        <v>0.135985425893501</v>
      </c>
      <c r="L77" s="383"/>
      <c r="M77" s="379"/>
      <c r="N77" s="20" t="n">
        <f aca="false">SUM(N74:N76)</f>
        <v>0.69624452813946</v>
      </c>
      <c r="O77" s="383"/>
      <c r="P77" s="371"/>
      <c r="Q77" s="371"/>
      <c r="R77" s="383"/>
      <c r="S77" s="371"/>
      <c r="T77" s="371"/>
      <c r="U77" s="383"/>
      <c r="V77" s="371"/>
      <c r="W77" s="371"/>
      <c r="X77" s="383"/>
      <c r="Y77" s="383"/>
      <c r="Z77" s="383"/>
      <c r="AH77" s="8" t="s">
        <v>568</v>
      </c>
      <c r="AI77" s="408" t="n">
        <v>0.002</v>
      </c>
      <c r="AL77" s="408"/>
    </row>
    <row r="78" customFormat="false" ht="12.75" hidden="false" customHeight="false" outlineLevel="0" collapsed="false">
      <c r="A78" s="5" t="s">
        <v>2</v>
      </c>
      <c r="B78" s="7" t="s">
        <v>4</v>
      </c>
      <c r="C78" s="363"/>
      <c r="D78" s="374" t="s">
        <v>597</v>
      </c>
      <c r="E78" s="20" t="s">
        <v>598</v>
      </c>
      <c r="F78" s="371"/>
      <c r="G78" s="387" t="s">
        <v>471</v>
      </c>
      <c r="H78" s="388" t="s">
        <v>599</v>
      </c>
      <c r="I78" s="363"/>
      <c r="J78" s="373" t="s">
        <v>473</v>
      </c>
      <c r="K78" s="7" t="s">
        <v>600</v>
      </c>
      <c r="L78" s="363"/>
      <c r="M78" s="374" t="s">
        <v>475</v>
      </c>
      <c r="N78" s="375" t="s">
        <v>601</v>
      </c>
      <c r="O78" s="363"/>
      <c r="P78" s="381"/>
      <c r="Q78" s="381"/>
      <c r="R78" s="363"/>
      <c r="S78" s="381"/>
      <c r="T78" s="381"/>
      <c r="U78" s="363"/>
      <c r="V78" s="381"/>
      <c r="W78" s="381"/>
      <c r="X78" s="363"/>
      <c r="Y78" s="363"/>
      <c r="Z78" s="363"/>
      <c r="AH78" s="8" t="s">
        <v>574</v>
      </c>
      <c r="AI78" s="408" t="n">
        <v>0.001</v>
      </c>
      <c r="AL78" s="408"/>
    </row>
    <row r="79" customFormat="false" ht="12.75" hidden="false" customHeight="false" outlineLevel="0" collapsed="false">
      <c r="A79" s="5" t="s">
        <v>6</v>
      </c>
      <c r="B79" s="10" t="n">
        <v>0.0278</v>
      </c>
      <c r="C79" s="371"/>
      <c r="D79" s="11" t="s">
        <v>6</v>
      </c>
      <c r="E79" s="12" t="n">
        <v>0.0938</v>
      </c>
      <c r="F79" s="371"/>
      <c r="G79" s="5" t="s">
        <v>6</v>
      </c>
      <c r="H79" s="10" t="n">
        <v>0.1503</v>
      </c>
      <c r="I79" s="371"/>
      <c r="J79" s="378" t="s">
        <v>6</v>
      </c>
      <c r="K79" s="10" t="n">
        <v>0.0087</v>
      </c>
      <c r="L79" s="371"/>
      <c r="M79" s="379" t="s">
        <v>6</v>
      </c>
      <c r="N79" s="14" t="n">
        <v>0.4707</v>
      </c>
      <c r="O79" s="371"/>
      <c r="P79" s="383"/>
      <c r="Q79" s="383"/>
      <c r="R79" s="371"/>
      <c r="S79" s="383"/>
      <c r="T79" s="383"/>
      <c r="U79" s="371"/>
      <c r="V79" s="383"/>
      <c r="W79" s="383"/>
      <c r="X79" s="371"/>
      <c r="Y79" s="371"/>
      <c r="Z79" s="371"/>
      <c r="AL79" s="408"/>
    </row>
    <row r="80" customFormat="false" ht="12.75" hidden="false" customHeight="false" outlineLevel="0" collapsed="false">
      <c r="A80" s="13" t="s">
        <v>7</v>
      </c>
      <c r="B80" s="9" t="n">
        <f aca="false">0.0022+0.007+0.0097</f>
        <v>0.0189</v>
      </c>
      <c r="C80" s="371"/>
      <c r="D80" s="11" t="s">
        <v>7</v>
      </c>
      <c r="E80" s="12" t="n">
        <f aca="false">0.007+0.0022+0.0097</f>
        <v>0.0189</v>
      </c>
      <c r="F80" s="381"/>
      <c r="G80" s="5" t="s">
        <v>7</v>
      </c>
      <c r="H80" s="10" t="n">
        <f aca="false">0.0022+0.007</f>
        <v>0.0092</v>
      </c>
      <c r="I80" s="371"/>
      <c r="J80" s="378" t="s">
        <v>7</v>
      </c>
      <c r="K80" s="10" t="n">
        <f aca="false">0.0022+0.007</f>
        <v>0.0092</v>
      </c>
      <c r="L80" s="371"/>
      <c r="M80" s="379" t="s">
        <v>7</v>
      </c>
      <c r="N80" s="14" t="n">
        <f aca="false">0.0022+0.007</f>
        <v>0.0092</v>
      </c>
      <c r="O80" s="371"/>
      <c r="P80" s="363"/>
      <c r="Q80" s="363"/>
      <c r="R80" s="371"/>
      <c r="S80" s="363"/>
      <c r="T80" s="363"/>
      <c r="U80" s="371"/>
      <c r="V80" s="363"/>
      <c r="W80" s="363"/>
      <c r="X80" s="371"/>
      <c r="Y80" s="371"/>
      <c r="Z80" s="371"/>
      <c r="AH80" s="405" t="n">
        <v>36770</v>
      </c>
      <c r="AK80" s="405"/>
    </row>
    <row r="81" customFormat="false" ht="12.75" hidden="false" customHeight="false" outlineLevel="0" collapsed="false">
      <c r="A81" s="15" t="n">
        <v>0.0381</v>
      </c>
      <c r="B81" s="382" t="n">
        <f aca="false">(B$4)/(1-A81)-B$4</f>
        <v>0.168536750181931</v>
      </c>
      <c r="C81" s="381"/>
      <c r="D81" s="17" t="n">
        <v>0.0081</v>
      </c>
      <c r="E81" s="16" t="n">
        <f aca="false">(E$3)/(1-D81)-E$3</f>
        <v>0.0339711664482305</v>
      </c>
      <c r="F81" s="383"/>
      <c r="G81" s="15" t="n">
        <v>0.0667</v>
      </c>
      <c r="H81" s="382" t="n">
        <f aca="false">(H$4)/(1-G81)-H$4</f>
        <v>0.290870031072538</v>
      </c>
      <c r="I81" s="381"/>
      <c r="J81" s="17" t="n">
        <v>0.0291</v>
      </c>
      <c r="K81" s="406" t="n">
        <f aca="false">(K$3)/(1-J81)-K$3</f>
        <v>0.123485425893501</v>
      </c>
      <c r="L81" s="381"/>
      <c r="M81" s="17" t="n">
        <v>0.0796</v>
      </c>
      <c r="N81" s="16" t="n">
        <f aca="false">(N$3)/(1-M81)-N$3</f>
        <v>0.356314645806171</v>
      </c>
      <c r="O81" s="381"/>
      <c r="P81" s="371"/>
      <c r="Q81" s="371"/>
      <c r="R81" s="381"/>
      <c r="S81" s="371"/>
      <c r="T81" s="371"/>
      <c r="U81" s="381"/>
      <c r="V81" s="371"/>
      <c r="W81" s="371"/>
      <c r="X81" s="381"/>
      <c r="Y81" s="381"/>
      <c r="Z81" s="381"/>
      <c r="AH81" s="407" t="s">
        <v>567</v>
      </c>
      <c r="AI81" s="408" t="n">
        <v>0.001</v>
      </c>
      <c r="AK81" s="407"/>
      <c r="AL81" s="408"/>
    </row>
    <row r="82" customFormat="false" ht="12.75" hidden="false" customHeight="false" outlineLevel="0" collapsed="false">
      <c r="A82" s="19"/>
      <c r="B82" s="6" t="n">
        <f aca="false">SUM(B79:B81)</f>
        <v>0.215236750181931</v>
      </c>
      <c r="C82" s="383"/>
      <c r="D82" s="11"/>
      <c r="E82" s="20" t="n">
        <f aca="false">SUM(E79:E81)</f>
        <v>0.146671166448231</v>
      </c>
      <c r="F82" s="363"/>
      <c r="G82" s="13"/>
      <c r="H82" s="6" t="n">
        <f aca="false">SUM(H79:H81)</f>
        <v>0.450370031072538</v>
      </c>
      <c r="I82" s="383"/>
      <c r="J82" s="378"/>
      <c r="K82" s="6" t="n">
        <f aca="false">SUM(K79:K81)</f>
        <v>0.141385425893501</v>
      </c>
      <c r="L82" s="383"/>
      <c r="M82" s="379"/>
      <c r="N82" s="20" t="n">
        <f aca="false">SUM(N79:N81)</f>
        <v>0.836214645806171</v>
      </c>
      <c r="O82" s="383"/>
      <c r="P82" s="371"/>
      <c r="Q82" s="371"/>
      <c r="R82" s="383"/>
      <c r="S82" s="371"/>
      <c r="T82" s="371"/>
      <c r="U82" s="383"/>
      <c r="V82" s="371"/>
      <c r="W82" s="371"/>
      <c r="X82" s="383"/>
      <c r="Y82" s="383"/>
      <c r="Z82" s="383"/>
      <c r="AH82" s="8" t="s">
        <v>568</v>
      </c>
      <c r="AI82" s="408" t="n">
        <v>0.002</v>
      </c>
      <c r="AL82" s="408"/>
    </row>
    <row r="83" customFormat="false" ht="14.1" hidden="false" customHeight="true" outlineLevel="0" collapsed="false">
      <c r="A83" s="410" t="s">
        <v>2</v>
      </c>
      <c r="B83" s="7" t="s">
        <v>602</v>
      </c>
      <c r="C83" s="363"/>
      <c r="D83" s="374" t="s">
        <v>597</v>
      </c>
      <c r="E83" s="20" t="s">
        <v>603</v>
      </c>
      <c r="F83" s="371"/>
      <c r="G83" s="387" t="s">
        <v>471</v>
      </c>
      <c r="H83" s="388" t="s">
        <v>604</v>
      </c>
      <c r="I83" s="363"/>
      <c r="J83" s="373" t="s">
        <v>473</v>
      </c>
      <c r="K83" s="7" t="s">
        <v>605</v>
      </c>
      <c r="L83" s="363"/>
      <c r="M83" s="374" t="s">
        <v>475</v>
      </c>
      <c r="N83" s="375" t="s">
        <v>606</v>
      </c>
      <c r="O83" s="363"/>
      <c r="P83" s="381"/>
      <c r="Q83" s="381"/>
      <c r="R83" s="363"/>
      <c r="S83" s="381"/>
      <c r="T83" s="381"/>
      <c r="U83" s="363"/>
      <c r="V83" s="381"/>
      <c r="W83" s="381"/>
      <c r="X83" s="363"/>
      <c r="Y83" s="363"/>
      <c r="Z83" s="363"/>
      <c r="AH83" s="8" t="s">
        <v>574</v>
      </c>
      <c r="AI83" s="408" t="n">
        <v>0.001</v>
      </c>
      <c r="AL83" s="408"/>
    </row>
    <row r="84" customFormat="false" ht="12.75" hidden="false" customHeight="false" outlineLevel="0" collapsed="false">
      <c r="A84" s="411" t="s">
        <v>6</v>
      </c>
      <c r="B84" s="10" t="n">
        <v>0.0336</v>
      </c>
      <c r="C84" s="371"/>
      <c r="D84" s="11" t="s">
        <v>6</v>
      </c>
      <c r="E84" s="12" t="n">
        <v>0.1857</v>
      </c>
      <c r="F84" s="371"/>
      <c r="G84" s="5" t="s">
        <v>6</v>
      </c>
      <c r="H84" s="10" t="n">
        <v>0.0783</v>
      </c>
      <c r="I84" s="371"/>
      <c r="J84" s="378" t="s">
        <v>6</v>
      </c>
      <c r="K84" s="10" t="n">
        <v>0.0087</v>
      </c>
      <c r="L84" s="371"/>
      <c r="M84" s="379" t="s">
        <v>6</v>
      </c>
      <c r="N84" s="14" t="n">
        <v>0.2945</v>
      </c>
      <c r="O84" s="371"/>
      <c r="P84" s="412"/>
      <c r="Q84" s="413"/>
      <c r="R84" s="371"/>
      <c r="S84" s="412"/>
      <c r="T84" s="413"/>
      <c r="U84" s="371"/>
      <c r="V84" s="412"/>
      <c r="W84" s="413"/>
      <c r="X84" s="371"/>
      <c r="Y84" s="371"/>
      <c r="Z84" s="371"/>
      <c r="AL84" s="408"/>
    </row>
    <row r="85" customFormat="false" ht="12.75" hidden="false" customHeight="false" outlineLevel="0" collapsed="false">
      <c r="A85" s="409" t="s">
        <v>7</v>
      </c>
      <c r="B85" s="9" t="n">
        <f aca="false">0.0022+0.007+0.0097</f>
        <v>0.0189</v>
      </c>
      <c r="C85" s="371"/>
      <c r="D85" s="11" t="s">
        <v>7</v>
      </c>
      <c r="E85" s="12" t="n">
        <f aca="false">0.0022+0.0097</f>
        <v>0.0119</v>
      </c>
      <c r="F85" s="381"/>
      <c r="G85" s="5" t="s">
        <v>7</v>
      </c>
      <c r="H85" s="10" t="n">
        <f aca="false">0.0022+0.007</f>
        <v>0.0092</v>
      </c>
      <c r="I85" s="371"/>
      <c r="J85" s="378" t="s">
        <v>7</v>
      </c>
      <c r="K85" s="10" t="n">
        <f aca="false">0.0022+0.007</f>
        <v>0.0092</v>
      </c>
      <c r="L85" s="371"/>
      <c r="M85" s="379" t="s">
        <v>7</v>
      </c>
      <c r="N85" s="14" t="n">
        <f aca="false">0.0022+0.007</f>
        <v>0.0092</v>
      </c>
      <c r="O85" s="371"/>
      <c r="P85" s="363"/>
      <c r="Q85" s="363"/>
      <c r="R85" s="371"/>
      <c r="S85" s="363"/>
      <c r="T85" s="363"/>
      <c r="U85" s="371"/>
      <c r="V85" s="363"/>
      <c r="W85" s="363"/>
      <c r="X85" s="371"/>
      <c r="Y85" s="371"/>
      <c r="Z85" s="371"/>
      <c r="AH85" s="405" t="n">
        <v>36739</v>
      </c>
      <c r="AK85" s="405"/>
    </row>
    <row r="86" customFormat="false" ht="12.75" hidden="false" customHeight="false" outlineLevel="0" collapsed="false">
      <c r="A86" s="15" t="n">
        <v>0.0462</v>
      </c>
      <c r="B86" s="382" t="n">
        <f aca="false">(B$4)/(1-A86)-B$4</f>
        <v>0.206102956594674</v>
      </c>
      <c r="C86" s="381"/>
      <c r="D86" s="17" t="n">
        <v>0.0229</v>
      </c>
      <c r="E86" s="16" t="n">
        <f aca="false">(E$7)/(1-D86)-E$7</f>
        <v>0.108177830481287</v>
      </c>
      <c r="F86" s="383"/>
      <c r="G86" s="15" t="n">
        <v>0.000358</v>
      </c>
      <c r="H86" s="406" t="n">
        <f aca="false">(H4)/(1-G86)-H4</f>
        <v>0.00145758181428945</v>
      </c>
      <c r="I86" s="381"/>
      <c r="J86" s="17" t="n">
        <v>0.0291</v>
      </c>
      <c r="K86" s="406" t="n">
        <f aca="false">(K$3)/(1-J86)-K$3</f>
        <v>0.123485425893501</v>
      </c>
      <c r="L86" s="381"/>
      <c r="M86" s="17" t="n">
        <v>0.0416</v>
      </c>
      <c r="N86" s="16" t="n">
        <f aca="false">(N$6)/(1-M86)-(N$6)</f>
        <v>0.184257095158597</v>
      </c>
      <c r="O86" s="381"/>
      <c r="P86" s="371"/>
      <c r="Q86" s="371"/>
      <c r="R86" s="381"/>
      <c r="S86" s="371"/>
      <c r="T86" s="371"/>
      <c r="U86" s="381"/>
      <c r="V86" s="371"/>
      <c r="W86" s="371"/>
      <c r="X86" s="381"/>
      <c r="Y86" s="381"/>
      <c r="Z86" s="381"/>
      <c r="AH86" s="407" t="s">
        <v>567</v>
      </c>
      <c r="AI86" s="408" t="n">
        <v>0.002</v>
      </c>
      <c r="AK86" s="407"/>
      <c r="AL86" s="408"/>
    </row>
    <row r="87" customFormat="false" ht="12.75" hidden="false" customHeight="false" outlineLevel="0" collapsed="false">
      <c r="A87" s="19"/>
      <c r="B87" s="6" t="n">
        <f aca="false">SUM(B84:B86)</f>
        <v>0.258602956594674</v>
      </c>
      <c r="C87" s="383"/>
      <c r="D87" s="11"/>
      <c r="E87" s="20" t="n">
        <f aca="false">SUM(E84:E86)</f>
        <v>0.305777830481287</v>
      </c>
      <c r="F87" s="363"/>
      <c r="G87" s="13"/>
      <c r="H87" s="6" t="n">
        <f aca="false">SUM(H84:H86)</f>
        <v>0.0889575818142895</v>
      </c>
      <c r="I87" s="383"/>
      <c r="J87" s="378"/>
      <c r="K87" s="6" t="n">
        <f aca="false">SUM(K84:K86)</f>
        <v>0.141385425893501</v>
      </c>
      <c r="L87" s="383"/>
      <c r="M87" s="379"/>
      <c r="N87" s="20" t="n">
        <f aca="false">SUM(N84:N86)</f>
        <v>0.487957095158597</v>
      </c>
      <c r="O87" s="383"/>
      <c r="P87" s="371"/>
      <c r="Q87" s="371"/>
      <c r="R87" s="383"/>
      <c r="S87" s="371"/>
      <c r="T87" s="371"/>
      <c r="U87" s="383"/>
      <c r="V87" s="371"/>
      <c r="W87" s="371"/>
      <c r="X87" s="383"/>
      <c r="Y87" s="383"/>
      <c r="Z87" s="383"/>
      <c r="AH87" s="8" t="s">
        <v>568</v>
      </c>
      <c r="AI87" s="408" t="n">
        <v>0.004</v>
      </c>
      <c r="AL87" s="408"/>
    </row>
    <row r="88" customFormat="false" ht="12.75" hidden="false" customHeight="false" outlineLevel="0" collapsed="false">
      <c r="A88" s="410" t="s">
        <v>2</v>
      </c>
      <c r="B88" s="6" t="s">
        <v>607</v>
      </c>
      <c r="C88" s="363"/>
      <c r="D88" s="374" t="s">
        <v>597</v>
      </c>
      <c r="E88" s="20" t="s">
        <v>608</v>
      </c>
      <c r="F88" s="371"/>
      <c r="G88" s="387" t="s">
        <v>471</v>
      </c>
      <c r="H88" s="388" t="s">
        <v>609</v>
      </c>
      <c r="I88" s="363"/>
      <c r="J88" s="373" t="s">
        <v>473</v>
      </c>
      <c r="K88" s="7" t="s">
        <v>586</v>
      </c>
      <c r="L88" s="363"/>
      <c r="M88" s="374" t="s">
        <v>475</v>
      </c>
      <c r="N88" s="375" t="s">
        <v>610</v>
      </c>
      <c r="O88" s="363"/>
      <c r="P88" s="381"/>
      <c r="Q88" s="381"/>
      <c r="R88" s="363"/>
      <c r="S88" s="381"/>
      <c r="T88" s="381"/>
      <c r="U88" s="363"/>
      <c r="V88" s="381"/>
      <c r="W88" s="381"/>
      <c r="X88" s="363"/>
      <c r="Y88" s="383"/>
      <c r="Z88" s="383"/>
      <c r="AH88" s="8" t="s">
        <v>574</v>
      </c>
      <c r="AI88" s="408" t="n">
        <v>0.002</v>
      </c>
      <c r="AL88" s="408"/>
    </row>
    <row r="89" customFormat="false" ht="12.75" hidden="false" customHeight="false" outlineLevel="0" collapsed="false">
      <c r="A89" s="411" t="s">
        <v>6</v>
      </c>
      <c r="B89" s="9" t="n">
        <v>0.0139</v>
      </c>
      <c r="C89" s="371"/>
      <c r="D89" s="11" t="s">
        <v>6</v>
      </c>
      <c r="E89" s="12" t="n">
        <v>0.3088</v>
      </c>
      <c r="F89" s="371"/>
      <c r="G89" s="5" t="s">
        <v>6</v>
      </c>
      <c r="H89" s="10" t="n">
        <f aca="false">0.0511-0.0022-0.0088</f>
        <v>0.0401</v>
      </c>
      <c r="I89" s="371"/>
      <c r="J89" s="378" t="s">
        <v>6</v>
      </c>
      <c r="K89" s="10" t="n">
        <v>0.0087</v>
      </c>
      <c r="L89" s="371"/>
      <c r="M89" s="379" t="s">
        <v>6</v>
      </c>
      <c r="N89" s="14" t="n">
        <v>0.3916</v>
      </c>
      <c r="O89" s="371"/>
      <c r="P89" s="383"/>
      <c r="Q89" s="383"/>
      <c r="R89" s="371"/>
      <c r="S89" s="383"/>
      <c r="T89" s="383"/>
      <c r="U89" s="371"/>
      <c r="V89" s="383"/>
      <c r="W89" s="383"/>
      <c r="X89" s="371"/>
      <c r="Y89" s="393"/>
      <c r="Z89" s="393"/>
      <c r="AL89" s="408"/>
    </row>
    <row r="90" customFormat="false" ht="12.75" hidden="false" customHeight="false" outlineLevel="0" collapsed="false">
      <c r="A90" s="414" t="s">
        <v>7</v>
      </c>
      <c r="B90" s="9" t="n">
        <f aca="false">0.0022+0.007+0.0097</f>
        <v>0.0189</v>
      </c>
      <c r="C90" s="371"/>
      <c r="D90" s="11" t="s">
        <v>7</v>
      </c>
      <c r="E90" s="12" t="n">
        <f aca="false">0.007+0.0022+0.0097</f>
        <v>0.0189</v>
      </c>
      <c r="F90" s="381"/>
      <c r="G90" s="5" t="s">
        <v>7</v>
      </c>
      <c r="H90" s="10" t="n">
        <f aca="false">0.0022+0.007</f>
        <v>0.0092</v>
      </c>
      <c r="I90" s="371"/>
      <c r="J90" s="378" t="s">
        <v>7</v>
      </c>
      <c r="K90" s="10" t="n">
        <f aca="false">0.0022+0.007</f>
        <v>0.0092</v>
      </c>
      <c r="L90" s="371"/>
      <c r="M90" s="379" t="s">
        <v>7</v>
      </c>
      <c r="N90" s="14" t="n">
        <f aca="false">0.0022+0.007</f>
        <v>0.0092</v>
      </c>
      <c r="O90" s="371"/>
      <c r="P90" s="363"/>
      <c r="Q90" s="363"/>
      <c r="R90" s="371"/>
      <c r="S90" s="363"/>
      <c r="T90" s="363"/>
      <c r="U90" s="371"/>
      <c r="V90" s="363"/>
      <c r="W90" s="363"/>
      <c r="X90" s="371"/>
      <c r="Y90" s="393"/>
      <c r="Z90" s="393"/>
      <c r="AH90" s="405" t="n">
        <v>36708</v>
      </c>
      <c r="AK90" s="405"/>
    </row>
    <row r="91" customFormat="false" ht="12.75" hidden="false" customHeight="false" outlineLevel="0" collapsed="false">
      <c r="A91" s="15" t="n">
        <v>0.0189</v>
      </c>
      <c r="B91" s="382" t="n">
        <f aca="false">(B3)/(1-A91)-B3</f>
        <v>0.0801386199164202</v>
      </c>
      <c r="C91" s="381"/>
      <c r="D91" s="17" t="n">
        <v>0.0081</v>
      </c>
      <c r="E91" s="16" t="n">
        <f aca="false">(E$7)/(1-D91)-E$7</f>
        <v>0.0376928457238321</v>
      </c>
      <c r="F91" s="383"/>
      <c r="G91" s="15" t="n">
        <v>0.0101</v>
      </c>
      <c r="H91" s="406" t="n">
        <f aca="false">(H5)/(1-G91)-H5</f>
        <v>0.0449954540862709</v>
      </c>
      <c r="I91" s="381"/>
      <c r="J91" s="17" t="n">
        <v>0.0291</v>
      </c>
      <c r="K91" s="406" t="n">
        <f aca="false">(K$3)/(1-J91)-K$3</f>
        <v>0.123485425893501</v>
      </c>
      <c r="L91" s="381"/>
      <c r="M91" s="17" t="n">
        <v>0.0505</v>
      </c>
      <c r="N91" s="16" t="n">
        <f aca="false">(N$6)/(1-M91)-(N$6)</f>
        <v>0.225774091627172</v>
      </c>
      <c r="O91" s="381"/>
      <c r="P91" s="371"/>
      <c r="Q91" s="371"/>
      <c r="R91" s="381"/>
      <c r="S91" s="371"/>
      <c r="T91" s="371"/>
      <c r="U91" s="381"/>
      <c r="V91" s="371"/>
      <c r="W91" s="371"/>
      <c r="X91" s="381"/>
      <c r="Y91" s="393"/>
      <c r="Z91" s="393"/>
      <c r="AH91" s="407" t="s">
        <v>567</v>
      </c>
      <c r="AI91" s="408" t="n">
        <v>0.002</v>
      </c>
      <c r="AK91" s="407"/>
      <c r="AL91" s="408"/>
    </row>
    <row r="92" customFormat="false" ht="12.75" hidden="false" customHeight="false" outlineLevel="0" collapsed="false">
      <c r="A92" s="19"/>
      <c r="B92" s="6" t="n">
        <f aca="false">SUM(B89:B91)</f>
        <v>0.11293861991642</v>
      </c>
      <c r="C92" s="383"/>
      <c r="D92" s="11"/>
      <c r="E92" s="20" t="n">
        <f aca="false">SUM(E89:E91)</f>
        <v>0.365392845723832</v>
      </c>
      <c r="F92" s="383"/>
      <c r="G92" s="13"/>
      <c r="H92" s="6" t="n">
        <f aca="false">SUM(H89:H91)</f>
        <v>0.0942954540862709</v>
      </c>
      <c r="I92" s="383"/>
      <c r="J92" s="378"/>
      <c r="K92" s="6" t="n">
        <f aca="false">SUM(K89:K91)</f>
        <v>0.141385425893501</v>
      </c>
      <c r="L92" s="383"/>
      <c r="M92" s="379"/>
      <c r="N92" s="20" t="n">
        <f aca="false">SUM(N89:N91)</f>
        <v>0.626574091627172</v>
      </c>
      <c r="O92" s="383"/>
      <c r="P92" s="371"/>
      <c r="Q92" s="371"/>
      <c r="R92" s="383"/>
      <c r="S92" s="371"/>
      <c r="T92" s="371"/>
      <c r="U92" s="383"/>
      <c r="V92" s="371"/>
      <c r="W92" s="371"/>
      <c r="X92" s="383"/>
      <c r="Y92" s="381"/>
      <c r="Z92" s="381"/>
      <c r="AH92" s="8" t="s">
        <v>568</v>
      </c>
      <c r="AI92" s="408" t="n">
        <v>0.004</v>
      </c>
      <c r="AL92" s="408"/>
    </row>
    <row r="93" customFormat="false" ht="12.75" hidden="false" customHeight="false" outlineLevel="0" collapsed="false">
      <c r="A93" s="410" t="s">
        <v>2</v>
      </c>
      <c r="B93" s="6" t="s">
        <v>611</v>
      </c>
      <c r="C93" s="363"/>
      <c r="D93" s="374" t="s">
        <v>597</v>
      </c>
      <c r="E93" s="20" t="s">
        <v>612</v>
      </c>
      <c r="F93" s="393"/>
      <c r="G93" s="387" t="s">
        <v>471</v>
      </c>
      <c r="H93" s="388" t="s">
        <v>613</v>
      </c>
      <c r="I93" s="383"/>
      <c r="J93" s="373" t="s">
        <v>473</v>
      </c>
      <c r="K93" s="7" t="s">
        <v>591</v>
      </c>
      <c r="L93" s="383"/>
      <c r="M93" s="374" t="s">
        <v>475</v>
      </c>
      <c r="N93" s="20" t="s">
        <v>614</v>
      </c>
      <c r="O93" s="383"/>
      <c r="P93" s="381"/>
      <c r="Q93" s="381"/>
      <c r="R93" s="363"/>
      <c r="S93" s="381"/>
      <c r="T93" s="381"/>
      <c r="U93" s="363"/>
      <c r="V93" s="381"/>
      <c r="W93" s="381"/>
      <c r="X93" s="363"/>
      <c r="Y93" s="383"/>
      <c r="Z93" s="383"/>
      <c r="AH93" s="8" t="s">
        <v>574</v>
      </c>
      <c r="AI93" s="408" t="n">
        <v>0.002</v>
      </c>
      <c r="AL93" s="408"/>
    </row>
    <row r="94" customFormat="false" ht="12.75" hidden="false" customHeight="false" outlineLevel="0" collapsed="false">
      <c r="A94" s="415" t="s">
        <v>6</v>
      </c>
      <c r="B94" s="9" t="n">
        <v>0.0247</v>
      </c>
      <c r="C94" s="371"/>
      <c r="D94" s="11" t="s">
        <v>6</v>
      </c>
      <c r="E94" s="12" t="n">
        <v>0.3088</v>
      </c>
      <c r="F94" s="393"/>
      <c r="G94" s="5" t="s">
        <v>6</v>
      </c>
      <c r="H94" s="10" t="n">
        <v>0.0834</v>
      </c>
      <c r="I94" s="393"/>
      <c r="J94" s="378" t="s">
        <v>6</v>
      </c>
      <c r="K94" s="10" t="n">
        <v>0.0228</v>
      </c>
      <c r="L94" s="393"/>
      <c r="M94" s="379" t="s">
        <v>6</v>
      </c>
      <c r="N94" s="12" t="n">
        <v>0.2256</v>
      </c>
      <c r="O94" s="393"/>
      <c r="P94" s="412"/>
      <c r="Q94" s="413"/>
      <c r="R94" s="371"/>
      <c r="S94" s="412"/>
      <c r="T94" s="413"/>
      <c r="U94" s="371"/>
      <c r="V94" s="412"/>
      <c r="W94" s="413"/>
      <c r="X94" s="371"/>
      <c r="Y94" s="363"/>
      <c r="Z94" s="363"/>
      <c r="AL94" s="408"/>
    </row>
    <row r="95" customFormat="false" ht="12.75" hidden="false" customHeight="false" outlineLevel="0" collapsed="false">
      <c r="A95" s="414" t="s">
        <v>7</v>
      </c>
      <c r="B95" s="9" t="n">
        <f aca="false">0.0022+0.007+0.0097</f>
        <v>0.0189</v>
      </c>
      <c r="C95" s="371"/>
      <c r="D95" s="11" t="s">
        <v>7</v>
      </c>
      <c r="E95" s="12" t="n">
        <f aca="false">0.007+0.0022+0.0097</f>
        <v>0.0189</v>
      </c>
      <c r="F95" s="381"/>
      <c r="G95" s="5" t="s">
        <v>7</v>
      </c>
      <c r="H95" s="10" t="n">
        <f aca="false">0.0022+0.007</f>
        <v>0.0092</v>
      </c>
      <c r="I95" s="393" t="s">
        <v>9</v>
      </c>
      <c r="J95" s="378" t="s">
        <v>7</v>
      </c>
      <c r="K95" s="10" t="n">
        <f aca="false">0.0022+0.007</f>
        <v>0.0092</v>
      </c>
      <c r="L95" s="393"/>
      <c r="M95" s="379" t="s">
        <v>7</v>
      </c>
      <c r="N95" s="14" t="n">
        <f aca="false">0.0022+0.007</f>
        <v>0.0092</v>
      </c>
      <c r="O95" s="393"/>
      <c r="P95" s="363"/>
      <c r="Q95" s="363"/>
      <c r="R95" s="371"/>
      <c r="S95" s="363"/>
      <c r="T95" s="363"/>
      <c r="U95" s="371"/>
      <c r="V95" s="363"/>
      <c r="W95" s="363"/>
      <c r="X95" s="371"/>
      <c r="Y95" s="371"/>
      <c r="Z95" s="371"/>
      <c r="AH95" s="405" t="n">
        <v>36678</v>
      </c>
      <c r="AK95" s="405"/>
    </row>
    <row r="96" customFormat="false" ht="12.75" hidden="false" customHeight="false" outlineLevel="0" collapsed="false">
      <c r="A96" s="15" t="n">
        <v>0.0337</v>
      </c>
      <c r="B96" s="382" t="n">
        <f aca="false">(B3)/(1-A96)-B3</f>
        <v>0.145081237710856</v>
      </c>
      <c r="C96" s="381"/>
      <c r="D96" s="17" t="n">
        <v>0.027</v>
      </c>
      <c r="E96" s="16" t="n">
        <f aca="false">(E$7)/(1-D96)-E$7</f>
        <v>0.128083363047172</v>
      </c>
      <c r="F96" s="383"/>
      <c r="G96" s="15" t="n">
        <v>0.0192</v>
      </c>
      <c r="H96" s="406" t="n">
        <f aca="false">(H5)/(1-G96)-H5</f>
        <v>0.0863295269168027</v>
      </c>
      <c r="I96" s="381"/>
      <c r="J96" s="17" t="n">
        <v>0.0575</v>
      </c>
      <c r="K96" s="406" t="n">
        <f aca="false">(K$3)/(1-J96)-K$3</f>
        <v>0.251352785145889</v>
      </c>
      <c r="L96" s="381"/>
      <c r="M96" s="17" t="n">
        <v>0.0353</v>
      </c>
      <c r="N96" s="16" t="n">
        <f aca="false">(N$6)/(1-M96)-(N$6)</f>
        <v>0.155331709339691</v>
      </c>
      <c r="O96" s="381"/>
      <c r="P96" s="371"/>
      <c r="Q96" s="371"/>
      <c r="R96" s="381"/>
      <c r="S96" s="371"/>
      <c r="T96" s="371"/>
      <c r="U96" s="381"/>
      <c r="V96" s="371"/>
      <c r="W96" s="371"/>
      <c r="X96" s="381"/>
      <c r="Y96" s="371"/>
      <c r="Z96" s="371"/>
      <c r="AH96" s="407" t="s">
        <v>567</v>
      </c>
      <c r="AI96" s="408" t="n">
        <v>0.0001</v>
      </c>
      <c r="AK96" s="407"/>
      <c r="AL96" s="408"/>
    </row>
    <row r="97" customFormat="false" ht="12.75" hidden="false" customHeight="false" outlineLevel="0" collapsed="false">
      <c r="A97" s="19"/>
      <c r="B97" s="6" t="n">
        <f aca="false">SUM(B94:B96)</f>
        <v>0.188681237710856</v>
      </c>
      <c r="C97" s="383"/>
      <c r="D97" s="11"/>
      <c r="E97" s="20" t="n">
        <f aca="false">SUM(E94:E96)</f>
        <v>0.455783363047172</v>
      </c>
      <c r="F97" s="363"/>
      <c r="G97" s="13"/>
      <c r="H97" s="6" t="n">
        <f aca="false">SUM(H94:H96)</f>
        <v>0.178929526916803</v>
      </c>
      <c r="I97" s="383"/>
      <c r="J97" s="378"/>
      <c r="K97" s="6" t="n">
        <f aca="false">SUM(K94:K96)</f>
        <v>0.283352785145889</v>
      </c>
      <c r="L97" s="383"/>
      <c r="M97" s="379"/>
      <c r="N97" s="20" t="n">
        <f aca="false">SUM(N94:N96)</f>
        <v>0.390131709339691</v>
      </c>
      <c r="O97" s="383"/>
      <c r="P97" s="371"/>
      <c r="Q97" s="371"/>
      <c r="R97" s="383"/>
      <c r="S97" s="371"/>
      <c r="T97" s="371"/>
      <c r="U97" s="383"/>
      <c r="V97" s="371"/>
      <c r="W97" s="371"/>
      <c r="X97" s="383"/>
      <c r="Y97" s="381"/>
      <c r="Z97" s="381"/>
      <c r="AH97" s="8" t="s">
        <v>568</v>
      </c>
      <c r="AI97" s="408" t="n">
        <v>0.0002</v>
      </c>
      <c r="AL97" s="408"/>
    </row>
    <row r="98" customFormat="false" ht="12.75" hidden="false" customHeight="false" outlineLevel="0" collapsed="false">
      <c r="A98" s="410" t="s">
        <v>2</v>
      </c>
      <c r="B98" s="6" t="s">
        <v>615</v>
      </c>
      <c r="C98" s="383"/>
      <c r="D98" s="374" t="s">
        <v>597</v>
      </c>
      <c r="E98" s="20" t="s">
        <v>616</v>
      </c>
      <c r="F98" s="371"/>
      <c r="G98" s="387" t="s">
        <v>471</v>
      </c>
      <c r="H98" s="388" t="s">
        <v>617</v>
      </c>
      <c r="I98" s="363"/>
      <c r="J98" s="373" t="s">
        <v>473</v>
      </c>
      <c r="K98" s="7" t="s">
        <v>596</v>
      </c>
      <c r="L98" s="363"/>
      <c r="M98" s="374" t="s">
        <v>475</v>
      </c>
      <c r="N98" s="20" t="s">
        <v>618</v>
      </c>
      <c r="O98" s="363"/>
      <c r="P98" s="381"/>
      <c r="Q98" s="381"/>
      <c r="R98" s="383"/>
      <c r="S98" s="381"/>
      <c r="T98" s="381"/>
      <c r="U98" s="383"/>
      <c r="V98" s="381"/>
      <c r="W98" s="381"/>
      <c r="X98" s="383"/>
      <c r="Y98" s="383"/>
      <c r="Z98" s="383"/>
      <c r="AH98" s="8" t="s">
        <v>574</v>
      </c>
      <c r="AI98" s="408" t="n">
        <v>0.0001</v>
      </c>
      <c r="AL98" s="408"/>
    </row>
    <row r="99" customFormat="false" ht="12.75" hidden="false" customHeight="false" outlineLevel="0" collapsed="false">
      <c r="A99" s="415" t="s">
        <v>6</v>
      </c>
      <c r="B99" s="9" t="n">
        <v>0.0305</v>
      </c>
      <c r="C99" s="393"/>
      <c r="D99" s="11" t="s">
        <v>6</v>
      </c>
      <c r="E99" s="12" t="n">
        <v>0.3088</v>
      </c>
      <c r="F99" s="371"/>
      <c r="G99" s="5" t="s">
        <v>6</v>
      </c>
      <c r="H99" s="10" t="n">
        <v>0.0459</v>
      </c>
      <c r="I99" s="371"/>
      <c r="J99" s="378" t="s">
        <v>6</v>
      </c>
      <c r="K99" s="10" t="n">
        <v>0.0431</v>
      </c>
      <c r="L99" s="371"/>
      <c r="M99" s="379" t="s">
        <v>6</v>
      </c>
      <c r="N99" s="12" t="n">
        <v>0.3273</v>
      </c>
      <c r="O99" s="371"/>
      <c r="P99" s="383"/>
      <c r="Q99" s="383"/>
      <c r="R99" s="393"/>
      <c r="S99" s="383"/>
      <c r="T99" s="383"/>
      <c r="U99" s="393"/>
      <c r="V99" s="383"/>
      <c r="W99" s="383"/>
      <c r="X99" s="393"/>
      <c r="AL99" s="408"/>
    </row>
    <row r="100" customFormat="false" ht="12.75" hidden="false" customHeight="false" outlineLevel="0" collapsed="false">
      <c r="A100" s="414" t="s">
        <v>7</v>
      </c>
      <c r="B100" s="9" t="n">
        <f aca="false">0.0022+0.007+0.0097</f>
        <v>0.0189</v>
      </c>
      <c r="C100" s="393"/>
      <c r="D100" s="11" t="s">
        <v>7</v>
      </c>
      <c r="E100" s="12" t="n">
        <f aca="false">0.007+0.0022+0.0097</f>
        <v>0.0189</v>
      </c>
      <c r="F100" s="371"/>
      <c r="G100" s="5" t="s">
        <v>7</v>
      </c>
      <c r="H100" s="10" t="n">
        <f aca="false">0.0022+0.007</f>
        <v>0.0092</v>
      </c>
      <c r="I100" s="371"/>
      <c r="J100" s="378" t="s">
        <v>7</v>
      </c>
      <c r="K100" s="10" t="n">
        <f aca="false">0.0022+0.007</f>
        <v>0.0092</v>
      </c>
      <c r="L100" s="371"/>
      <c r="M100" s="379" t="s">
        <v>7</v>
      </c>
      <c r="N100" s="14" t="n">
        <f aca="false">0.0022+0.007</f>
        <v>0.0092</v>
      </c>
      <c r="O100" s="371"/>
      <c r="P100" s="363"/>
      <c r="Q100" s="363"/>
      <c r="R100" s="393"/>
      <c r="S100" s="363"/>
      <c r="T100" s="363"/>
      <c r="U100" s="393"/>
      <c r="V100" s="363"/>
      <c r="W100" s="363"/>
      <c r="X100" s="393"/>
      <c r="Y100" s="363"/>
      <c r="Z100" s="363"/>
      <c r="AH100" s="405" t="n">
        <v>36647</v>
      </c>
      <c r="AK100" s="405"/>
    </row>
    <row r="101" customFormat="false" ht="12.75" hidden="false" customHeight="false" outlineLevel="0" collapsed="false">
      <c r="A101" s="15" t="n">
        <v>0.0418</v>
      </c>
      <c r="B101" s="382" t="n">
        <f aca="false">(B3)/(1-A101)-B3</f>
        <v>0.181473596326446</v>
      </c>
      <c r="C101" s="393"/>
      <c r="D101" s="17" t="n">
        <v>0.0189</v>
      </c>
      <c r="E101" s="16" t="n">
        <f aca="false">(E$7)/(1-D101)-E$7</f>
        <v>0.0889181312520933</v>
      </c>
      <c r="F101" s="381"/>
      <c r="G101" s="416" t="n">
        <v>0.0107</v>
      </c>
      <c r="H101" s="382" t="n">
        <f aca="false">(+H5)/(1-G101)-H5</f>
        <v>0.0476973617709495</v>
      </c>
      <c r="I101" s="371"/>
      <c r="J101" s="17" t="n">
        <v>0.0707</v>
      </c>
      <c r="K101" s="406" t="n">
        <f aca="false">(K$3)/(1-J101)-K$3</f>
        <v>0.31344452813946</v>
      </c>
      <c r="L101" s="371"/>
      <c r="M101" s="17" t="n">
        <v>0.0442</v>
      </c>
      <c r="N101" s="16" t="n">
        <f aca="false">(N$6)/(1-M101)-(N$6)</f>
        <v>0.196305712492153</v>
      </c>
      <c r="O101" s="371"/>
      <c r="P101" s="371"/>
      <c r="Q101" s="371"/>
      <c r="R101" s="393"/>
      <c r="S101" s="371"/>
      <c r="T101" s="371"/>
      <c r="U101" s="393"/>
      <c r="V101" s="371"/>
      <c r="W101" s="371"/>
      <c r="X101" s="393"/>
      <c r="Y101" s="371"/>
      <c r="Z101" s="371"/>
      <c r="AH101" s="407" t="s">
        <v>567</v>
      </c>
      <c r="AI101" s="408" t="n">
        <v>0</v>
      </c>
      <c r="AK101" s="407"/>
      <c r="AL101" s="408"/>
    </row>
    <row r="102" customFormat="false" ht="12.75" hidden="false" customHeight="false" outlineLevel="0" collapsed="false">
      <c r="A102" s="19"/>
      <c r="B102" s="6" t="n">
        <f aca="false">SUM(B99:B101)</f>
        <v>0.230873596326446</v>
      </c>
      <c r="C102" s="381"/>
      <c r="D102" s="11"/>
      <c r="E102" s="20" t="n">
        <f aca="false">SUM(E99:E101)</f>
        <v>0.416618131252093</v>
      </c>
      <c r="F102" s="383"/>
      <c r="G102" s="13"/>
      <c r="H102" s="6" t="n">
        <f aca="false">SUM(H99:H101)</f>
        <v>0.10279736177095</v>
      </c>
      <c r="I102" s="381"/>
      <c r="J102" s="378"/>
      <c r="K102" s="6" t="n">
        <f aca="false">SUM(K99:K101)</f>
        <v>0.36574452813946</v>
      </c>
      <c r="L102" s="381"/>
      <c r="M102" s="379"/>
      <c r="N102" s="20" t="n">
        <f aca="false">SUM(N99:N101)</f>
        <v>0.532805712492153</v>
      </c>
      <c r="O102" s="381"/>
      <c r="P102" s="371" t="n">
        <f aca="false">+'Offseason Rate'!B102+'Offseason Rate'!B3</f>
        <v>5.18937974068071</v>
      </c>
      <c r="Q102" s="371" t="n">
        <f aca="false">+P102*0.6</f>
        <v>3.11362784440843</v>
      </c>
      <c r="R102" s="381"/>
      <c r="S102" s="371" t="e">
        <f aca="false">+#REF!+'Offseason Rate'!E3</f>
        <v>#REF!</v>
      </c>
      <c r="T102" s="371" t="e">
        <f aca="false">+S102*0.6</f>
        <v>#REF!</v>
      </c>
      <c r="U102" s="381"/>
      <c r="V102" s="371"/>
      <c r="W102" s="371"/>
      <c r="X102" s="381"/>
      <c r="Y102" s="371"/>
      <c r="Z102" s="371"/>
      <c r="AH102" s="8" t="s">
        <v>568</v>
      </c>
      <c r="AI102" s="408" t="n">
        <v>0</v>
      </c>
      <c r="AL102" s="408"/>
    </row>
    <row r="103" customFormat="false" ht="12.75" hidden="false" customHeight="false" outlineLevel="0" collapsed="false">
      <c r="A103" s="410" t="s">
        <v>2</v>
      </c>
      <c r="B103" s="6" t="s">
        <v>619</v>
      </c>
      <c r="C103" s="383"/>
      <c r="D103" s="374"/>
      <c r="E103" s="20"/>
      <c r="G103" s="387" t="s">
        <v>471</v>
      </c>
      <c r="H103" s="396" t="s">
        <v>620</v>
      </c>
      <c r="I103" s="383"/>
      <c r="J103" s="373" t="s">
        <v>473</v>
      </c>
      <c r="K103" s="7" t="s">
        <v>601</v>
      </c>
      <c r="L103" s="383"/>
      <c r="M103" s="374" t="s">
        <v>475</v>
      </c>
      <c r="N103" s="20" t="s">
        <v>621</v>
      </c>
      <c r="O103" s="383"/>
      <c r="P103" s="381"/>
      <c r="Q103" s="381"/>
      <c r="R103" s="383"/>
      <c r="S103" s="381"/>
      <c r="T103" s="381"/>
      <c r="U103" s="383"/>
      <c r="V103" s="381"/>
      <c r="W103" s="381"/>
      <c r="X103" s="383"/>
      <c r="Y103" s="381"/>
      <c r="Z103" s="381"/>
      <c r="AH103" s="8" t="s">
        <v>574</v>
      </c>
      <c r="AI103" s="408" t="n">
        <v>0</v>
      </c>
      <c r="AL103" s="408"/>
    </row>
    <row r="104" customFormat="false" ht="12.75" hidden="false" customHeight="false" outlineLevel="0" collapsed="false">
      <c r="A104" s="411" t="s">
        <v>6</v>
      </c>
      <c r="B104" s="9" t="n">
        <v>0.0042</v>
      </c>
      <c r="C104" s="363"/>
      <c r="D104" s="11"/>
      <c r="E104" s="12"/>
      <c r="F104" s="363"/>
      <c r="G104" s="13" t="s">
        <v>6</v>
      </c>
      <c r="H104" s="10" t="n">
        <v>0.0427</v>
      </c>
      <c r="J104" s="378" t="s">
        <v>6</v>
      </c>
      <c r="K104" s="10" t="n">
        <v>0.057</v>
      </c>
      <c r="M104" s="379" t="s">
        <v>6</v>
      </c>
      <c r="N104" s="12" t="n">
        <v>0.1806</v>
      </c>
      <c r="P104" s="383"/>
      <c r="Q104" s="383"/>
      <c r="R104" s="363"/>
      <c r="S104" s="383"/>
      <c r="T104" s="383"/>
      <c r="U104" s="363"/>
      <c r="V104" s="383"/>
      <c r="W104" s="383"/>
      <c r="X104" s="363"/>
      <c r="Y104" s="383"/>
      <c r="Z104" s="383"/>
      <c r="AL104" s="408"/>
    </row>
    <row r="105" customFormat="false" ht="12.75" hidden="false" customHeight="false" outlineLevel="0" collapsed="false">
      <c r="A105" s="414" t="s">
        <v>7</v>
      </c>
      <c r="B105" s="9" t="n">
        <v>0</v>
      </c>
      <c r="C105" s="371"/>
      <c r="D105" s="11"/>
      <c r="E105" s="12"/>
      <c r="F105" s="371"/>
      <c r="G105" s="13" t="s">
        <v>7</v>
      </c>
      <c r="H105" s="10" t="n">
        <f aca="false">0.0022+0.007</f>
        <v>0.0092</v>
      </c>
      <c r="I105" s="363"/>
      <c r="J105" s="378" t="s">
        <v>7</v>
      </c>
      <c r="K105" s="10" t="n">
        <f aca="false">0.0022+0.007</f>
        <v>0.0092</v>
      </c>
      <c r="L105" s="363"/>
      <c r="M105" s="379" t="s">
        <v>7</v>
      </c>
      <c r="N105" s="14" t="n">
        <f aca="false">0.0022+0.007</f>
        <v>0.0092</v>
      </c>
      <c r="O105" s="363"/>
      <c r="P105" s="383"/>
      <c r="Q105" s="383"/>
      <c r="R105" s="371"/>
      <c r="S105" s="383"/>
      <c r="T105" s="383"/>
      <c r="U105" s="371"/>
      <c r="V105" s="383"/>
      <c r="W105" s="383"/>
      <c r="X105" s="371"/>
      <c r="Y105" s="363"/>
      <c r="Z105" s="363"/>
      <c r="AH105" s="405" t="n">
        <v>36617</v>
      </c>
      <c r="AK105" s="405"/>
    </row>
    <row r="106" customFormat="false" ht="12.75" hidden="false" customHeight="false" outlineLevel="0" collapsed="false">
      <c r="A106" s="15" t="n">
        <v>0.0057</v>
      </c>
      <c r="B106" s="382" t="n">
        <f aca="false">B3/(1-A106)-B3</f>
        <v>0.0238479332193506</v>
      </c>
      <c r="C106" s="371"/>
      <c r="D106" s="11"/>
      <c r="E106" s="16"/>
      <c r="F106" s="371"/>
      <c r="G106" s="15" t="n">
        <v>0.0117</v>
      </c>
      <c r="H106" s="384" t="n">
        <f aca="false">(+H5)/(1-G106)-H5</f>
        <v>0.0522078316300725</v>
      </c>
      <c r="I106" s="371"/>
      <c r="J106" s="17" t="n">
        <v>0.0796</v>
      </c>
      <c r="K106" s="406" t="n">
        <f aca="false">(K$3)/(1-J106)-K$3</f>
        <v>0.356314645806171</v>
      </c>
      <c r="L106" s="371"/>
      <c r="M106" s="17" t="n">
        <v>0.031</v>
      </c>
      <c r="N106" s="16" t="n">
        <f aca="false">(N$7)/(1-M106)-N$7</f>
        <v>0.144922600619195</v>
      </c>
      <c r="O106" s="371"/>
      <c r="P106" s="393"/>
      <c r="Q106" s="393"/>
      <c r="R106" s="371"/>
      <c r="S106" s="393"/>
      <c r="T106" s="393"/>
      <c r="U106" s="371"/>
      <c r="V106" s="393"/>
      <c r="W106" s="393"/>
      <c r="X106" s="371"/>
      <c r="Y106" s="371"/>
      <c r="Z106" s="371"/>
      <c r="AH106" s="407" t="s">
        <v>567</v>
      </c>
      <c r="AI106" s="408" t="n">
        <v>0.004</v>
      </c>
      <c r="AK106" s="407"/>
      <c r="AL106" s="408"/>
    </row>
    <row r="107" customFormat="false" ht="12.75" hidden="false" customHeight="false" outlineLevel="0" collapsed="false">
      <c r="A107" s="19"/>
      <c r="B107" s="6" t="n">
        <f aca="false">SUM(B104:B106)</f>
        <v>0.0280479332193506</v>
      </c>
      <c r="C107" s="381"/>
      <c r="D107" s="11"/>
      <c r="E107" s="20"/>
      <c r="F107" s="381"/>
      <c r="G107" s="13"/>
      <c r="H107" s="6" t="n">
        <f aca="false">SUM(H104:H106)</f>
        <v>0.104107831630072</v>
      </c>
      <c r="I107" s="371"/>
      <c r="J107" s="378"/>
      <c r="K107" s="6" t="n">
        <f aca="false">SUM(K104:K106)</f>
        <v>0.422514645806172</v>
      </c>
      <c r="L107" s="371"/>
      <c r="M107" s="379"/>
      <c r="N107" s="20" t="n">
        <f aca="false">SUM(N104:N106)</f>
        <v>0.334722600619196</v>
      </c>
      <c r="O107" s="371"/>
      <c r="P107" s="393" t="n">
        <f aca="false">+'Offseason Rate'!B107+'Offseason Rate'!B3</f>
        <v>5.14499045226131</v>
      </c>
      <c r="Q107" s="393" t="n">
        <f aca="false">+P107*0.4</f>
        <v>2.05799618090452</v>
      </c>
      <c r="R107" s="381"/>
      <c r="S107" s="393" t="n">
        <f aca="false">+'Offseason Rate'!E92+'Offseason Rate'!E3</f>
        <v>5.1920908884766</v>
      </c>
      <c r="T107" s="393" t="n">
        <f aca="false">+S107*0.4</f>
        <v>2.07683635539064</v>
      </c>
      <c r="U107" s="381"/>
      <c r="V107" s="393"/>
      <c r="W107" s="393"/>
      <c r="X107" s="381"/>
      <c r="Y107" s="371"/>
      <c r="Z107" s="371"/>
      <c r="AH107" s="8" t="s">
        <v>568</v>
      </c>
      <c r="AI107" s="408" t="n">
        <v>0.008</v>
      </c>
      <c r="AL107" s="408"/>
    </row>
    <row r="108" customFormat="false" ht="12.75" hidden="false" customHeight="false" outlineLevel="0" collapsed="false">
      <c r="A108" s="410" t="s">
        <v>2</v>
      </c>
      <c r="B108" s="6" t="s">
        <v>622</v>
      </c>
      <c r="C108" s="383"/>
      <c r="F108" s="383"/>
      <c r="G108" s="417" t="s">
        <v>623</v>
      </c>
      <c r="H108" s="396" t="s">
        <v>624</v>
      </c>
      <c r="I108" s="381"/>
      <c r="J108" s="373" t="s">
        <v>473</v>
      </c>
      <c r="K108" s="7" t="s">
        <v>625</v>
      </c>
      <c r="L108" s="381"/>
      <c r="M108" s="418"/>
      <c r="N108" s="383"/>
      <c r="O108" s="381"/>
      <c r="P108" s="393"/>
      <c r="Q108" s="393" t="n">
        <f aca="false">SUM(Q102:Q107)</f>
        <v>5.17162402531295</v>
      </c>
      <c r="R108" s="383"/>
      <c r="S108" s="393"/>
      <c r="T108" s="393" t="e">
        <f aca="false">SUM(T102:T107)</f>
        <v>#REF!</v>
      </c>
      <c r="U108" s="383"/>
      <c r="V108" s="393"/>
      <c r="W108" s="393"/>
      <c r="X108" s="383"/>
      <c r="Y108" s="381"/>
      <c r="Z108" s="381"/>
      <c r="AH108" s="8" t="s">
        <v>574</v>
      </c>
      <c r="AI108" s="408" t="n">
        <v>0.004</v>
      </c>
      <c r="AL108" s="408"/>
    </row>
    <row r="109" customFormat="false" ht="12.75" hidden="false" customHeight="false" outlineLevel="0" collapsed="false">
      <c r="A109" s="415" t="s">
        <v>6</v>
      </c>
      <c r="B109" s="9" t="n">
        <v>0.0112</v>
      </c>
      <c r="F109" s="363"/>
      <c r="G109" s="13" t="s">
        <v>6</v>
      </c>
      <c r="H109" s="10" t="n">
        <v>0.0427</v>
      </c>
      <c r="I109" s="383"/>
      <c r="J109" s="378" t="s">
        <v>6</v>
      </c>
      <c r="K109" s="10" t="n">
        <v>0.0141</v>
      </c>
      <c r="L109" s="383"/>
      <c r="M109" s="371"/>
      <c r="N109" s="393"/>
      <c r="O109" s="383"/>
      <c r="P109" s="381"/>
      <c r="Q109" s="381"/>
      <c r="S109" s="381"/>
      <c r="T109" s="381"/>
      <c r="V109" s="381"/>
      <c r="W109" s="381"/>
      <c r="Y109" s="383"/>
      <c r="Z109" s="383"/>
      <c r="AI109" s="408"/>
      <c r="AL109" s="408"/>
    </row>
    <row r="110" customFormat="false" ht="12.75" hidden="false" customHeight="false" outlineLevel="0" collapsed="false">
      <c r="A110" s="414" t="s">
        <v>7</v>
      </c>
      <c r="B110" s="9" t="n">
        <f aca="false">0.0022+0.007+0.0097</f>
        <v>0.0189</v>
      </c>
      <c r="C110" s="363"/>
      <c r="F110" s="371"/>
      <c r="G110" s="13" t="s">
        <v>7</v>
      </c>
      <c r="H110" s="10" t="n">
        <f aca="false">0.0022+0.007</f>
        <v>0.0092</v>
      </c>
      <c r="I110" s="363"/>
      <c r="J110" s="378" t="s">
        <v>7</v>
      </c>
      <c r="K110" s="10" t="n">
        <f aca="false">0.0022+0.007</f>
        <v>0.0092</v>
      </c>
      <c r="L110" s="363"/>
      <c r="M110" s="371"/>
      <c r="N110" s="371"/>
      <c r="O110" s="363"/>
      <c r="P110" s="383"/>
      <c r="Q110" s="383"/>
      <c r="R110" s="363"/>
      <c r="S110" s="383"/>
      <c r="T110" s="383"/>
      <c r="U110" s="363"/>
      <c r="V110" s="383"/>
      <c r="W110" s="383"/>
      <c r="X110" s="363"/>
      <c r="AH110" s="405" t="n">
        <v>36586</v>
      </c>
      <c r="AK110" s="405"/>
    </row>
    <row r="111" customFormat="false" ht="12.75" hidden="false" customHeight="false" outlineLevel="0" collapsed="false">
      <c r="A111" s="15" t="n">
        <v>0.0148</v>
      </c>
      <c r="B111" s="382" t="n">
        <f aca="false">B7/(1-A111)-B7</f>
        <v>0.0693392453205401</v>
      </c>
      <c r="C111" s="371"/>
      <c r="F111" s="371"/>
      <c r="G111" s="15" t="n">
        <v>0.005</v>
      </c>
      <c r="H111" s="406" t="n">
        <f aca="false">(+H$5)/(1-G111)-H$5</f>
        <v>0.0221608040201007</v>
      </c>
      <c r="I111" s="371"/>
      <c r="J111" s="419" t="n">
        <v>0.0284</v>
      </c>
      <c r="K111" s="406" t="n">
        <f aca="false">(K$6)/(1-J111)-(K$6)</f>
        <v>0.124081926718814</v>
      </c>
      <c r="L111" s="371"/>
      <c r="M111" s="371"/>
      <c r="N111" s="381"/>
      <c r="O111" s="371"/>
      <c r="P111" s="363"/>
      <c r="Q111" s="363"/>
      <c r="R111" s="371"/>
      <c r="S111" s="363"/>
      <c r="T111" s="363"/>
      <c r="U111" s="371"/>
      <c r="V111" s="363"/>
      <c r="W111" s="363"/>
      <c r="X111" s="371"/>
      <c r="AH111" s="407" t="s">
        <v>567</v>
      </c>
      <c r="AI111" s="408" t="n">
        <v>0.005</v>
      </c>
      <c r="AK111" s="407"/>
      <c r="AL111" s="408"/>
    </row>
    <row r="112" customFormat="false" ht="12.75" hidden="false" customHeight="false" outlineLevel="0" collapsed="false">
      <c r="A112" s="19"/>
      <c r="B112" s="6" t="n">
        <f aca="false">SUM(B109:B111)</f>
        <v>0.0994392453205402</v>
      </c>
      <c r="C112" s="371"/>
      <c r="F112" s="381"/>
      <c r="G112" s="13"/>
      <c r="H112" s="6" t="n">
        <f aca="false">SUM(H109:H111)</f>
        <v>0.0740608040201007</v>
      </c>
      <c r="I112" s="371"/>
      <c r="J112" s="378"/>
      <c r="K112" s="6" t="n">
        <f aca="false">SUM(K109:K111)</f>
        <v>0.147381926718814</v>
      </c>
      <c r="L112" s="371"/>
      <c r="M112" s="371"/>
      <c r="N112" s="383"/>
      <c r="O112" s="371"/>
      <c r="P112" s="371"/>
      <c r="Q112" s="371"/>
      <c r="R112" s="371"/>
      <c r="S112" s="371"/>
      <c r="T112" s="371"/>
      <c r="U112" s="371"/>
      <c r="V112" s="371"/>
      <c r="W112" s="371"/>
      <c r="X112" s="371"/>
      <c r="AH112" s="8" t="s">
        <v>568</v>
      </c>
      <c r="AI112" s="408" t="n">
        <v>0.01</v>
      </c>
      <c r="AL112" s="408"/>
    </row>
    <row r="113" customFormat="false" ht="12.75" hidden="false" customHeight="false" outlineLevel="0" collapsed="false">
      <c r="A113" s="410" t="s">
        <v>2</v>
      </c>
      <c r="B113" s="6" t="s">
        <v>626</v>
      </c>
      <c r="C113" s="381"/>
      <c r="F113" s="383"/>
      <c r="G113" s="387" t="s">
        <v>471</v>
      </c>
      <c r="H113" s="396" t="s">
        <v>627</v>
      </c>
      <c r="I113" s="381"/>
      <c r="J113" s="373" t="s">
        <v>473</v>
      </c>
      <c r="K113" s="7" t="s">
        <v>606</v>
      </c>
      <c r="L113" s="381"/>
      <c r="M113" s="371"/>
      <c r="N113" s="371"/>
      <c r="O113" s="381"/>
      <c r="P113" s="371"/>
      <c r="Q113" s="371"/>
      <c r="R113" s="381"/>
      <c r="S113" s="371"/>
      <c r="T113" s="371"/>
      <c r="U113" s="381"/>
      <c r="V113" s="371"/>
      <c r="W113" s="371"/>
      <c r="X113" s="381"/>
      <c r="AH113" s="8" t="s">
        <v>574</v>
      </c>
      <c r="AI113" s="408" t="n">
        <v>0.005</v>
      </c>
      <c r="AL113" s="408"/>
    </row>
    <row r="114" customFormat="false" ht="12.75" hidden="false" customHeight="false" outlineLevel="0" collapsed="false">
      <c r="A114" s="415" t="s">
        <v>6</v>
      </c>
      <c r="B114" s="9" t="n">
        <v>0.017</v>
      </c>
      <c r="C114" s="383"/>
      <c r="G114" s="13" t="s">
        <v>6</v>
      </c>
      <c r="H114" s="10" t="n">
        <v>0.0765</v>
      </c>
      <c r="I114" s="383"/>
      <c r="J114" s="378" t="s">
        <v>6</v>
      </c>
      <c r="K114" s="10" t="n">
        <v>0.0344</v>
      </c>
      <c r="L114" s="383"/>
      <c r="M114" s="371"/>
      <c r="N114" s="371"/>
      <c r="O114" s="383"/>
      <c r="P114" s="381"/>
      <c r="Q114" s="381"/>
      <c r="R114" s="383"/>
      <c r="S114" s="381"/>
      <c r="T114" s="381"/>
      <c r="U114" s="383"/>
      <c r="V114" s="381"/>
      <c r="W114" s="381"/>
      <c r="X114" s="383"/>
      <c r="AI114" s="408"/>
    </row>
    <row r="115" customFormat="false" ht="12.75" hidden="false" customHeight="false" outlineLevel="0" collapsed="false">
      <c r="A115" s="414" t="s">
        <v>7</v>
      </c>
      <c r="B115" s="9" t="n">
        <f aca="false">0.0022+0.007+0.0097</f>
        <v>0.0189</v>
      </c>
      <c r="C115" s="363"/>
      <c r="G115" s="13" t="s">
        <v>7</v>
      </c>
      <c r="H115" s="10" t="n">
        <f aca="false">0.0022+0.007</f>
        <v>0.0092</v>
      </c>
      <c r="J115" s="378" t="s">
        <v>7</v>
      </c>
      <c r="K115" s="10" t="n">
        <f aca="false">0.0022+0.007</f>
        <v>0.0092</v>
      </c>
      <c r="M115" s="381"/>
      <c r="N115" s="381"/>
      <c r="P115" s="383"/>
      <c r="Q115" s="383"/>
      <c r="R115" s="363"/>
      <c r="S115" s="383"/>
      <c r="T115" s="383"/>
      <c r="U115" s="363"/>
      <c r="V115" s="383"/>
      <c r="W115" s="383"/>
      <c r="X115" s="363"/>
      <c r="AH115" s="405" t="n">
        <v>36465</v>
      </c>
      <c r="AK115" s="405"/>
    </row>
    <row r="116" customFormat="false" ht="12.75" hidden="false" customHeight="false" outlineLevel="0" collapsed="false">
      <c r="A116" s="15" t="n">
        <v>0.0229</v>
      </c>
      <c r="B116" s="382" t="n">
        <f aca="false">B7/(1-A116)-B7</f>
        <v>0.108177830481287</v>
      </c>
      <c r="C116" s="371"/>
      <c r="G116" s="416" t="n">
        <v>0.0186</v>
      </c>
      <c r="H116" s="382" t="n">
        <f aca="false">(+H5)/(1-G116)-H5</f>
        <v>0.0835805991440797</v>
      </c>
      <c r="J116" s="419" t="n">
        <v>0.0416</v>
      </c>
      <c r="K116" s="406" t="n">
        <f aca="false">(K$6)/(1-J116)-(K$6)</f>
        <v>0.184257095158597</v>
      </c>
      <c r="M116" s="383"/>
      <c r="N116" s="383"/>
      <c r="R116" s="371"/>
      <c r="U116" s="371"/>
      <c r="X116" s="371"/>
      <c r="AH116" s="407" t="s">
        <v>567</v>
      </c>
      <c r="AI116" s="408" t="n">
        <v>0</v>
      </c>
      <c r="AK116" s="407"/>
      <c r="AL116" s="408"/>
    </row>
    <row r="117" customFormat="false" ht="12.75" hidden="false" customHeight="false" outlineLevel="0" collapsed="false">
      <c r="A117" s="19"/>
      <c r="B117" s="6" t="n">
        <f aca="false">SUM(B114:B116)</f>
        <v>0.144077830481287</v>
      </c>
      <c r="C117" s="371"/>
      <c r="G117" s="13"/>
      <c r="H117" s="6" t="n">
        <f aca="false">SUM(H114:H116)</f>
        <v>0.16928059914408</v>
      </c>
      <c r="J117" s="378"/>
      <c r="K117" s="6" t="n">
        <f aca="false">SUM(K114:K116)</f>
        <v>0.227857095158597</v>
      </c>
      <c r="M117" s="363"/>
      <c r="N117" s="363"/>
      <c r="P117" s="363"/>
      <c r="Q117" s="363"/>
      <c r="R117" s="371"/>
      <c r="S117" s="363"/>
      <c r="T117" s="363"/>
      <c r="U117" s="371"/>
      <c r="V117" s="363"/>
      <c r="W117" s="363"/>
      <c r="X117" s="371"/>
      <c r="AH117" s="8" t="s">
        <v>568</v>
      </c>
      <c r="AI117" s="408" t="n">
        <v>0.007</v>
      </c>
      <c r="AL117" s="408"/>
    </row>
    <row r="118" customFormat="false" ht="12.75" hidden="false" customHeight="false" outlineLevel="0" collapsed="false">
      <c r="A118" s="410" t="s">
        <v>2</v>
      </c>
      <c r="B118" s="6" t="s">
        <v>628</v>
      </c>
      <c r="C118" s="381"/>
      <c r="G118" s="387" t="s">
        <v>471</v>
      </c>
      <c r="H118" s="396" t="s">
        <v>629</v>
      </c>
      <c r="J118" s="373" t="s">
        <v>473</v>
      </c>
      <c r="K118" s="7" t="s">
        <v>610</v>
      </c>
      <c r="M118" s="371"/>
      <c r="N118" s="371"/>
      <c r="P118" s="371"/>
      <c r="Q118" s="371"/>
      <c r="R118" s="381"/>
      <c r="S118" s="371"/>
      <c r="T118" s="371"/>
      <c r="U118" s="381"/>
      <c r="V118" s="371"/>
      <c r="W118" s="371"/>
      <c r="X118" s="381"/>
      <c r="AH118" s="8" t="s">
        <v>574</v>
      </c>
      <c r="AI118" s="408" t="n">
        <v>0</v>
      </c>
      <c r="AL118" s="408"/>
    </row>
    <row r="119" customFormat="false" ht="12.75" hidden="false" customHeight="false" outlineLevel="0" collapsed="false">
      <c r="A119" s="411" t="s">
        <v>6</v>
      </c>
      <c r="B119" s="9" t="n">
        <v>0.0062</v>
      </c>
      <c r="C119" s="383"/>
      <c r="G119" s="13" t="s">
        <v>6</v>
      </c>
      <c r="H119" s="10" t="n">
        <v>0.0834</v>
      </c>
      <c r="J119" s="378" t="s">
        <v>6</v>
      </c>
      <c r="K119" s="10" t="n">
        <v>0.0483</v>
      </c>
      <c r="M119" s="371"/>
      <c r="N119" s="371"/>
      <c r="P119" s="371"/>
      <c r="Q119" s="371"/>
      <c r="R119" s="383"/>
      <c r="S119" s="371"/>
      <c r="T119" s="371"/>
      <c r="U119" s="383"/>
      <c r="V119" s="371"/>
      <c r="W119" s="371"/>
      <c r="X119" s="383"/>
      <c r="AI119" s="408"/>
    </row>
    <row r="120" customFormat="false" ht="12.75" hidden="false" customHeight="false" outlineLevel="0" collapsed="false">
      <c r="A120" s="414" t="s">
        <v>7</v>
      </c>
      <c r="B120" s="9" t="n">
        <f aca="false">0.0022+0.007+0.0097</f>
        <v>0.0189</v>
      </c>
      <c r="G120" s="13" t="s">
        <v>7</v>
      </c>
      <c r="H120" s="10" t="n">
        <f aca="false">0.0022+0.007</f>
        <v>0.0092</v>
      </c>
      <c r="J120" s="378" t="s">
        <v>7</v>
      </c>
      <c r="K120" s="10" t="n">
        <f aca="false">0.0022+0.007</f>
        <v>0.0092</v>
      </c>
      <c r="M120" s="381"/>
      <c r="N120" s="381"/>
      <c r="P120" s="381"/>
      <c r="Q120" s="381"/>
      <c r="S120" s="381"/>
      <c r="T120" s="381"/>
      <c r="V120" s="381"/>
      <c r="W120" s="381"/>
      <c r="AH120" s="405" t="n">
        <v>36434</v>
      </c>
      <c r="AK120" s="405"/>
    </row>
    <row r="121" customFormat="false" ht="12.75" hidden="false" customHeight="false" outlineLevel="0" collapsed="false">
      <c r="A121" s="420" t="n">
        <v>0.0081</v>
      </c>
      <c r="B121" s="382" t="n">
        <f aca="false">B$7/(1-A121)-B$7</f>
        <v>0.0376928457238321</v>
      </c>
      <c r="G121" s="420" t="n">
        <v>0.022</v>
      </c>
      <c r="H121" s="382" t="n">
        <f aca="false">(+H$5)/(1-G121)-H$5</f>
        <v>0.0992024539877301</v>
      </c>
      <c r="J121" s="419" t="n">
        <v>0.0505</v>
      </c>
      <c r="K121" s="406" t="n">
        <f aca="false">(K$6)/(1-J121)-(K$6)</f>
        <v>0.225774091627172</v>
      </c>
      <c r="M121" s="383"/>
      <c r="N121" s="383"/>
      <c r="P121" s="383"/>
      <c r="Q121" s="383"/>
      <c r="S121" s="383"/>
      <c r="T121" s="383"/>
      <c r="V121" s="383"/>
      <c r="W121" s="383"/>
      <c r="AH121" s="407" t="s">
        <v>567</v>
      </c>
      <c r="AI121" s="408" t="n">
        <v>0</v>
      </c>
      <c r="AK121" s="407"/>
      <c r="AL121" s="408"/>
    </row>
    <row r="122" customFormat="false" ht="12.75" hidden="false" customHeight="false" outlineLevel="0" collapsed="false">
      <c r="A122" s="19" t="s">
        <v>630</v>
      </c>
      <c r="B122" s="6" t="n">
        <f aca="false">SUM(B119:B121)</f>
        <v>0.0627928457238321</v>
      </c>
      <c r="G122" s="13"/>
      <c r="H122" s="6" t="n">
        <f aca="false">SUM(H119:H121)</f>
        <v>0.19180245398773</v>
      </c>
      <c r="J122" s="378"/>
      <c r="K122" s="6" t="n">
        <f aca="false">SUM(K119:K121)</f>
        <v>0.283274091627172</v>
      </c>
      <c r="M122" s="383"/>
      <c r="N122" s="383"/>
      <c r="P122" s="363"/>
      <c r="Q122" s="363"/>
      <c r="S122" s="363"/>
      <c r="T122" s="363"/>
      <c r="V122" s="363"/>
      <c r="W122" s="363"/>
      <c r="AH122" s="8" t="s">
        <v>568</v>
      </c>
      <c r="AI122" s="408" t="n">
        <v>0.007</v>
      </c>
      <c r="AL122" s="408"/>
    </row>
    <row r="123" customFormat="false" ht="12.75" hidden="false" customHeight="false" outlineLevel="0" collapsed="false">
      <c r="A123" s="410" t="s">
        <v>2</v>
      </c>
      <c r="B123" s="6" t="s">
        <v>631</v>
      </c>
      <c r="G123" s="387" t="s">
        <v>471</v>
      </c>
      <c r="H123" s="396" t="s">
        <v>632</v>
      </c>
      <c r="J123" s="373" t="s">
        <v>473</v>
      </c>
      <c r="K123" s="6" t="s">
        <v>614</v>
      </c>
      <c r="M123" s="393"/>
      <c r="N123" s="393"/>
      <c r="P123" s="371"/>
      <c r="Q123" s="371"/>
      <c r="S123" s="371"/>
      <c r="T123" s="371"/>
      <c r="V123" s="371"/>
      <c r="W123" s="371"/>
      <c r="AH123" s="8" t="s">
        <v>574</v>
      </c>
      <c r="AI123" s="408" t="n">
        <v>0</v>
      </c>
      <c r="AL123" s="408"/>
    </row>
    <row r="124" customFormat="false" ht="12.75" hidden="false" customHeight="false" outlineLevel="0" collapsed="false">
      <c r="A124" s="411" t="s">
        <v>6</v>
      </c>
      <c r="B124" s="9" t="n">
        <v>0.017</v>
      </c>
      <c r="G124" s="13" t="s">
        <v>6</v>
      </c>
      <c r="H124" s="10" t="n">
        <v>0.0765</v>
      </c>
      <c r="J124" s="378" t="s">
        <v>6</v>
      </c>
      <c r="K124" s="9" t="n">
        <v>0.0245</v>
      </c>
      <c r="M124" s="393"/>
      <c r="N124" s="393"/>
      <c r="P124" s="371"/>
      <c r="Q124" s="371"/>
      <c r="S124" s="371"/>
      <c r="T124" s="371"/>
      <c r="V124" s="371"/>
      <c r="W124" s="371"/>
      <c r="AI124" s="408"/>
    </row>
    <row r="125" customFormat="false" ht="12.75" hidden="false" customHeight="false" outlineLevel="0" collapsed="false">
      <c r="A125" s="414" t="s">
        <v>7</v>
      </c>
      <c r="B125" s="9" t="n">
        <f aca="false">0.0022+0.0097</f>
        <v>0.0119</v>
      </c>
      <c r="G125" s="13" t="s">
        <v>7</v>
      </c>
      <c r="H125" s="10" t="n">
        <f aca="false">0.0022+0.007</f>
        <v>0.0092</v>
      </c>
      <c r="J125" s="378" t="s">
        <v>7</v>
      </c>
      <c r="K125" s="10" t="n">
        <f aca="false">0.0022</f>
        <v>0.0022</v>
      </c>
      <c r="M125" s="393"/>
      <c r="N125" s="393"/>
      <c r="P125" s="381"/>
      <c r="Q125" s="381"/>
      <c r="S125" s="381"/>
      <c r="T125" s="381"/>
      <c r="V125" s="381"/>
      <c r="W125" s="381"/>
      <c r="AH125" s="405" t="n">
        <v>36404</v>
      </c>
      <c r="AK125" s="405"/>
    </row>
    <row r="126" customFormat="false" ht="12.75" hidden="false" customHeight="false" outlineLevel="0" collapsed="false">
      <c r="A126" s="420" t="n">
        <v>0.0229</v>
      </c>
      <c r="B126" s="382" t="n">
        <f aca="false">B$7/(1-A126)-B$7</f>
        <v>0.108177830481287</v>
      </c>
      <c r="G126" s="420" t="n">
        <v>0.0127</v>
      </c>
      <c r="H126" s="382" t="n">
        <f aca="false">(+H$5)/(1-G126)-H$5</f>
        <v>0.0567274384685508</v>
      </c>
      <c r="J126" s="17" t="n">
        <v>0.0353</v>
      </c>
      <c r="K126" s="382" t="n">
        <f aca="false">(K$6)/(1-J126)-K$6</f>
        <v>0.155331709339691</v>
      </c>
      <c r="M126" s="381"/>
      <c r="N126" s="381"/>
      <c r="P126" s="383"/>
      <c r="Q126" s="383"/>
      <c r="S126" s="383"/>
      <c r="T126" s="383"/>
      <c r="V126" s="383"/>
      <c r="W126" s="383"/>
      <c r="AH126" s="407" t="s">
        <v>567</v>
      </c>
      <c r="AI126" s="408" t="n">
        <v>0</v>
      </c>
      <c r="AK126" s="407"/>
      <c r="AL126" s="408"/>
    </row>
    <row r="127" customFormat="false" ht="12.75" hidden="false" customHeight="false" outlineLevel="0" collapsed="false">
      <c r="A127" s="19" t="s">
        <v>630</v>
      </c>
      <c r="B127" s="6" t="n">
        <f aca="false">SUM(B124:B126)</f>
        <v>0.137077830481287</v>
      </c>
      <c r="G127" s="13"/>
      <c r="H127" s="6" t="n">
        <f aca="false">SUM(H124:H126)</f>
        <v>0.142427438468551</v>
      </c>
      <c r="J127" s="378"/>
      <c r="K127" s="6" t="n">
        <f aca="false">SUM(K124:K126)</f>
        <v>0.182031709339691</v>
      </c>
      <c r="M127" s="383"/>
      <c r="N127" s="383"/>
      <c r="AH127" s="8" t="s">
        <v>568</v>
      </c>
      <c r="AI127" s="408" t="n">
        <v>0.004</v>
      </c>
      <c r="AL127" s="408"/>
    </row>
    <row r="128" customFormat="false" ht="12.75" hidden="false" customHeight="false" outlineLevel="0" collapsed="false">
      <c r="A128" s="410" t="s">
        <v>2</v>
      </c>
      <c r="B128" s="6" t="s">
        <v>633</v>
      </c>
      <c r="G128" s="387" t="s">
        <v>471</v>
      </c>
      <c r="H128" s="396" t="s">
        <v>634</v>
      </c>
      <c r="J128" s="373" t="s">
        <v>473</v>
      </c>
      <c r="K128" s="6" t="s">
        <v>618</v>
      </c>
      <c r="M128" s="363"/>
      <c r="N128" s="363"/>
      <c r="AH128" s="8" t="s">
        <v>574</v>
      </c>
      <c r="AI128" s="408" t="n">
        <v>0</v>
      </c>
      <c r="AL128" s="408"/>
    </row>
    <row r="129" customFormat="false" ht="12.75" hidden="false" customHeight="false" outlineLevel="0" collapsed="false">
      <c r="A129" s="411" t="s">
        <v>6</v>
      </c>
      <c r="B129" s="9" t="n">
        <v>0.0305</v>
      </c>
      <c r="G129" s="13" t="s">
        <v>6</v>
      </c>
      <c r="H129" s="10" t="n">
        <v>0.0642</v>
      </c>
      <c r="J129" s="378" t="s">
        <v>6</v>
      </c>
      <c r="K129" s="9" t="n">
        <v>0.0385</v>
      </c>
      <c r="M129" s="371"/>
      <c r="N129" s="371"/>
      <c r="AI129" s="408"/>
    </row>
    <row r="130" customFormat="false" ht="12.75" hidden="false" customHeight="false" outlineLevel="0" collapsed="false">
      <c r="A130" s="414" t="s">
        <v>7</v>
      </c>
      <c r="B130" s="9" t="n">
        <f aca="false">0.007+0.0022+0.0097</f>
        <v>0.0189</v>
      </c>
      <c r="G130" s="13" t="s">
        <v>7</v>
      </c>
      <c r="H130" s="10" t="n">
        <f aca="false">0.0022+0.007</f>
        <v>0.0092</v>
      </c>
      <c r="J130" s="378" t="s">
        <v>7</v>
      </c>
      <c r="K130" s="10" t="n">
        <f aca="false">0.0022+0.007</f>
        <v>0.0092</v>
      </c>
      <c r="M130" s="371"/>
      <c r="N130" s="371"/>
      <c r="AH130" s="405" t="n">
        <v>36312</v>
      </c>
    </row>
    <row r="131" customFormat="false" ht="12.75" hidden="false" customHeight="false" outlineLevel="0" collapsed="false">
      <c r="A131" s="420" t="n">
        <v>0.0189</v>
      </c>
      <c r="B131" s="382" t="n">
        <f aca="false">B$7/(1-A131)-B$7</f>
        <v>0.0889181312520933</v>
      </c>
      <c r="G131" s="15" t="n">
        <v>0.0085</v>
      </c>
      <c r="H131" s="382" t="n">
        <f aca="false">(+H4)/(1-G131)-H4</f>
        <v>0.0348915784165405</v>
      </c>
      <c r="J131" s="17" t="n">
        <v>0.0442</v>
      </c>
      <c r="K131" s="382" t="n">
        <f aca="false">(K$6)/(1-J131)-K$6</f>
        <v>0.196305712492153</v>
      </c>
      <c r="M131" s="381"/>
      <c r="N131" s="381"/>
      <c r="AH131" s="407" t="s">
        <v>567</v>
      </c>
      <c r="AI131" s="408" t="n">
        <v>0.002</v>
      </c>
    </row>
    <row r="132" customFormat="false" ht="12.75" hidden="false" customHeight="false" outlineLevel="0" collapsed="false">
      <c r="A132" s="19" t="s">
        <v>630</v>
      </c>
      <c r="B132" s="6" t="n">
        <f aca="false">SUM(B129:B131)</f>
        <v>0.138318131252093</v>
      </c>
      <c r="G132" s="13"/>
      <c r="H132" s="6" t="n">
        <f aca="false">SUM(H129:H131)</f>
        <v>0.10829157841654</v>
      </c>
      <c r="J132" s="378"/>
      <c r="K132" s="6" t="n">
        <f aca="false">SUM(K129:K131)</f>
        <v>0.244005712492153</v>
      </c>
      <c r="M132" s="383"/>
      <c r="N132" s="383"/>
      <c r="AH132" s="8" t="s">
        <v>568</v>
      </c>
      <c r="AI132" s="408" t="n">
        <v>0.005</v>
      </c>
    </row>
    <row r="133" customFormat="false" ht="12.75" hidden="false" customHeight="false" outlineLevel="0" collapsed="false">
      <c r="A133" s="410" t="s">
        <v>2</v>
      </c>
      <c r="B133" s="6" t="s">
        <v>635</v>
      </c>
      <c r="G133" s="387" t="s">
        <v>636</v>
      </c>
      <c r="H133" s="388"/>
      <c r="J133" s="373" t="s">
        <v>473</v>
      </c>
      <c r="K133" s="6" t="s">
        <v>621</v>
      </c>
      <c r="AH133" s="8" t="s">
        <v>574</v>
      </c>
      <c r="AI133" s="408" t="n">
        <v>0.002</v>
      </c>
    </row>
    <row r="134" customFormat="false" ht="12.75" hidden="false" customHeight="false" outlineLevel="0" collapsed="false">
      <c r="A134" s="411" t="s">
        <v>6</v>
      </c>
      <c r="B134" s="9" t="n">
        <v>0.0305</v>
      </c>
      <c r="G134" s="5" t="s">
        <v>6</v>
      </c>
      <c r="H134" s="10" t="n">
        <v>0.0094</v>
      </c>
      <c r="J134" s="378" t="s">
        <v>6</v>
      </c>
      <c r="K134" s="9" t="n">
        <v>0.0182</v>
      </c>
      <c r="M134" s="363"/>
      <c r="N134" s="363"/>
      <c r="AI134" s="408"/>
    </row>
    <row r="135" customFormat="false" ht="12.75" hidden="false" customHeight="false" outlineLevel="0" collapsed="false">
      <c r="A135" s="414" t="s">
        <v>7</v>
      </c>
      <c r="B135" s="9" t="n">
        <f aca="false">0.007+0.0022+0.0097</f>
        <v>0.0189</v>
      </c>
      <c r="G135" s="5" t="s">
        <v>7</v>
      </c>
      <c r="H135" s="10" t="n">
        <v>0.0022</v>
      </c>
      <c r="J135" s="378" t="s">
        <v>7</v>
      </c>
      <c r="K135" s="10" t="n">
        <f aca="false">0.0022+0.007</f>
        <v>0.0092</v>
      </c>
      <c r="M135" s="371"/>
      <c r="N135" s="371"/>
      <c r="AH135" s="405" t="n">
        <v>36281</v>
      </c>
    </row>
    <row r="136" customFormat="false" ht="12.75" hidden="false" customHeight="false" outlineLevel="0" collapsed="false">
      <c r="A136" s="420" t="n">
        <v>0.027</v>
      </c>
      <c r="B136" s="382" t="n">
        <f aca="false">B$7/(1-A136)-B$7</f>
        <v>0.128083363047172</v>
      </c>
      <c r="G136" s="5" t="s">
        <v>637</v>
      </c>
      <c r="H136" s="382" t="n">
        <f aca="false">(+AI3+AI17)/(1-0.0131)-(+AI3+AI17)</f>
        <v>0.057382607051979</v>
      </c>
      <c r="J136" s="17" t="n">
        <v>0.031</v>
      </c>
      <c r="K136" s="421" t="n">
        <f aca="false">(K$7)/(1-J136)-K$7</f>
        <v>0.144922600619195</v>
      </c>
      <c r="M136" s="371"/>
      <c r="N136" s="371"/>
      <c r="AH136" s="407" t="s">
        <v>567</v>
      </c>
      <c r="AI136" s="408" t="n">
        <v>0.002</v>
      </c>
    </row>
    <row r="137" customFormat="false" ht="12.75" hidden="false" customHeight="false" outlineLevel="0" collapsed="false">
      <c r="A137" s="19" t="s">
        <v>630</v>
      </c>
      <c r="B137" s="6" t="n">
        <f aca="false">SUM(B134:B136)</f>
        <v>0.177483363047172</v>
      </c>
      <c r="G137" s="13"/>
      <c r="H137" s="6" t="n">
        <f aca="false">SUM(H134:H136)</f>
        <v>0.068982607051979</v>
      </c>
      <c r="J137" s="422"/>
      <c r="K137" s="423" t="n">
        <f aca="false">SUM(K134:K136)</f>
        <v>0.172322600619196</v>
      </c>
      <c r="M137" s="381"/>
      <c r="N137" s="381"/>
      <c r="AH137" s="8" t="s">
        <v>568</v>
      </c>
      <c r="AI137" s="408" t="n">
        <v>0.005</v>
      </c>
    </row>
    <row r="138" customFormat="false" ht="12.75" hidden="false" customHeight="false" outlineLevel="0" collapsed="false">
      <c r="A138" s="410" t="s">
        <v>2</v>
      </c>
      <c r="B138" s="6" t="s">
        <v>638</v>
      </c>
      <c r="F138" s="92"/>
      <c r="G138" s="389" t="s">
        <v>471</v>
      </c>
      <c r="H138" s="390" t="s">
        <v>639</v>
      </c>
      <c r="I138" s="92"/>
      <c r="J138" s="373"/>
      <c r="K138" s="6"/>
      <c r="M138" s="383"/>
      <c r="N138" s="383"/>
      <c r="AH138" s="8" t="s">
        <v>574</v>
      </c>
      <c r="AI138" s="408" t="n">
        <v>0.002</v>
      </c>
    </row>
    <row r="139" customFormat="false" ht="12.75" hidden="false" customHeight="false" outlineLevel="0" collapsed="false">
      <c r="A139" s="411" t="s">
        <v>6</v>
      </c>
      <c r="B139" s="9" t="n">
        <v>0.0305</v>
      </c>
      <c r="D139" s="342"/>
      <c r="F139" s="92"/>
      <c r="G139" s="11" t="s">
        <v>6</v>
      </c>
      <c r="H139" s="380" t="n">
        <f aca="false">0.1599-0.0022</f>
        <v>0.1577</v>
      </c>
      <c r="I139" s="92"/>
      <c r="J139" s="424"/>
      <c r="K139" s="424"/>
      <c r="M139" s="363"/>
      <c r="N139" s="363"/>
      <c r="AI139" s="408"/>
    </row>
    <row r="140" customFormat="false" ht="12.75" hidden="false" customHeight="false" outlineLevel="0" collapsed="false">
      <c r="A140" s="414" t="s">
        <v>7</v>
      </c>
      <c r="B140" s="9" t="n">
        <f aca="false">0.0022+0.0097+0.007</f>
        <v>0.0189</v>
      </c>
      <c r="D140" s="342"/>
      <c r="F140" s="92"/>
      <c r="G140" s="11" t="s">
        <v>7</v>
      </c>
      <c r="H140" s="14" t="n">
        <f aca="false">0.0022+0+0.0225+0.007</f>
        <v>0.0317</v>
      </c>
      <c r="I140" s="92"/>
      <c r="J140" s="425"/>
      <c r="K140" s="425"/>
      <c r="M140" s="371"/>
      <c r="N140" s="371"/>
      <c r="AH140" s="405" t="n">
        <v>36251</v>
      </c>
    </row>
    <row r="141" customFormat="false" ht="12.75" hidden="false" customHeight="false" outlineLevel="0" collapsed="false">
      <c r="A141" s="420" t="n">
        <v>0.0081</v>
      </c>
      <c r="B141" s="382" t="n">
        <f aca="false">B$7/(1-A141)-B$7</f>
        <v>0.0376928457238321</v>
      </c>
      <c r="F141" s="92"/>
      <c r="G141" s="426" t="n">
        <v>0.0095</v>
      </c>
      <c r="H141" s="427" t="n">
        <f aca="false">(H4)/(1-G141)-H4</f>
        <v>0.0390358404846038</v>
      </c>
      <c r="I141" s="92"/>
      <c r="J141" s="428"/>
      <c r="K141" s="428"/>
      <c r="M141" s="371"/>
      <c r="N141" s="371"/>
      <c r="AH141" s="407" t="s">
        <v>567</v>
      </c>
      <c r="AI141" s="408" t="n">
        <v>0.002</v>
      </c>
    </row>
    <row r="142" customFormat="false" ht="12.75" hidden="false" customHeight="false" outlineLevel="0" collapsed="false">
      <c r="A142" s="19" t="s">
        <v>630</v>
      </c>
      <c r="B142" s="6" t="n">
        <f aca="false">SUM(B139:B141)</f>
        <v>0.0870928457238321</v>
      </c>
      <c r="F142" s="92"/>
      <c r="G142" s="385"/>
      <c r="H142" s="20" t="n">
        <f aca="false">SUM(H139:H141)</f>
        <v>0.228435840484604</v>
      </c>
      <c r="I142" s="92"/>
      <c r="J142" s="429"/>
      <c r="K142" s="429"/>
      <c r="M142" s="381"/>
      <c r="N142" s="381"/>
      <c r="AH142" s="8" t="s">
        <v>568</v>
      </c>
      <c r="AI142" s="408" t="n">
        <v>0.007</v>
      </c>
    </row>
    <row r="143" customFormat="false" ht="12.75" hidden="false" customHeight="false" outlineLevel="0" collapsed="false">
      <c r="F143" s="92"/>
      <c r="G143" s="389" t="s">
        <v>471</v>
      </c>
      <c r="H143" s="390" t="s">
        <v>640</v>
      </c>
      <c r="I143" s="92"/>
      <c r="J143" s="424"/>
      <c r="K143" s="424"/>
      <c r="M143" s="383"/>
      <c r="N143" s="383"/>
      <c r="AH143" s="8" t="s">
        <v>574</v>
      </c>
      <c r="AI143" s="408" t="n">
        <v>0.002</v>
      </c>
    </row>
    <row r="144" customFormat="false" ht="12.75" hidden="false" customHeight="false" outlineLevel="0" collapsed="false">
      <c r="F144" s="92"/>
      <c r="G144" s="11" t="s">
        <v>6</v>
      </c>
      <c r="H144" s="380" t="n">
        <f aca="false">0.3212-0.0022</f>
        <v>0.319</v>
      </c>
      <c r="I144" s="92"/>
      <c r="J144" s="424"/>
      <c r="K144" s="424"/>
      <c r="AI144" s="408"/>
    </row>
    <row r="145" customFormat="false" ht="12.75" hidden="false" customHeight="false" outlineLevel="0" collapsed="false">
      <c r="F145" s="92"/>
      <c r="G145" s="11" t="s">
        <v>7</v>
      </c>
      <c r="H145" s="14" t="n">
        <f aca="false">0.0022+0+0.0225+0.007</f>
        <v>0.0317</v>
      </c>
      <c r="I145" s="92"/>
      <c r="J145" s="425"/>
      <c r="K145" s="425"/>
      <c r="AH145" s="405" t="n">
        <v>36220</v>
      </c>
    </row>
    <row r="146" customFormat="false" ht="12.75" hidden="false" customHeight="false" outlineLevel="0" collapsed="false">
      <c r="G146" s="426" t="n">
        <v>0.0244</v>
      </c>
      <c r="H146" s="16" t="n">
        <f aca="false">(H3)/(1-G146)-H3</f>
        <v>0.100416154161541</v>
      </c>
      <c r="J146" s="428"/>
      <c r="K146" s="428"/>
      <c r="AH146" s="407" t="s">
        <v>567</v>
      </c>
      <c r="AI146" s="408" t="n">
        <v>0.001</v>
      </c>
    </row>
    <row r="147" customFormat="false" ht="12.75" hidden="false" customHeight="false" outlineLevel="0" collapsed="false">
      <c r="G147" s="385"/>
      <c r="H147" s="20" t="n">
        <f aca="false">SUM(H144:H146)</f>
        <v>0.451116154161541</v>
      </c>
      <c r="J147" s="429"/>
      <c r="K147" s="429"/>
      <c r="AH147" s="8" t="s">
        <v>568</v>
      </c>
      <c r="AI147" s="408" t="n">
        <v>0.003</v>
      </c>
    </row>
    <row r="148" customFormat="false" ht="12.75" hidden="false" customHeight="false" outlineLevel="0" collapsed="false">
      <c r="G148" s="389" t="s">
        <v>471</v>
      </c>
      <c r="H148" s="390" t="s">
        <v>641</v>
      </c>
      <c r="J148" s="424"/>
      <c r="K148" s="424"/>
      <c r="AH148" s="8" t="s">
        <v>574</v>
      </c>
      <c r="AI148" s="408" t="n">
        <v>0.001</v>
      </c>
    </row>
    <row r="149" customFormat="false" ht="12.75" hidden="false" customHeight="false" outlineLevel="0" collapsed="false">
      <c r="G149" s="11" t="s">
        <v>6</v>
      </c>
      <c r="H149" s="380" t="n">
        <v>0.4862</v>
      </c>
      <c r="J149" s="424"/>
      <c r="K149" s="424"/>
      <c r="AI149" s="408"/>
    </row>
    <row r="150" customFormat="false" ht="12.75" hidden="false" customHeight="false" outlineLevel="0" collapsed="false">
      <c r="G150" s="11" t="s">
        <v>7</v>
      </c>
      <c r="H150" s="14" t="n">
        <f aca="false">0.0022</f>
        <v>0.0022</v>
      </c>
      <c r="J150" s="425"/>
      <c r="K150" s="425"/>
      <c r="AH150" s="405" t="n">
        <v>36192</v>
      </c>
    </row>
    <row r="151" customFormat="false" ht="12.75" hidden="false" customHeight="false" outlineLevel="0" collapsed="false">
      <c r="G151" s="426" t="n">
        <v>0.0504</v>
      </c>
      <c r="H151" s="430" t="n">
        <f aca="false">(H3)/(1-G151)-H3</f>
        <v>0.213096040438079</v>
      </c>
      <c r="J151" s="428"/>
      <c r="K151" s="428"/>
      <c r="AH151" s="407" t="s">
        <v>567</v>
      </c>
      <c r="AI151" s="408" t="n">
        <v>0.004</v>
      </c>
    </row>
    <row r="152" customFormat="false" ht="12.75" hidden="false" customHeight="false" outlineLevel="0" collapsed="false">
      <c r="G152" s="385"/>
      <c r="H152" s="20" t="n">
        <f aca="false">SUM(H149:H151)</f>
        <v>0.701496040438079</v>
      </c>
      <c r="J152" s="428"/>
      <c r="K152" s="428"/>
      <c r="AH152" s="8" t="s">
        <v>568</v>
      </c>
      <c r="AI152" s="408" t="n">
        <v>0.01</v>
      </c>
    </row>
    <row r="153" customFormat="false" ht="12.75" hidden="false" customHeight="false" outlineLevel="0" collapsed="false">
      <c r="G153" s="389" t="s">
        <v>471</v>
      </c>
      <c r="H153" s="390" t="s">
        <v>642</v>
      </c>
      <c r="J153" s="431"/>
      <c r="K153" s="431"/>
      <c r="AH153" s="8" t="s">
        <v>574</v>
      </c>
      <c r="AI153" s="408" t="n">
        <v>0.004</v>
      </c>
    </row>
    <row r="154" customFormat="false" ht="12.75" hidden="false" customHeight="false" outlineLevel="0" collapsed="false">
      <c r="G154" s="11" t="s">
        <v>6</v>
      </c>
      <c r="H154" s="380" t="n">
        <v>0.5558</v>
      </c>
      <c r="J154" s="431"/>
      <c r="K154" s="431"/>
      <c r="AI154" s="408"/>
    </row>
    <row r="155" customFormat="false" ht="12.75" hidden="false" customHeight="false" outlineLevel="0" collapsed="false">
      <c r="G155" s="11" t="s">
        <v>7</v>
      </c>
      <c r="H155" s="14" t="n">
        <f aca="false">0.0022</f>
        <v>0.0022</v>
      </c>
      <c r="J155" s="431"/>
      <c r="K155" s="431"/>
      <c r="AH155" s="405" t="n">
        <v>36161</v>
      </c>
    </row>
    <row r="156" customFormat="false" ht="12.75" hidden="false" customHeight="false" outlineLevel="0" collapsed="false">
      <c r="G156" s="426" t="n">
        <v>0.058</v>
      </c>
      <c r="H156" s="430" t="n">
        <f aca="false">(H3)/(1-G156)-H3</f>
        <v>0.247208067940552</v>
      </c>
      <c r="J156" s="425"/>
      <c r="K156" s="425"/>
      <c r="AH156" s="407" t="s">
        <v>567</v>
      </c>
      <c r="AI156" s="408" t="n">
        <v>0.003</v>
      </c>
    </row>
    <row r="157" customFormat="false" ht="12.75" hidden="false" customHeight="false" outlineLevel="0" collapsed="false">
      <c r="G157" s="385"/>
      <c r="H157" s="20" t="n">
        <f aca="false">SUM(H154:H156)</f>
        <v>0.805208067940552</v>
      </c>
      <c r="J157" s="428"/>
      <c r="K157" s="428"/>
      <c r="AH157" s="8" t="s">
        <v>568</v>
      </c>
      <c r="AI157" s="408" t="n">
        <v>0.008</v>
      </c>
    </row>
    <row r="158" customFormat="false" ht="12.75" hidden="false" customHeight="false" outlineLevel="0" collapsed="false">
      <c r="G158" s="389" t="s">
        <v>471</v>
      </c>
      <c r="H158" s="390" t="s">
        <v>643</v>
      </c>
      <c r="J158" s="429"/>
      <c r="K158" s="429"/>
      <c r="AH158" s="8" t="s">
        <v>574</v>
      </c>
      <c r="AI158" s="408" t="n">
        <v>0.003</v>
      </c>
    </row>
    <row r="159" customFormat="false" ht="12.75" hidden="false" customHeight="false" outlineLevel="0" collapsed="false">
      <c r="G159" s="11" t="s">
        <v>6</v>
      </c>
      <c r="H159" s="380" t="n">
        <v>0.6285</v>
      </c>
      <c r="J159" s="424"/>
      <c r="K159" s="424"/>
      <c r="AI159" s="408"/>
    </row>
    <row r="160" customFormat="false" ht="12.75" hidden="false" customHeight="false" outlineLevel="0" collapsed="false">
      <c r="G160" s="11" t="s">
        <v>7</v>
      </c>
      <c r="H160" s="14" t="n">
        <f aca="false">0.0022+0.007</f>
        <v>0.0092</v>
      </c>
      <c r="J160" s="424"/>
      <c r="K160" s="424"/>
      <c r="AH160" s="405" t="n">
        <v>36130</v>
      </c>
    </row>
    <row r="161" customFormat="false" ht="12.75" hidden="false" customHeight="false" outlineLevel="0" collapsed="false">
      <c r="E161" s="92"/>
      <c r="G161" s="426" t="n">
        <v>0.0742</v>
      </c>
      <c r="H161" s="430" t="n">
        <f aca="false">(H3)/(1-G161)-H3</f>
        <v>0.321789803413265</v>
      </c>
      <c r="J161" s="425"/>
      <c r="K161" s="425"/>
      <c r="AH161" s="407" t="s">
        <v>567</v>
      </c>
      <c r="AI161" s="408" t="n">
        <v>0.002</v>
      </c>
    </row>
    <row r="162" customFormat="false" ht="12.75" hidden="false" customHeight="false" outlineLevel="0" collapsed="false">
      <c r="E162" s="92"/>
      <c r="G162" s="385"/>
      <c r="H162" s="20" t="n">
        <f aca="false">SUM(H159:H161)</f>
        <v>0.959489803413265</v>
      </c>
      <c r="J162" s="428"/>
      <c r="K162" s="428"/>
      <c r="AH162" s="8" t="s">
        <v>568</v>
      </c>
      <c r="AI162" s="408" t="n">
        <v>0.008</v>
      </c>
    </row>
    <row r="163" customFormat="false" ht="12.75" hidden="false" customHeight="false" outlineLevel="0" collapsed="false">
      <c r="E163" s="92"/>
      <c r="G163" s="389" t="s">
        <v>471</v>
      </c>
      <c r="H163" s="390" t="s">
        <v>644</v>
      </c>
      <c r="AH163" s="8" t="s">
        <v>574</v>
      </c>
      <c r="AI163" s="408" t="n">
        <v>0.002</v>
      </c>
    </row>
    <row r="164" customFormat="false" ht="12.75" hidden="false" customHeight="false" outlineLevel="0" collapsed="false">
      <c r="E164" s="92"/>
      <c r="G164" s="11" t="s">
        <v>6</v>
      </c>
      <c r="H164" s="380" t="n">
        <f aca="false">0.3703-0.0022</f>
        <v>0.3681</v>
      </c>
      <c r="J164" s="429"/>
      <c r="K164" s="429"/>
      <c r="AI164" s="408"/>
    </row>
    <row r="165" customFormat="false" ht="12.75" hidden="false" customHeight="false" outlineLevel="0" collapsed="false">
      <c r="E165" s="92"/>
      <c r="G165" s="11" t="s">
        <v>7</v>
      </c>
      <c r="H165" s="14" t="n">
        <f aca="false">0.0022+0+0.0225+0.007</f>
        <v>0.0317</v>
      </c>
      <c r="J165" s="424"/>
      <c r="K165" s="424"/>
      <c r="AH165" s="405" t="n">
        <v>36100</v>
      </c>
    </row>
    <row r="166" customFormat="false" ht="12.75" hidden="false" customHeight="false" outlineLevel="0" collapsed="false">
      <c r="E166" s="92"/>
      <c r="G166" s="426" t="n">
        <v>0.0369</v>
      </c>
      <c r="H166" s="430" t="n">
        <f aca="false">(H4)/(1-G166)-H4</f>
        <v>0.155937078185028</v>
      </c>
      <c r="J166" s="424"/>
      <c r="K166" s="424"/>
      <c r="AH166" s="407" t="s">
        <v>567</v>
      </c>
      <c r="AI166" s="408" t="n">
        <v>0.003</v>
      </c>
    </row>
    <row r="167" customFormat="false" ht="12.75" hidden="false" customHeight="false" outlineLevel="0" collapsed="false">
      <c r="E167" s="92"/>
      <c r="G167" s="385"/>
      <c r="H167" s="20" t="n">
        <f aca="false">SUM(H164:H166)</f>
        <v>0.555737078185028</v>
      </c>
      <c r="J167" s="425"/>
      <c r="K167" s="425"/>
      <c r="AH167" s="8" t="s">
        <v>568</v>
      </c>
      <c r="AI167" s="408" t="n">
        <v>0.006</v>
      </c>
    </row>
    <row r="168" customFormat="false" ht="12.75" hidden="false" customHeight="false" outlineLevel="0" collapsed="false">
      <c r="E168" s="92"/>
      <c r="G168" s="389" t="s">
        <v>471</v>
      </c>
      <c r="H168" s="432" t="s">
        <v>645</v>
      </c>
      <c r="J168" s="428"/>
      <c r="K168" s="428"/>
      <c r="AH168" s="8" t="s">
        <v>574</v>
      </c>
      <c r="AI168" s="408" t="n">
        <v>0.003</v>
      </c>
    </row>
    <row r="169" customFormat="false" ht="12.75" hidden="false" customHeight="false" outlineLevel="0" collapsed="false">
      <c r="G169" s="385" t="s">
        <v>6</v>
      </c>
      <c r="H169" s="380" t="n">
        <v>0.4281</v>
      </c>
      <c r="J169" s="429"/>
      <c r="K169" s="429"/>
      <c r="AI169" s="408"/>
    </row>
    <row r="170" customFormat="false" ht="12.75" hidden="false" customHeight="false" outlineLevel="0" collapsed="false">
      <c r="G170" s="385" t="s">
        <v>7</v>
      </c>
      <c r="H170" s="14" t="n">
        <f aca="false">0.0022</f>
        <v>0.0022</v>
      </c>
      <c r="J170" s="424"/>
      <c r="K170" s="424"/>
      <c r="AH170" s="405" t="n">
        <v>36069</v>
      </c>
    </row>
    <row r="171" customFormat="false" ht="12.75" hidden="false" customHeight="false" outlineLevel="0" collapsed="false">
      <c r="G171" s="17" t="n">
        <v>0.0429</v>
      </c>
      <c r="H171" s="16" t="n">
        <f aca="false">(H4)/(1-G171)-H4</f>
        <v>0.182429213248355</v>
      </c>
      <c r="J171" s="424"/>
      <c r="K171" s="424"/>
      <c r="AH171" s="407" t="s">
        <v>567</v>
      </c>
      <c r="AI171" s="408" t="n">
        <v>0</v>
      </c>
    </row>
    <row r="172" customFormat="false" ht="12.75" hidden="false" customHeight="false" outlineLevel="0" collapsed="false">
      <c r="G172" s="385"/>
      <c r="H172" s="20" t="n">
        <f aca="false">SUM(H169:H171)</f>
        <v>0.612729213248355</v>
      </c>
      <c r="J172" s="425"/>
      <c r="K172" s="425"/>
      <c r="AH172" s="8" t="s">
        <v>568</v>
      </c>
      <c r="AI172" s="408" t="n">
        <v>0</v>
      </c>
    </row>
    <row r="173" customFormat="false" ht="12.75" hidden="false" customHeight="false" outlineLevel="0" collapsed="false">
      <c r="G173" s="389" t="s">
        <v>471</v>
      </c>
      <c r="H173" s="432" t="s">
        <v>646</v>
      </c>
      <c r="J173" s="428"/>
      <c r="K173" s="428"/>
      <c r="AH173" s="8" t="s">
        <v>574</v>
      </c>
      <c r="AI173" s="408" t="n">
        <v>0</v>
      </c>
    </row>
    <row r="174" customFormat="false" ht="12.75" hidden="false" customHeight="false" outlineLevel="0" collapsed="false">
      <c r="G174" s="385" t="s">
        <v>6</v>
      </c>
      <c r="H174" s="380" t="n">
        <v>0.4955</v>
      </c>
    </row>
    <row r="175" customFormat="false" ht="12.75" hidden="false" customHeight="false" outlineLevel="0" collapsed="false">
      <c r="G175" s="385" t="s">
        <v>7</v>
      </c>
      <c r="H175" s="14" t="n">
        <f aca="false">0.0022</f>
        <v>0.0022</v>
      </c>
      <c r="AH175" s="405" t="n">
        <v>36039</v>
      </c>
    </row>
    <row r="176" customFormat="false" ht="12.75" hidden="false" customHeight="false" outlineLevel="0" collapsed="false">
      <c r="G176" s="17" t="n">
        <v>0.0506</v>
      </c>
      <c r="H176" s="16" t="n">
        <f aca="false">(H4)/(1-G176)-H4</f>
        <v>0.216918053507478</v>
      </c>
      <c r="AH176" s="407" t="s">
        <v>567</v>
      </c>
      <c r="AI176" s="408" t="n">
        <v>0</v>
      </c>
    </row>
    <row r="177" customFormat="false" ht="12.75" hidden="false" customHeight="false" outlineLevel="0" collapsed="false">
      <c r="G177" s="385"/>
      <c r="H177" s="20" t="n">
        <f aca="false">SUM(H174:H176)</f>
        <v>0.714618053507478</v>
      </c>
      <c r="AH177" s="8" t="s">
        <v>568</v>
      </c>
      <c r="AI177" s="408" t="n">
        <v>0</v>
      </c>
    </row>
    <row r="178" customFormat="false" ht="12.75" hidden="false" customHeight="false" outlineLevel="0" collapsed="false">
      <c r="G178" s="389" t="s">
        <v>471</v>
      </c>
      <c r="H178" s="432" t="s">
        <v>647</v>
      </c>
      <c r="AH178" s="8" t="s">
        <v>574</v>
      </c>
      <c r="AI178" s="408" t="n">
        <v>0</v>
      </c>
    </row>
    <row r="179" customFormat="false" ht="12.75" hidden="false" customHeight="false" outlineLevel="0" collapsed="false">
      <c r="G179" s="385" t="s">
        <v>6</v>
      </c>
      <c r="H179" s="380" t="n">
        <v>0.5701</v>
      </c>
    </row>
    <row r="180" customFormat="false" ht="12.75" hidden="false" customHeight="false" outlineLevel="0" collapsed="false">
      <c r="G180" s="385" t="s">
        <v>7</v>
      </c>
      <c r="H180" s="14" t="n">
        <f aca="false">0.0022+0.007</f>
        <v>0.0092</v>
      </c>
      <c r="AH180" s="405" t="n">
        <v>36008</v>
      </c>
    </row>
    <row r="181" customFormat="false" ht="12.75" hidden="false" customHeight="false" outlineLevel="0" collapsed="false">
      <c r="G181" s="17" t="n">
        <v>0.0597</v>
      </c>
      <c r="H181" s="16" t="n">
        <f aca="false">(H4)/(1-G181)-H4</f>
        <v>0.258405827927257</v>
      </c>
      <c r="AH181" s="407" t="s">
        <v>567</v>
      </c>
      <c r="AI181" s="408" t="n">
        <v>0</v>
      </c>
    </row>
    <row r="182" customFormat="false" ht="12.75" hidden="false" customHeight="false" outlineLevel="0" collapsed="false">
      <c r="G182" s="385"/>
      <c r="H182" s="20" t="n">
        <f aca="false">SUM(H179:H181)</f>
        <v>0.837705827927257</v>
      </c>
      <c r="AH182" s="8" t="s">
        <v>568</v>
      </c>
      <c r="AI182" s="408" t="n">
        <v>0</v>
      </c>
    </row>
    <row r="183" customFormat="false" ht="12.75" hidden="false" customHeight="false" outlineLevel="0" collapsed="false">
      <c r="G183" s="389" t="s">
        <v>471</v>
      </c>
      <c r="H183" s="432" t="s">
        <v>648</v>
      </c>
      <c r="AH183" s="8" t="s">
        <v>574</v>
      </c>
      <c r="AI183" s="408" t="n">
        <v>0</v>
      </c>
    </row>
    <row r="184" customFormat="false" ht="12.75" hidden="false" customHeight="false" outlineLevel="0" collapsed="false">
      <c r="B184" s="433"/>
      <c r="G184" s="385" t="s">
        <v>6</v>
      </c>
      <c r="H184" s="380" t="n">
        <v>0.6906</v>
      </c>
    </row>
    <row r="185" customFormat="false" ht="12.75" hidden="false" customHeight="false" outlineLevel="0" collapsed="false">
      <c r="B185" s="433"/>
      <c r="G185" s="385" t="s">
        <v>7</v>
      </c>
      <c r="H185" s="14" t="n">
        <f aca="false">0.0022+0.007</f>
        <v>0.0092</v>
      </c>
      <c r="AH185" s="405" t="n">
        <v>35977</v>
      </c>
    </row>
    <row r="186" customFormat="false" ht="12.75" hidden="false" customHeight="false" outlineLevel="0" collapsed="false">
      <c r="G186" s="17" t="n">
        <v>0.0667</v>
      </c>
      <c r="H186" s="16" t="n">
        <f aca="false">(H3)/(1-G186)-H3</f>
        <v>0.286939354976964</v>
      </c>
      <c r="AH186" s="407" t="s">
        <v>567</v>
      </c>
      <c r="AI186" s="408" t="n">
        <v>0</v>
      </c>
    </row>
    <row r="187" customFormat="false" ht="12.75" hidden="false" customHeight="false" outlineLevel="0" collapsed="false">
      <c r="G187" s="385"/>
      <c r="H187" s="20" t="n">
        <f aca="false">SUM(H184:H186)</f>
        <v>0.986739354976964</v>
      </c>
      <c r="AH187" s="8" t="s">
        <v>568</v>
      </c>
      <c r="AI187" s="408" t="n">
        <v>0</v>
      </c>
    </row>
    <row r="188" customFormat="false" ht="12.75" hidden="false" customHeight="false" outlineLevel="0" collapsed="false">
      <c r="G188" s="389" t="s">
        <v>471</v>
      </c>
      <c r="H188" s="432" t="s">
        <v>649</v>
      </c>
      <c r="AH188" s="8" t="s">
        <v>574</v>
      </c>
      <c r="AI188" s="408" t="n">
        <v>0</v>
      </c>
    </row>
    <row r="189" customFormat="false" ht="12.75" hidden="false" customHeight="false" outlineLevel="0" collapsed="false">
      <c r="G189" s="385" t="s">
        <v>6</v>
      </c>
      <c r="H189" s="380" t="n">
        <v>0.3192</v>
      </c>
    </row>
    <row r="190" customFormat="false" ht="12.75" hidden="false" customHeight="false" outlineLevel="0" collapsed="false">
      <c r="G190" s="385" t="s">
        <v>7</v>
      </c>
      <c r="H190" s="14" t="n">
        <f aca="false">0.0022+0.007</f>
        <v>0.0092</v>
      </c>
    </row>
    <row r="191" customFormat="false" ht="12.75" hidden="false" customHeight="false" outlineLevel="0" collapsed="false">
      <c r="G191" s="17" t="n">
        <v>0.0192</v>
      </c>
      <c r="H191" s="16" t="n">
        <f aca="false">(H5)/(1-G191)-H5</f>
        <v>0.0863295269168027</v>
      </c>
    </row>
    <row r="192" customFormat="false" ht="12.75" hidden="false" customHeight="false" outlineLevel="0" collapsed="false">
      <c r="G192" s="385"/>
      <c r="H192" s="20" t="n">
        <f aca="false">SUM(H189:H191)</f>
        <v>0.414729526916803</v>
      </c>
    </row>
    <row r="193" customFormat="false" ht="12.75" hidden="false" customHeight="false" outlineLevel="0" collapsed="false">
      <c r="G193" s="389" t="s">
        <v>471</v>
      </c>
      <c r="H193" s="432" t="s">
        <v>650</v>
      </c>
    </row>
    <row r="194" customFormat="false" ht="12.75" hidden="false" customHeight="false" outlineLevel="0" collapsed="false">
      <c r="G194" s="385" t="s">
        <v>6</v>
      </c>
      <c r="H194" s="380" t="n">
        <v>0.3699</v>
      </c>
    </row>
    <row r="195" customFormat="false" ht="12.75" hidden="false" customHeight="false" outlineLevel="0" collapsed="false">
      <c r="G195" s="385" t="s">
        <v>7</v>
      </c>
      <c r="H195" s="14" t="n">
        <f aca="false">0.0022+0.007</f>
        <v>0.0092</v>
      </c>
    </row>
    <row r="196" customFormat="false" ht="12.75" hidden="false" customHeight="false" outlineLevel="0" collapsed="false">
      <c r="G196" s="17" t="n">
        <v>0.0274</v>
      </c>
      <c r="H196" s="16" t="n">
        <f aca="false">(E5)/(1-G196)-E5</f>
        <v>0.118603742545753</v>
      </c>
    </row>
    <row r="197" customFormat="false" ht="12.75" hidden="false" customHeight="false" outlineLevel="0" collapsed="false">
      <c r="G197" s="385"/>
      <c r="H197" s="20" t="n">
        <f aca="false">SUM(H194:H196)</f>
        <v>0.497703742545753</v>
      </c>
    </row>
    <row r="198" customFormat="false" ht="12.75" hidden="false" customHeight="false" outlineLevel="0" collapsed="false">
      <c r="G198" s="389" t="s">
        <v>471</v>
      </c>
      <c r="H198" s="432" t="s">
        <v>651</v>
      </c>
    </row>
    <row r="199" customFormat="false" ht="12.75" hidden="false" customHeight="false" outlineLevel="0" collapsed="false">
      <c r="G199" s="385" t="s">
        <v>6</v>
      </c>
      <c r="H199" s="380" t="n">
        <v>0.197</v>
      </c>
    </row>
    <row r="200" customFormat="false" ht="12.75" hidden="false" customHeight="false" outlineLevel="0" collapsed="false">
      <c r="G200" s="385" t="s">
        <v>7</v>
      </c>
      <c r="H200" s="14" t="n">
        <f aca="false">0.0022+0.007</f>
        <v>0.0092</v>
      </c>
    </row>
    <row r="201" customFormat="false" ht="12.75" hidden="false" customHeight="false" outlineLevel="0" collapsed="false">
      <c r="G201" s="17" t="n">
        <v>0.0107</v>
      </c>
      <c r="H201" s="16" t="n">
        <f aca="false">(H5)/(1-G201)-H5</f>
        <v>0.0476973617709495</v>
      </c>
    </row>
    <row r="202" customFormat="false" ht="12.75" hidden="false" customHeight="false" outlineLevel="0" collapsed="false">
      <c r="G202" s="385"/>
      <c r="H202" s="20" t="n">
        <f aca="false">SUM(H199:H201)</f>
        <v>0.25389736177095</v>
      </c>
    </row>
    <row r="203" customFormat="false" ht="12.75" hidden="false" customHeight="false" outlineLevel="0" collapsed="false">
      <c r="G203" s="389" t="s">
        <v>471</v>
      </c>
      <c r="H203" s="432" t="s">
        <v>652</v>
      </c>
    </row>
    <row r="204" customFormat="false" ht="12.75" hidden="false" customHeight="false" outlineLevel="0" collapsed="false">
      <c r="G204" s="385" t="s">
        <v>6</v>
      </c>
      <c r="H204" s="380" t="n">
        <f aca="false">0.1786-0.0022</f>
        <v>0.1764</v>
      </c>
    </row>
    <row r="205" customFormat="false" ht="12.75" hidden="false" customHeight="false" outlineLevel="0" collapsed="false">
      <c r="G205" s="385" t="s">
        <v>7</v>
      </c>
      <c r="H205" s="14" t="n">
        <f aca="false">0.0022+0.007</f>
        <v>0.0092</v>
      </c>
    </row>
    <row r="206" customFormat="false" ht="12.75" hidden="false" customHeight="false" outlineLevel="0" collapsed="false">
      <c r="G206" s="17" t="n">
        <v>0.0117</v>
      </c>
      <c r="H206" s="16" t="n">
        <f aca="false">(H5)/(1-G206)-H5</f>
        <v>0.0522078316300725</v>
      </c>
    </row>
    <row r="207" customFormat="false" ht="12.75" hidden="false" customHeight="false" outlineLevel="0" collapsed="false">
      <c r="G207" s="385"/>
      <c r="H207" s="20" t="n">
        <f aca="false">SUM(H204:H206)</f>
        <v>0.237807831630072</v>
      </c>
    </row>
    <row r="208" customFormat="false" ht="12.75" hidden="false" customHeight="false" outlineLevel="0" collapsed="false">
      <c r="G208" s="389" t="s">
        <v>471</v>
      </c>
      <c r="H208" s="432" t="s">
        <v>653</v>
      </c>
    </row>
    <row r="209" customFormat="false" ht="12.75" hidden="false" customHeight="false" outlineLevel="0" collapsed="false">
      <c r="G209" s="385" t="s">
        <v>6</v>
      </c>
      <c r="H209" s="380" t="n">
        <v>0.2808</v>
      </c>
    </row>
    <row r="210" customFormat="false" ht="12.75" hidden="false" customHeight="false" outlineLevel="0" collapsed="false">
      <c r="G210" s="385" t="s">
        <v>7</v>
      </c>
      <c r="H210" s="14" t="n">
        <f aca="false">0.0022+0.007</f>
        <v>0.0092</v>
      </c>
    </row>
    <row r="211" customFormat="false" ht="12.75" hidden="false" customHeight="false" outlineLevel="0" collapsed="false">
      <c r="G211" s="17" t="n">
        <v>0.0186</v>
      </c>
      <c r="H211" s="16" t="n">
        <f aca="false">(H5)/(1-G211)-H5</f>
        <v>0.0835805991440797</v>
      </c>
    </row>
    <row r="212" customFormat="false" ht="12.75" hidden="false" customHeight="false" outlineLevel="0" collapsed="false">
      <c r="G212" s="385"/>
      <c r="H212" s="20" t="n">
        <f aca="false">SUM(H209:H211)</f>
        <v>0.37358059914408</v>
      </c>
    </row>
    <row r="213" customFormat="false" ht="12.75" hidden="false" customHeight="false" outlineLevel="0" collapsed="false">
      <c r="G213" s="389" t="s">
        <v>471</v>
      </c>
      <c r="H213" s="432" t="s">
        <v>654</v>
      </c>
    </row>
    <row r="214" customFormat="false" ht="12.75" hidden="false" customHeight="false" outlineLevel="0" collapsed="false">
      <c r="G214" s="385" t="s">
        <v>6</v>
      </c>
      <c r="H214" s="380" t="n">
        <v>0.4898</v>
      </c>
    </row>
    <row r="215" customFormat="false" ht="12.75" hidden="false" customHeight="false" outlineLevel="0" collapsed="false">
      <c r="G215" s="385" t="s">
        <v>7</v>
      </c>
      <c r="H215" s="14" t="n">
        <f aca="false">0.0022+0.007</f>
        <v>0.0092</v>
      </c>
    </row>
    <row r="216" customFormat="false" ht="12.75" hidden="false" customHeight="false" outlineLevel="0" collapsed="false">
      <c r="G216" s="17" t="n">
        <v>0.0393</v>
      </c>
      <c r="H216" s="16" t="n">
        <f aca="false">(H5)/(1-G216)-H5</f>
        <v>0.180402831268866</v>
      </c>
    </row>
    <row r="217" customFormat="false" ht="12.75" hidden="false" customHeight="false" outlineLevel="0" collapsed="false">
      <c r="G217" s="385"/>
      <c r="H217" s="20" t="n">
        <f aca="false">SUM(H214:H216)</f>
        <v>0.679402831268866</v>
      </c>
    </row>
    <row r="218" customFormat="false" ht="12.75" hidden="false" customHeight="false" outlineLevel="0" collapsed="false">
      <c r="G218" s="389" t="s">
        <v>471</v>
      </c>
      <c r="H218" s="432" t="s">
        <v>655</v>
      </c>
    </row>
    <row r="219" customFormat="false" ht="12.75" hidden="false" customHeight="false" outlineLevel="0" collapsed="false">
      <c r="G219" s="385" t="s">
        <v>6</v>
      </c>
      <c r="H219" s="380" t="n">
        <v>0.3192</v>
      </c>
    </row>
    <row r="220" customFormat="false" ht="12.75" hidden="false" customHeight="false" outlineLevel="0" collapsed="false">
      <c r="G220" s="385" t="s">
        <v>7</v>
      </c>
      <c r="H220" s="14" t="n">
        <f aca="false">0.0022+0.007</f>
        <v>0.0092</v>
      </c>
    </row>
    <row r="221" customFormat="false" ht="12.75" hidden="false" customHeight="false" outlineLevel="0" collapsed="false">
      <c r="G221" s="17" t="n">
        <v>0.022</v>
      </c>
      <c r="H221" s="16" t="n">
        <f aca="false">(H5)/(1-G221)-H5</f>
        <v>0.0992024539877301</v>
      </c>
    </row>
    <row r="222" customFormat="false" ht="12.75" hidden="false" customHeight="false" outlineLevel="0" collapsed="false">
      <c r="G222" s="385"/>
      <c r="H222" s="20" t="n">
        <f aca="false">SUM(H219:H221)</f>
        <v>0.42760245398773</v>
      </c>
    </row>
    <row r="223" customFormat="false" ht="12.75" hidden="false" customHeight="false" outlineLevel="0" collapsed="false">
      <c r="G223" s="389" t="s">
        <v>471</v>
      </c>
      <c r="H223" s="432" t="s">
        <v>656</v>
      </c>
    </row>
    <row r="224" customFormat="false" ht="12.75" hidden="false" customHeight="false" outlineLevel="0" collapsed="false">
      <c r="G224" s="385" t="s">
        <v>6</v>
      </c>
      <c r="H224" s="380" t="n">
        <v>0.2808</v>
      </c>
    </row>
    <row r="225" customFormat="false" ht="12.75" hidden="false" customHeight="false" outlineLevel="0" collapsed="false">
      <c r="G225" s="385" t="s">
        <v>7</v>
      </c>
      <c r="H225" s="14" t="n">
        <f aca="false">0.0022+0.007</f>
        <v>0.0092</v>
      </c>
    </row>
    <row r="226" customFormat="false" ht="12.75" hidden="false" customHeight="false" outlineLevel="0" collapsed="false">
      <c r="G226" s="17" t="n">
        <v>0.0127</v>
      </c>
      <c r="H226" s="16" t="n">
        <f aca="false">(H5)/(1-G226)-H5</f>
        <v>0.0567274384685508</v>
      </c>
    </row>
    <row r="227" customFormat="false" ht="12.75" hidden="false" customHeight="false" outlineLevel="0" collapsed="false">
      <c r="G227" s="385"/>
      <c r="H227" s="20" t="n">
        <f aca="false">SUM(H224:H226)</f>
        <v>0.346727438468551</v>
      </c>
    </row>
    <row r="228" customFormat="false" ht="12.75" hidden="false" customHeight="false" outlineLevel="0" collapsed="false">
      <c r="G228" s="389" t="s">
        <v>471</v>
      </c>
      <c r="H228" s="432" t="s">
        <v>657</v>
      </c>
    </row>
    <row r="229" customFormat="false" ht="12.75" hidden="false" customHeight="false" outlineLevel="0" collapsed="false">
      <c r="G229" s="385" t="s">
        <v>6</v>
      </c>
      <c r="H229" s="380" t="n">
        <v>0.2103</v>
      </c>
    </row>
    <row r="230" customFormat="false" ht="12.75" hidden="false" customHeight="false" outlineLevel="0" collapsed="false">
      <c r="G230" s="385" t="s">
        <v>7</v>
      </c>
      <c r="H230" s="14" t="n">
        <f aca="false">0.0022+0.007</f>
        <v>0.0092</v>
      </c>
    </row>
    <row r="231" customFormat="false" ht="12.75" hidden="false" customHeight="false" outlineLevel="0" collapsed="false">
      <c r="G231" s="17" t="n">
        <v>0.0085</v>
      </c>
      <c r="H231" s="16" t="n">
        <f aca="false">(H5)/(1-G231)-H5</f>
        <v>0.037806354009077</v>
      </c>
    </row>
    <row r="232" customFormat="false" ht="12.75" hidden="false" customHeight="false" outlineLevel="0" collapsed="false">
      <c r="G232" s="385"/>
      <c r="H232" s="20" t="n">
        <f aca="false">SUM(H229:H231)</f>
        <v>0.257306354009077</v>
      </c>
    </row>
    <row r="233" customFormat="false" ht="12.75" hidden="false" customHeight="false" outlineLevel="0" collapsed="false">
      <c r="G233" s="92" t="s">
        <v>658</v>
      </c>
      <c r="H233" s="92"/>
    </row>
    <row r="234" customFormat="false" ht="12.75" hidden="false" customHeight="false" outlineLevel="0" collapsed="false">
      <c r="G234" s="434" t="s">
        <v>471</v>
      </c>
      <c r="H234" s="435" t="s">
        <v>659</v>
      </c>
      <c r="I234" s="337"/>
    </row>
    <row r="235" customFormat="false" ht="12.75" hidden="false" customHeight="false" outlineLevel="0" collapsed="false">
      <c r="G235" s="436" t="s">
        <v>6</v>
      </c>
      <c r="H235" s="437" t="n">
        <v>0.035</v>
      </c>
      <c r="I235" s="337"/>
    </row>
    <row r="236" customFormat="false" ht="12.75" hidden="false" customHeight="false" outlineLevel="0" collapsed="false">
      <c r="G236" s="436" t="s">
        <v>7</v>
      </c>
      <c r="H236" s="438" t="n">
        <v>0</v>
      </c>
      <c r="I236" s="337"/>
    </row>
    <row r="237" customFormat="false" ht="12.75" hidden="false" customHeight="false" outlineLevel="0" collapsed="false">
      <c r="G237" s="439" t="n">
        <v>0.0084</v>
      </c>
      <c r="H237" s="440" t="n">
        <f aca="false">(H$3)/(1-G237)-H$3</f>
        <v>0.0340116982654291</v>
      </c>
      <c r="I237" s="337"/>
    </row>
    <row r="238" customFormat="false" ht="12.75" hidden="false" customHeight="false" outlineLevel="0" collapsed="false">
      <c r="G238" s="436"/>
      <c r="H238" s="441" t="n">
        <f aca="false">SUM(H235:H237)</f>
        <v>0.0690116982654291</v>
      </c>
      <c r="I238" s="337"/>
    </row>
    <row r="239" customFormat="false" ht="12.75" hidden="false" customHeight="false" outlineLevel="0" collapsed="false">
      <c r="G239" s="442"/>
      <c r="H239" s="442"/>
      <c r="I239" s="337"/>
    </row>
    <row r="240" customFormat="false" ht="12.75" hidden="false" customHeight="false" outlineLevel="0" collapsed="false">
      <c r="G240" s="434" t="s">
        <v>471</v>
      </c>
      <c r="H240" s="435" t="s">
        <v>660</v>
      </c>
      <c r="I240" s="337"/>
    </row>
    <row r="241" customFormat="false" ht="12.75" hidden="false" customHeight="false" outlineLevel="0" collapsed="false">
      <c r="G241" s="436" t="s">
        <v>6</v>
      </c>
      <c r="H241" s="437" t="n">
        <v>0.035</v>
      </c>
      <c r="I241" s="337"/>
    </row>
    <row r="242" customFormat="false" ht="12.75" hidden="false" customHeight="false" outlineLevel="0" collapsed="false">
      <c r="G242" s="436" t="s">
        <v>7</v>
      </c>
      <c r="H242" s="438" t="n">
        <v>0</v>
      </c>
      <c r="I242" s="337"/>
    </row>
    <row r="243" customFormat="false" ht="12.75" hidden="false" customHeight="false" outlineLevel="0" collapsed="false">
      <c r="G243" s="439" t="n">
        <v>0.0244</v>
      </c>
      <c r="H243" s="440" t="n">
        <f aca="false">(H$3)/(1-G243)-H$3</f>
        <v>0.100416154161541</v>
      </c>
      <c r="I243" s="337"/>
    </row>
    <row r="244" customFormat="false" ht="12.75" hidden="false" customHeight="false" outlineLevel="0" collapsed="false">
      <c r="G244" s="436"/>
      <c r="H244" s="441" t="n">
        <f aca="false">SUM(H241:H243)</f>
        <v>0.135416154161541</v>
      </c>
      <c r="I244" s="337"/>
    </row>
    <row r="245" customFormat="false" ht="12.75" hidden="false" customHeight="false" outlineLevel="0" collapsed="false">
      <c r="G245" s="443"/>
      <c r="H245" s="443"/>
      <c r="I245" s="337"/>
    </row>
    <row r="246" customFormat="false" ht="12.75" hidden="false" customHeight="false" outlineLevel="0" collapsed="false">
      <c r="G246" s="434" t="s">
        <v>471</v>
      </c>
      <c r="H246" s="435" t="s">
        <v>661</v>
      </c>
      <c r="I246" s="337"/>
    </row>
    <row r="247" customFormat="false" ht="12.75" hidden="false" customHeight="false" outlineLevel="0" collapsed="false">
      <c r="G247" s="436" t="s">
        <v>6</v>
      </c>
      <c r="H247" s="437" t="n">
        <v>0.035</v>
      </c>
      <c r="I247" s="337"/>
    </row>
    <row r="248" customFormat="false" ht="12.75" hidden="false" customHeight="false" outlineLevel="0" collapsed="false">
      <c r="G248" s="436" t="s">
        <v>7</v>
      </c>
      <c r="H248" s="438" t="n">
        <v>0</v>
      </c>
      <c r="I248" s="337"/>
    </row>
    <row r="249" customFormat="false" ht="12.75" hidden="false" customHeight="false" outlineLevel="0" collapsed="false">
      <c r="G249" s="439" t="n">
        <v>0.0443</v>
      </c>
      <c r="H249" s="440" t="n">
        <f aca="false">(H$3)/(1-G249)-H$3</f>
        <v>0.18610913466569</v>
      </c>
      <c r="I249" s="337"/>
    </row>
    <row r="250" customFormat="false" ht="12.75" hidden="false" customHeight="false" outlineLevel="0" collapsed="false">
      <c r="G250" s="436"/>
      <c r="H250" s="441" t="n">
        <f aca="false">SUM(H247:H249)</f>
        <v>0.22110913466569</v>
      </c>
      <c r="I250" s="337"/>
    </row>
    <row r="251" customFormat="false" ht="12.75" hidden="false" customHeight="false" outlineLevel="0" collapsed="false">
      <c r="G251" s="443"/>
      <c r="H251" s="443"/>
      <c r="I251" s="337"/>
    </row>
    <row r="252" customFormat="false" ht="12.75" hidden="false" customHeight="false" outlineLevel="0" collapsed="false">
      <c r="G252" s="434" t="s">
        <v>471</v>
      </c>
      <c r="H252" s="435" t="s">
        <v>662</v>
      </c>
      <c r="I252" s="337"/>
    </row>
    <row r="253" customFormat="false" ht="12.75" hidden="false" customHeight="false" outlineLevel="0" collapsed="false">
      <c r="G253" s="436" t="s">
        <v>6</v>
      </c>
      <c r="H253" s="437" t="n">
        <v>0.035</v>
      </c>
      <c r="I253" s="337"/>
    </row>
    <row r="254" customFormat="false" ht="12.75" hidden="false" customHeight="false" outlineLevel="0" collapsed="false">
      <c r="G254" s="436" t="s">
        <v>7</v>
      </c>
      <c r="H254" s="438" t="n">
        <v>0</v>
      </c>
      <c r="I254" s="337"/>
    </row>
    <row r="255" customFormat="false" ht="12.75" hidden="false" customHeight="false" outlineLevel="0" collapsed="false">
      <c r="G255" s="439" t="n">
        <v>0.0504</v>
      </c>
      <c r="H255" s="440" t="n">
        <f aca="false">(H$3)/(1-G255)-H$3</f>
        <v>0.213096040438079</v>
      </c>
      <c r="I255" s="337"/>
    </row>
    <row r="256" customFormat="false" ht="12.75" hidden="false" customHeight="false" outlineLevel="0" collapsed="false">
      <c r="G256" s="436"/>
      <c r="H256" s="441" t="n">
        <f aca="false">SUM(H253:H255)</f>
        <v>0.248096040438079</v>
      </c>
      <c r="I256" s="337"/>
    </row>
    <row r="257" customFormat="false" ht="12.75" hidden="false" customHeight="false" outlineLevel="0" collapsed="false">
      <c r="G257" s="443"/>
      <c r="H257" s="443"/>
      <c r="I257" s="337"/>
    </row>
    <row r="258" customFormat="false" ht="12.75" hidden="false" customHeight="false" outlineLevel="0" collapsed="false">
      <c r="G258" s="434" t="s">
        <v>471</v>
      </c>
      <c r="H258" s="435" t="s">
        <v>663</v>
      </c>
      <c r="I258" s="337"/>
    </row>
    <row r="259" customFormat="false" ht="12.75" hidden="false" customHeight="false" outlineLevel="0" collapsed="false">
      <c r="G259" s="436" t="s">
        <v>6</v>
      </c>
      <c r="H259" s="437" t="n">
        <v>0.035</v>
      </c>
      <c r="I259" s="337"/>
    </row>
    <row r="260" customFormat="false" ht="12.75" hidden="false" customHeight="false" outlineLevel="0" collapsed="false">
      <c r="G260" s="436" t="s">
        <v>7</v>
      </c>
      <c r="H260" s="438" t="n">
        <v>0</v>
      </c>
      <c r="I260" s="337"/>
    </row>
    <row r="261" customFormat="false" ht="12.75" hidden="false" customHeight="false" outlineLevel="0" collapsed="false">
      <c r="G261" s="439" t="n">
        <v>0.0095</v>
      </c>
      <c r="H261" s="440" t="n">
        <f aca="false">(H$4)/(1-G261)-H$4</f>
        <v>0.0390358404846038</v>
      </c>
      <c r="I261" s="337"/>
    </row>
    <row r="262" customFormat="false" ht="12.75" hidden="false" customHeight="false" outlineLevel="0" collapsed="false">
      <c r="G262" s="436"/>
      <c r="H262" s="441" t="n">
        <f aca="false">SUM(H259:H261)</f>
        <v>0.0740358404846039</v>
      </c>
      <c r="I262" s="337"/>
    </row>
    <row r="263" customFormat="false" ht="12.75" hidden="false" customHeight="false" outlineLevel="0" collapsed="false">
      <c r="G263" s="443"/>
      <c r="H263" s="443"/>
      <c r="I263" s="337"/>
    </row>
    <row r="264" customFormat="false" ht="12.75" hidden="false" customHeight="false" outlineLevel="0" collapsed="false">
      <c r="G264" s="434" t="s">
        <v>471</v>
      </c>
      <c r="H264" s="435" t="s">
        <v>664</v>
      </c>
      <c r="I264" s="337"/>
    </row>
    <row r="265" customFormat="false" ht="12.75" hidden="false" customHeight="false" outlineLevel="0" collapsed="false">
      <c r="G265" s="436" t="s">
        <v>6</v>
      </c>
      <c r="H265" s="437" t="n">
        <v>0.035</v>
      </c>
      <c r="I265" s="337"/>
    </row>
    <row r="266" customFormat="false" ht="12.75" hidden="false" customHeight="false" outlineLevel="0" collapsed="false">
      <c r="G266" s="436" t="s">
        <v>7</v>
      </c>
      <c r="H266" s="438" t="n">
        <v>0</v>
      </c>
      <c r="I266" s="337"/>
    </row>
    <row r="267" customFormat="false" ht="12.75" hidden="false" customHeight="false" outlineLevel="0" collapsed="false">
      <c r="G267" s="439" t="n">
        <v>0.017</v>
      </c>
      <c r="H267" s="440" t="n">
        <f aca="false">(H$4)/(1-G267)-H$4</f>
        <v>0.0703865717192267</v>
      </c>
      <c r="I267" s="337"/>
    </row>
    <row r="268" customFormat="false" ht="12.75" hidden="false" customHeight="false" outlineLevel="0" collapsed="false">
      <c r="G268" s="436"/>
      <c r="H268" s="441" t="n">
        <f aca="false">SUM(H265:H267)</f>
        <v>0.105386571719227</v>
      </c>
      <c r="I268" s="337"/>
    </row>
    <row r="269" customFormat="false" ht="12.75" hidden="false" customHeight="false" outlineLevel="0" collapsed="false">
      <c r="G269" s="443"/>
      <c r="H269" s="443"/>
      <c r="I269" s="337"/>
    </row>
    <row r="270" customFormat="false" ht="12.75" hidden="false" customHeight="false" outlineLevel="0" collapsed="false">
      <c r="G270" s="434" t="s">
        <v>471</v>
      </c>
      <c r="H270" s="435" t="s">
        <v>665</v>
      </c>
      <c r="I270" s="337"/>
    </row>
    <row r="271" customFormat="false" ht="12.75" hidden="false" customHeight="false" outlineLevel="0" collapsed="false">
      <c r="G271" s="436" t="s">
        <v>6</v>
      </c>
      <c r="H271" s="437" t="n">
        <v>0.035</v>
      </c>
      <c r="I271" s="337"/>
    </row>
    <row r="272" customFormat="false" ht="12.75" hidden="false" customHeight="false" outlineLevel="0" collapsed="false">
      <c r="G272" s="436" t="s">
        <v>7</v>
      </c>
      <c r="H272" s="438" t="n">
        <v>0</v>
      </c>
      <c r="I272" s="337"/>
    </row>
    <row r="273" customFormat="false" ht="12.75" hidden="false" customHeight="false" outlineLevel="0" collapsed="false">
      <c r="G273" s="439" t="n">
        <v>0.0369</v>
      </c>
      <c r="H273" s="440" t="n">
        <f aca="false">(H$4)/(1-G273)-H$4</f>
        <v>0.155937078185028</v>
      </c>
      <c r="I273" s="337"/>
    </row>
    <row r="274" customFormat="false" ht="12.75" hidden="false" customHeight="false" outlineLevel="0" collapsed="false">
      <c r="G274" s="436"/>
      <c r="H274" s="441" t="n">
        <f aca="false">SUM(H271:H273)</f>
        <v>0.190937078185028</v>
      </c>
      <c r="I274" s="337"/>
    </row>
    <row r="275" customFormat="false" ht="12.75" hidden="false" customHeight="false" outlineLevel="0" collapsed="false">
      <c r="G275" s="443"/>
      <c r="H275" s="443"/>
      <c r="I275" s="337"/>
    </row>
    <row r="276" customFormat="false" ht="12.75" hidden="false" customHeight="false" outlineLevel="0" collapsed="false">
      <c r="G276" s="434" t="s">
        <v>471</v>
      </c>
      <c r="H276" s="435" t="s">
        <v>666</v>
      </c>
      <c r="I276" s="337"/>
    </row>
    <row r="277" customFormat="false" ht="12.75" hidden="false" customHeight="false" outlineLevel="0" collapsed="false">
      <c r="G277" s="436" t="s">
        <v>6</v>
      </c>
      <c r="H277" s="437" t="n">
        <v>0.035</v>
      </c>
      <c r="I277" s="337"/>
    </row>
    <row r="278" customFormat="false" ht="12.75" hidden="false" customHeight="false" outlineLevel="0" collapsed="false">
      <c r="G278" s="436" t="s">
        <v>7</v>
      </c>
      <c r="H278" s="438" t="n">
        <v>0</v>
      </c>
      <c r="I278" s="337"/>
    </row>
    <row r="279" customFormat="false" ht="12.75" hidden="false" customHeight="false" outlineLevel="0" collapsed="false">
      <c r="G279" s="439" t="n">
        <v>0.0429</v>
      </c>
      <c r="H279" s="440" t="n">
        <f aca="false">(H$4)/(1-G279)-H$4</f>
        <v>0.182429213248355</v>
      </c>
      <c r="I279" s="337"/>
    </row>
    <row r="280" customFormat="false" ht="12.75" hidden="false" customHeight="false" outlineLevel="0" collapsed="false">
      <c r="G280" s="436"/>
      <c r="H280" s="441" t="n">
        <f aca="false">SUM(H277:H279)</f>
        <v>0.217429213248355</v>
      </c>
      <c r="I280" s="337"/>
    </row>
  </sheetData>
  <mergeCells count="1">
    <mergeCell ref="G2:I2"/>
  </mergeCells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0" sqref="K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44" width="18.41"/>
    <col collapsed="false" customWidth="true" hidden="false" outlineLevel="0" max="4" min="3" style="444" width="8.85"/>
    <col collapsed="false" customWidth="true" hidden="false" outlineLevel="0" max="5" min="5" style="445" width="8.85"/>
    <col collapsed="false" customWidth="true" hidden="false" outlineLevel="0" max="6" min="6" style="444" width="8.85"/>
    <col collapsed="false" customWidth="true" hidden="false" outlineLevel="0" max="10" min="7" style="0" width="8.85"/>
  </cols>
  <sheetData>
    <row r="1" customFormat="false" ht="12.75" hidden="false" customHeight="false" outlineLevel="0" collapsed="false">
      <c r="A1" s="444" t="s">
        <v>667</v>
      </c>
      <c r="B1" s="0" t="s">
        <v>668</v>
      </c>
    </row>
    <row r="2" customFormat="false" ht="12.75" hidden="false" customHeight="false" outlineLevel="0" collapsed="false">
      <c r="B2" s="0" t="s">
        <v>669</v>
      </c>
    </row>
    <row r="3" customFormat="false" ht="12.75" hidden="false" customHeight="false" outlineLevel="0" collapsed="false">
      <c r="B3" s="0" t="s">
        <v>670</v>
      </c>
    </row>
    <row r="4" customFormat="false" ht="12.75" hidden="false" customHeight="false" outlineLevel="0" collapsed="false">
      <c r="B4" s="0" t="s">
        <v>671</v>
      </c>
    </row>
    <row r="7" customFormat="false" ht="12.75" hidden="false" customHeight="false" outlineLevel="0" collapsed="false">
      <c r="B7" s="446" t="s">
        <v>672</v>
      </c>
      <c r="C7" s="447"/>
      <c r="D7" s="447"/>
      <c r="E7" s="447"/>
      <c r="F7" s="447"/>
      <c r="G7" s="446"/>
      <c r="H7" s="446"/>
      <c r="I7" s="446"/>
      <c r="M7" s="0" t="n">
        <v>13973</v>
      </c>
      <c r="N7" s="0" t="n">
        <v>32603</v>
      </c>
    </row>
    <row r="8" customFormat="false" ht="12.75" hidden="false" customHeight="false" outlineLevel="0" collapsed="false">
      <c r="B8" s="446"/>
      <c r="C8" s="447"/>
      <c r="D8" s="448" t="s">
        <v>673</v>
      </c>
      <c r="E8" s="448"/>
      <c r="F8" s="448"/>
      <c r="G8" s="448"/>
      <c r="H8" s="448"/>
      <c r="I8" s="448"/>
      <c r="M8" s="0" t="n">
        <v>14904</v>
      </c>
      <c r="N8" s="0" t="n">
        <v>34776</v>
      </c>
    </row>
    <row r="9" customFormat="false" ht="12.75" hidden="false" customHeight="false" outlineLevel="0" collapsed="false">
      <c r="B9" s="446"/>
      <c r="C9" s="447"/>
      <c r="D9" s="449" t="n">
        <v>1</v>
      </c>
      <c r="E9" s="450" t="n">
        <v>2</v>
      </c>
      <c r="F9" s="449" t="n">
        <v>3</v>
      </c>
      <c r="G9" s="451" t="n">
        <v>4</v>
      </c>
      <c r="H9" s="451" t="n">
        <v>5</v>
      </c>
      <c r="I9" s="451" t="n">
        <v>6</v>
      </c>
      <c r="M9" s="0" t="n">
        <v>9559</v>
      </c>
      <c r="N9" s="0" t="n">
        <v>22304</v>
      </c>
    </row>
    <row r="10" customFormat="false" ht="12.75" hidden="false" customHeight="false" outlineLevel="0" collapsed="false">
      <c r="B10" s="446"/>
      <c r="C10" s="447" t="s">
        <v>674</v>
      </c>
      <c r="D10" s="447"/>
      <c r="E10" s="452"/>
      <c r="F10" s="447"/>
      <c r="G10" s="446"/>
      <c r="H10" s="446"/>
      <c r="I10" s="446"/>
      <c r="M10" s="0" t="n">
        <v>14850</v>
      </c>
      <c r="N10" s="0" t="n">
        <v>34650</v>
      </c>
    </row>
    <row r="11" customFormat="false" ht="12.75" hidden="false" customHeight="false" outlineLevel="0" collapsed="false">
      <c r="B11" s="446"/>
      <c r="C11" s="447" t="n">
        <v>1</v>
      </c>
      <c r="D11" s="453" t="n">
        <v>0.0036</v>
      </c>
      <c r="E11" s="454" t="n">
        <v>0.0082</v>
      </c>
      <c r="F11" s="453" t="n">
        <v>0.0127</v>
      </c>
      <c r="G11" s="455" t="n">
        <v>0.032</v>
      </c>
      <c r="H11" s="455" t="n">
        <v>0.0475</v>
      </c>
      <c r="I11" s="455" t="n">
        <v>0.056</v>
      </c>
      <c r="M11" s="0" t="n">
        <v>29700</v>
      </c>
      <c r="N11" s="0" t="n">
        <v>69300</v>
      </c>
    </row>
    <row r="12" customFormat="false" ht="12.75" hidden="false" customHeight="false" outlineLevel="0" collapsed="false">
      <c r="B12" s="446"/>
      <c r="C12" s="447"/>
      <c r="D12" s="453"/>
      <c r="E12" s="454"/>
      <c r="F12" s="453"/>
      <c r="G12" s="455"/>
      <c r="H12" s="455"/>
      <c r="I12" s="455"/>
      <c r="M12" s="0" t="n">
        <v>6282</v>
      </c>
      <c r="N12" s="0" t="n">
        <v>14658</v>
      </c>
    </row>
    <row r="13" customFormat="false" ht="12.75" hidden="false" customHeight="false" outlineLevel="0" collapsed="false">
      <c r="B13" s="446"/>
      <c r="C13" s="447" t="n">
        <v>2</v>
      </c>
      <c r="D13" s="453"/>
      <c r="E13" s="454" t="n">
        <v>0.0046</v>
      </c>
      <c r="F13" s="453" t="n">
        <v>0.0091</v>
      </c>
      <c r="G13" s="455" t="n">
        <v>0.0284</v>
      </c>
      <c r="H13" s="455" t="n">
        <v>0.0439</v>
      </c>
      <c r="I13" s="455" t="n">
        <v>0.0524</v>
      </c>
      <c r="M13" s="0" t="n">
        <v>89</v>
      </c>
      <c r="N13" s="0" t="n">
        <v>209</v>
      </c>
    </row>
    <row r="14" customFormat="false" ht="12.75" hidden="false" customHeight="false" outlineLevel="0" collapsed="false">
      <c r="B14" s="446"/>
      <c r="C14" s="447" t="s">
        <v>9</v>
      </c>
      <c r="D14" s="453"/>
      <c r="E14" s="454"/>
      <c r="F14" s="453"/>
      <c r="G14" s="455"/>
      <c r="H14" s="455"/>
      <c r="I14" s="455"/>
      <c r="M14" s="0" t="n">
        <f aca="false">SUM(M7:M13)</f>
        <v>89357</v>
      </c>
      <c r="N14" s="0" t="n">
        <f aca="false">SUM(N7:N13)</f>
        <v>208500</v>
      </c>
    </row>
    <row r="15" customFormat="false" ht="12.75" hidden="false" customHeight="false" outlineLevel="0" collapsed="false">
      <c r="B15" s="446"/>
      <c r="C15" s="447" t="n">
        <v>3</v>
      </c>
      <c r="D15" s="453"/>
      <c r="E15" s="454"/>
      <c r="F15" s="453" t="n">
        <v>0.0045</v>
      </c>
      <c r="G15" s="455" t="n">
        <v>0.0238</v>
      </c>
      <c r="H15" s="455" t="n">
        <v>0.0393</v>
      </c>
      <c r="I15" s="455" t="n">
        <v>0.0478</v>
      </c>
      <c r="M15" s="0" t="n">
        <f aca="false">+M14+N14</f>
        <v>297857</v>
      </c>
    </row>
    <row r="16" customFormat="false" ht="12.75" hidden="false" customHeight="false" outlineLevel="0" collapsed="false">
      <c r="B16" s="446"/>
      <c r="C16" s="447"/>
      <c r="D16" s="453"/>
      <c r="E16" s="454"/>
      <c r="F16" s="453"/>
      <c r="G16" s="455"/>
      <c r="H16" s="455"/>
      <c r="I16" s="455"/>
    </row>
    <row r="17" customFormat="false" ht="12.75" hidden="false" customHeight="false" outlineLevel="0" collapsed="false">
      <c r="B17" s="446"/>
      <c r="C17" s="447" t="n">
        <v>4</v>
      </c>
      <c r="D17" s="453"/>
      <c r="E17" s="454"/>
      <c r="F17" s="453"/>
      <c r="G17" s="455" t="n">
        <v>0.0193</v>
      </c>
      <c r="H17" s="455" t="n">
        <v>0.0348</v>
      </c>
      <c r="I17" s="455" t="n">
        <v>0.0433</v>
      </c>
    </row>
    <row r="18" customFormat="false" ht="12.75" hidden="false" customHeight="false" outlineLevel="0" collapsed="false">
      <c r="B18" s="446"/>
      <c r="C18" s="447"/>
      <c r="D18" s="453"/>
      <c r="E18" s="454"/>
      <c r="F18" s="453"/>
      <c r="G18" s="455"/>
      <c r="H18" s="455"/>
      <c r="I18" s="455"/>
    </row>
    <row r="19" customFormat="false" ht="12.75" hidden="false" customHeight="false" outlineLevel="0" collapsed="false">
      <c r="B19" s="446"/>
      <c r="C19" s="447" t="n">
        <v>5</v>
      </c>
      <c r="D19" s="453"/>
      <c r="E19" s="454"/>
      <c r="F19" s="453"/>
      <c r="G19" s="455"/>
      <c r="H19" s="455" t="n">
        <v>0.0155</v>
      </c>
      <c r="I19" s="455" t="n">
        <v>0.024</v>
      </c>
    </row>
    <row r="20" customFormat="false" ht="12.75" hidden="false" customHeight="false" outlineLevel="0" collapsed="false">
      <c r="B20" s="446"/>
      <c r="C20" s="447"/>
      <c r="D20" s="453"/>
      <c r="E20" s="454"/>
      <c r="F20" s="453"/>
      <c r="G20" s="455"/>
      <c r="H20" s="455"/>
      <c r="I20" s="455"/>
    </row>
    <row r="21" customFormat="false" ht="12.75" hidden="false" customHeight="false" outlineLevel="0" collapsed="false">
      <c r="B21" s="446"/>
      <c r="C21" s="447" t="n">
        <v>6</v>
      </c>
      <c r="D21" s="453"/>
      <c r="E21" s="454"/>
      <c r="F21" s="453"/>
      <c r="G21" s="455"/>
      <c r="H21" s="455"/>
      <c r="I21" s="455" t="n">
        <v>0.0085</v>
      </c>
    </row>
    <row r="22" customFormat="false" ht="12.75" hidden="false" customHeight="false" outlineLevel="0" collapsed="false">
      <c r="B22" s="446"/>
      <c r="C22" s="447"/>
      <c r="D22" s="453"/>
      <c r="E22" s="454"/>
      <c r="F22" s="453"/>
      <c r="G22" s="455"/>
      <c r="H22" s="455"/>
      <c r="I22" s="455"/>
    </row>
    <row r="23" customFormat="false" ht="12.75" hidden="false" customHeight="false" outlineLevel="0" collapsed="false">
      <c r="B23" s="446"/>
      <c r="C23" s="447"/>
      <c r="D23" s="447"/>
      <c r="E23" s="452"/>
      <c r="F23" s="447"/>
      <c r="G23" s="446"/>
      <c r="H23" s="446"/>
      <c r="I23" s="446"/>
    </row>
    <row r="24" customFormat="false" ht="12.75" hidden="false" customHeight="false" outlineLevel="0" collapsed="false">
      <c r="B24" s="446"/>
      <c r="C24" s="452" t="s">
        <v>675</v>
      </c>
      <c r="D24" s="447"/>
      <c r="E24" s="452"/>
      <c r="F24" s="447"/>
      <c r="G24" s="446"/>
      <c r="H24" s="446"/>
      <c r="I24" s="446"/>
    </row>
  </sheetData>
  <mergeCells count="1">
    <mergeCell ref="D8:I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3" activeCellId="0" sqref="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8" width="10.85"/>
    <col collapsed="false" customWidth="true" hidden="false" outlineLevel="0" max="3" min="3" style="8" width="2.84"/>
    <col collapsed="false" customWidth="true" hidden="false" outlineLevel="0" max="5" min="4" style="8" width="10.85"/>
    <col collapsed="false" customWidth="true" hidden="false" outlineLevel="0" max="6" min="6" style="8" width="2.84"/>
    <col collapsed="false" customWidth="true" hidden="false" outlineLevel="0" max="8" min="7" style="8" width="10.85"/>
    <col collapsed="false" customWidth="true" hidden="false" outlineLevel="0" max="9" min="9" style="8" width="2.84"/>
    <col collapsed="false" customWidth="false" hidden="true" outlineLevel="0" max="11" min="10" style="319" width="9.06"/>
    <col collapsed="false" customWidth="true" hidden="true" outlineLevel="0" max="12" min="12" style="8" width="3.42"/>
    <col collapsed="false" customWidth="false" hidden="true" outlineLevel="0" max="14" min="13" style="319" width="9.06"/>
    <col collapsed="false" customWidth="true" hidden="true" outlineLevel="0" max="15" min="15" style="8" width="3.42"/>
    <col collapsed="false" customWidth="true" hidden="false" outlineLevel="0" max="17" min="16" style="8" width="9.14"/>
  </cols>
  <sheetData>
    <row r="1" customFormat="false" ht="13.5" hidden="false" customHeight="false" outlineLevel="0" collapsed="false">
      <c r="M1" s="322"/>
      <c r="N1" s="322"/>
    </row>
    <row r="2" customFormat="false" ht="13.5" hidden="false" customHeight="false" outlineLevel="0" collapsed="false">
      <c r="A2" s="323" t="s">
        <v>9</v>
      </c>
      <c r="B2" s="323"/>
      <c r="C2" s="323"/>
      <c r="D2" s="331"/>
      <c r="E2" s="337"/>
      <c r="F2" s="323"/>
      <c r="G2" s="323"/>
      <c r="H2" s="326" t="s">
        <v>402</v>
      </c>
      <c r="I2" s="323"/>
      <c r="M2" s="322"/>
      <c r="N2" s="322"/>
    </row>
    <row r="3" customFormat="false" ht="12.75" hidden="false" customHeight="false" outlineLevel="0" collapsed="false">
      <c r="A3" s="334" t="s">
        <v>406</v>
      </c>
      <c r="B3" s="2" t="n">
        <v>5.065</v>
      </c>
      <c r="C3" s="323"/>
      <c r="D3" s="331" t="s">
        <v>280</v>
      </c>
      <c r="E3" s="337" t="n">
        <v>5.02</v>
      </c>
      <c r="F3" s="323"/>
      <c r="G3" s="331" t="s">
        <v>280</v>
      </c>
      <c r="H3" s="333" t="n">
        <f aca="false">+E3</f>
        <v>5.02</v>
      </c>
      <c r="I3" s="323"/>
      <c r="J3" s="456" t="s">
        <v>482</v>
      </c>
      <c r="K3" s="457" t="n">
        <v>4.88</v>
      </c>
      <c r="M3" s="335" t="s">
        <v>357</v>
      </c>
      <c r="N3" s="336" t="n">
        <v>2.97</v>
      </c>
      <c r="P3" s="194" t="s">
        <v>482</v>
      </c>
      <c r="Q3" s="337" t="n">
        <v>5.145</v>
      </c>
    </row>
    <row r="4" customFormat="false" ht="12.75" hidden="false" customHeight="false" outlineLevel="0" collapsed="false">
      <c r="A4" s="334" t="s">
        <v>415</v>
      </c>
      <c r="B4" s="341" t="n">
        <v>5.11</v>
      </c>
      <c r="C4" s="323"/>
      <c r="D4" s="331" t="s">
        <v>416</v>
      </c>
      <c r="E4" s="337" t="n">
        <v>5.03</v>
      </c>
      <c r="F4" s="323"/>
      <c r="G4" s="331" t="s">
        <v>416</v>
      </c>
      <c r="H4" s="333" t="n">
        <f aca="false">+E4</f>
        <v>5.03</v>
      </c>
      <c r="I4" s="323"/>
      <c r="J4" s="456" t="s">
        <v>419</v>
      </c>
      <c r="M4" s="458" t="s">
        <v>419</v>
      </c>
      <c r="N4" s="322"/>
      <c r="P4" s="194" t="s">
        <v>418</v>
      </c>
    </row>
    <row r="5" customFormat="false" ht="12.75" hidden="false" customHeight="false" outlineLevel="0" collapsed="false">
      <c r="A5" s="334" t="s">
        <v>226</v>
      </c>
      <c r="B5" s="343" t="n">
        <v>5.59</v>
      </c>
      <c r="C5" s="323"/>
      <c r="D5" s="331" t="s">
        <v>281</v>
      </c>
      <c r="E5" s="337" t="n">
        <v>4.95</v>
      </c>
      <c r="F5" s="323"/>
      <c r="G5" s="331" t="s">
        <v>281</v>
      </c>
      <c r="H5" s="333" t="n">
        <f aca="false">+E5</f>
        <v>4.95</v>
      </c>
      <c r="I5" s="323"/>
      <c r="M5" s="322"/>
      <c r="N5" s="322"/>
    </row>
    <row r="6" customFormat="false" ht="12.75" hidden="false" customHeight="false" outlineLevel="0" collapsed="false">
      <c r="A6" s="150"/>
      <c r="B6" s="150"/>
      <c r="C6" s="282"/>
      <c r="D6" s="334" t="s">
        <v>423</v>
      </c>
      <c r="E6" s="357" t="n">
        <v>5.1</v>
      </c>
      <c r="F6" s="282"/>
      <c r="G6" s="334" t="s">
        <v>423</v>
      </c>
      <c r="H6" s="333" t="n">
        <f aca="false">+E6</f>
        <v>5.1</v>
      </c>
      <c r="I6" s="282"/>
      <c r="J6" s="459"/>
      <c r="K6" s="459"/>
      <c r="L6" s="150"/>
      <c r="M6" s="460"/>
      <c r="N6" s="460"/>
      <c r="O6" s="150"/>
      <c r="P6" s="150"/>
      <c r="Q6" s="150"/>
    </row>
    <row r="7" customFormat="false" ht="12.75" hidden="false" customHeight="false" outlineLevel="0" collapsed="false">
      <c r="A7" s="206"/>
      <c r="B7" s="206"/>
      <c r="C7" s="349"/>
      <c r="D7" s="348" t="s">
        <v>357</v>
      </c>
      <c r="E7" s="461" t="n">
        <v>5.695</v>
      </c>
      <c r="F7" s="349"/>
      <c r="G7" s="348" t="s">
        <v>357</v>
      </c>
      <c r="H7" s="333" t="n">
        <f aca="false">+E7</f>
        <v>5.695</v>
      </c>
      <c r="I7" s="349"/>
      <c r="J7" s="462"/>
      <c r="K7" s="462"/>
      <c r="L7" s="141"/>
      <c r="M7" s="463"/>
      <c r="N7" s="463"/>
      <c r="O7" s="141"/>
      <c r="P7" s="141"/>
      <c r="Q7" s="141"/>
    </row>
    <row r="8" customFormat="false" ht="12.75" hidden="false" customHeight="false" outlineLevel="0" collapsed="false">
      <c r="A8" s="354" t="s">
        <v>676</v>
      </c>
      <c r="B8" s="206"/>
      <c r="C8" s="353"/>
      <c r="D8" s="334" t="s">
        <v>677</v>
      </c>
      <c r="E8" s="357"/>
      <c r="F8" s="323"/>
      <c r="G8" s="334" t="s">
        <v>677</v>
      </c>
      <c r="H8" s="357"/>
      <c r="I8" s="323"/>
      <c r="J8" s="319" t="s">
        <v>433</v>
      </c>
      <c r="M8" s="319" t="s">
        <v>678</v>
      </c>
      <c r="P8" s="8" t="s">
        <v>524</v>
      </c>
    </row>
    <row r="9" customFormat="false" ht="12.75" hidden="false" customHeight="false" outlineLevel="0" collapsed="false">
      <c r="A9" s="206" t="s">
        <v>437</v>
      </c>
      <c r="B9" s="206"/>
      <c r="C9" s="235"/>
      <c r="D9" s="23" t="s">
        <v>438</v>
      </c>
      <c r="E9" s="357"/>
      <c r="F9" s="323"/>
      <c r="G9" s="23" t="s">
        <v>439</v>
      </c>
      <c r="H9" s="357"/>
      <c r="I9" s="323"/>
      <c r="J9" s="319" t="s">
        <v>443</v>
      </c>
      <c r="M9" s="319" t="s">
        <v>453</v>
      </c>
      <c r="P9" s="8" t="s">
        <v>679</v>
      </c>
    </row>
    <row r="10" customFormat="false" ht="12.75" hidden="false" customHeight="false" outlineLevel="0" collapsed="false">
      <c r="A10" s="206" t="s">
        <v>447</v>
      </c>
      <c r="B10" s="206"/>
      <c r="C10" s="235"/>
      <c r="D10" s="353" t="s">
        <v>448</v>
      </c>
      <c r="E10" s="357"/>
      <c r="F10" s="323"/>
      <c r="G10" s="353" t="s">
        <v>448</v>
      </c>
      <c r="H10" s="357"/>
      <c r="I10" s="323"/>
      <c r="J10" s="319" t="s">
        <v>454</v>
      </c>
      <c r="M10" s="319" t="s">
        <v>462</v>
      </c>
      <c r="P10" s="8" t="s">
        <v>454</v>
      </c>
    </row>
    <row r="11" customFormat="false" ht="12.75" hidden="false" customHeight="false" outlineLevel="0" collapsed="false">
      <c r="A11" s="23" t="s">
        <v>457</v>
      </c>
      <c r="B11" s="206"/>
      <c r="C11" s="235"/>
      <c r="D11" s="353" t="s">
        <v>458</v>
      </c>
      <c r="E11" s="357"/>
      <c r="F11" s="323"/>
      <c r="G11" s="353" t="s">
        <v>458</v>
      </c>
      <c r="H11" s="357"/>
      <c r="I11" s="323"/>
      <c r="J11" s="319" t="s">
        <v>463</v>
      </c>
      <c r="P11" s="8" t="s">
        <v>463</v>
      </c>
    </row>
    <row r="12" customFormat="false" ht="12.75" hidden="false" customHeight="false" outlineLevel="0" collapsed="false">
      <c r="A12" s="364"/>
      <c r="B12" s="365"/>
      <c r="C12" s="323"/>
      <c r="D12" s="353" t="s">
        <v>680</v>
      </c>
      <c r="E12" s="337"/>
      <c r="F12" s="323"/>
      <c r="G12" s="331" t="s">
        <v>19</v>
      </c>
      <c r="H12" s="337"/>
      <c r="I12" s="323"/>
      <c r="J12" s="446" t="s">
        <v>681</v>
      </c>
      <c r="M12" s="319" t="s">
        <v>680</v>
      </c>
      <c r="P12" s="8" t="s">
        <v>682</v>
      </c>
    </row>
    <row r="13" customFormat="false" ht="12.75" hidden="false" customHeight="false" outlineLevel="0" collapsed="false">
      <c r="A13" s="369" t="s">
        <v>471</v>
      </c>
      <c r="B13" s="372" t="s">
        <v>472</v>
      </c>
      <c r="C13" s="363"/>
      <c r="D13" s="373" t="s">
        <v>473</v>
      </c>
      <c r="E13" s="7" t="s">
        <v>474</v>
      </c>
      <c r="F13" s="363"/>
      <c r="G13" s="374" t="s">
        <v>475</v>
      </c>
      <c r="H13" s="375" t="s">
        <v>474</v>
      </c>
      <c r="I13" s="363"/>
      <c r="J13" s="319" t="s">
        <v>683</v>
      </c>
      <c r="M13" s="464" t="s">
        <v>481</v>
      </c>
      <c r="N13" s="465" t="s">
        <v>375</v>
      </c>
      <c r="P13" s="8" t="s">
        <v>683</v>
      </c>
    </row>
    <row r="14" customFormat="false" ht="12.75" hidden="false" customHeight="false" outlineLevel="0" collapsed="false">
      <c r="A14" s="5" t="s">
        <v>6</v>
      </c>
      <c r="B14" s="10" t="n">
        <v>0.0439</v>
      </c>
      <c r="C14" s="371"/>
      <c r="D14" s="378" t="s">
        <v>6</v>
      </c>
      <c r="E14" s="10" t="n">
        <v>0.0088</v>
      </c>
      <c r="F14" s="371"/>
      <c r="G14" s="379" t="s">
        <v>6</v>
      </c>
      <c r="H14" s="14" t="n">
        <v>0.1895</v>
      </c>
      <c r="I14" s="371"/>
      <c r="J14" s="466" t="s">
        <v>6</v>
      </c>
      <c r="K14" s="467" t="n">
        <f aca="false">0.005+0.002</f>
        <v>0.007</v>
      </c>
      <c r="M14" s="466" t="s">
        <v>6</v>
      </c>
      <c r="N14" s="467" t="n">
        <v>0.0112</v>
      </c>
      <c r="P14" s="11" t="s">
        <v>6</v>
      </c>
      <c r="Q14" s="14" t="n">
        <f aca="false">0.004</f>
        <v>0.004</v>
      </c>
    </row>
    <row r="15" customFormat="false" ht="12.75" hidden="false" customHeight="false" outlineLevel="0" collapsed="false">
      <c r="A15" s="5" t="s">
        <v>7</v>
      </c>
      <c r="B15" s="10" t="n">
        <f aca="false">0.0022+0.007+0.0225</f>
        <v>0.0317</v>
      </c>
      <c r="C15" s="371"/>
      <c r="D15" s="378" t="s">
        <v>7</v>
      </c>
      <c r="E15" s="10" t="n">
        <f aca="false">0.0022+0.007</f>
        <v>0.0092</v>
      </c>
      <c r="F15" s="371"/>
      <c r="G15" s="379" t="s">
        <v>7</v>
      </c>
      <c r="H15" s="14" t="n">
        <f aca="false">0.0022+0.007</f>
        <v>0.0092</v>
      </c>
      <c r="I15" s="371"/>
      <c r="J15" s="466" t="s">
        <v>7</v>
      </c>
      <c r="K15" s="467" t="n">
        <f aca="false">0.0022+0.0072</f>
        <v>0.0094</v>
      </c>
      <c r="M15" s="466" t="s">
        <v>7</v>
      </c>
      <c r="N15" s="467" t="n">
        <f aca="false">0.0022+0.0072</f>
        <v>0.0094</v>
      </c>
      <c r="P15" s="11" t="s">
        <v>7</v>
      </c>
      <c r="Q15" s="14" t="n">
        <f aca="false">0.0022+0.007</f>
        <v>0.0092</v>
      </c>
    </row>
    <row r="16" customFormat="false" ht="12.75" hidden="false" customHeight="false" outlineLevel="0" collapsed="false">
      <c r="A16" s="15" t="n">
        <v>0.0089</v>
      </c>
      <c r="B16" s="384" t="n">
        <f aca="false">(B$3)/(1-A16)-B$3</f>
        <v>0.0454833013823022</v>
      </c>
      <c r="C16" s="381"/>
      <c r="D16" s="15" t="n">
        <v>0.0303</v>
      </c>
      <c r="E16" s="382" t="n">
        <f aca="false">(E$5)/(1-D16)-E$5</f>
        <v>0.154671547901413</v>
      </c>
      <c r="F16" s="381"/>
      <c r="G16" s="17" t="n">
        <v>0.0303</v>
      </c>
      <c r="H16" s="16" t="n">
        <f aca="false">(H$5)/(1-G16)-H$5</f>
        <v>0.154671547901413</v>
      </c>
      <c r="I16" s="381"/>
      <c r="J16" s="466" t="s">
        <v>684</v>
      </c>
      <c r="K16" s="468" t="n">
        <f aca="false">+K3/(1-0.0022)-K3</f>
        <v>0.0107596712768085</v>
      </c>
      <c r="M16" s="466" t="s">
        <v>685</v>
      </c>
      <c r="N16" s="468" t="n">
        <f aca="false">+N3/(1-0.0058)-N3</f>
        <v>0.0173264936632469</v>
      </c>
      <c r="P16" s="17" t="n">
        <v>0.0045</v>
      </c>
      <c r="Q16" s="16" t="n">
        <f aca="false">+Q$3/(1-P16)-Q$3</f>
        <v>0.0232571572074329</v>
      </c>
    </row>
    <row r="17" customFormat="false" ht="12.75" hidden="false" customHeight="false" outlineLevel="0" collapsed="false">
      <c r="A17" s="13"/>
      <c r="B17" s="6" t="n">
        <f aca="false">SUM(B14:B16)</f>
        <v>0.121083301382302</v>
      </c>
      <c r="C17" s="383"/>
      <c r="D17" s="378"/>
      <c r="E17" s="6" t="n">
        <f aca="false">SUM(E14:E16)</f>
        <v>0.172671547901413</v>
      </c>
      <c r="F17" s="383"/>
      <c r="G17" s="17"/>
      <c r="H17" s="16" t="n">
        <f aca="false">SUM(H14:H16)</f>
        <v>0.353371547901413</v>
      </c>
      <c r="I17" s="383"/>
      <c r="J17" s="469"/>
      <c r="K17" s="470" t="n">
        <f aca="false">SUM(K14:K16)</f>
        <v>0.0271596712768085</v>
      </c>
      <c r="M17" s="469"/>
      <c r="N17" s="470" t="n">
        <f aca="false">SUM(N14:N16)</f>
        <v>0.0379264936632469</v>
      </c>
      <c r="P17" s="385"/>
      <c r="Q17" s="20" t="n">
        <f aca="false">SUM(Q14:Q16)</f>
        <v>0.0364571572074329</v>
      </c>
    </row>
    <row r="18" customFormat="false" ht="12.75" hidden="false" customHeight="false" outlineLevel="0" collapsed="false">
      <c r="A18" s="387" t="s">
        <v>471</v>
      </c>
      <c r="B18" s="388" t="s">
        <v>500</v>
      </c>
      <c r="C18" s="363"/>
      <c r="D18" s="373" t="s">
        <v>473</v>
      </c>
      <c r="E18" s="7" t="s">
        <v>501</v>
      </c>
      <c r="F18" s="363"/>
      <c r="G18" s="374" t="s">
        <v>475</v>
      </c>
      <c r="H18" s="375" t="s">
        <v>501</v>
      </c>
      <c r="I18" s="363"/>
    </row>
    <row r="19" customFormat="false" ht="12.75" hidden="false" customHeight="false" outlineLevel="0" collapsed="false">
      <c r="A19" s="5" t="s">
        <v>6</v>
      </c>
      <c r="B19" s="10" t="n">
        <v>0.0669</v>
      </c>
      <c r="C19" s="371"/>
      <c r="D19" s="378" t="s">
        <v>6</v>
      </c>
      <c r="E19" s="10" t="n">
        <v>0.0096</v>
      </c>
      <c r="F19" s="371"/>
      <c r="G19" s="379" t="s">
        <v>6</v>
      </c>
      <c r="H19" s="14" t="n">
        <v>0.1953</v>
      </c>
      <c r="I19" s="371"/>
      <c r="J19" s="319" t="s">
        <v>686</v>
      </c>
      <c r="M19" s="464" t="s">
        <v>481</v>
      </c>
      <c r="N19" s="465" t="s">
        <v>507</v>
      </c>
      <c r="P19" s="8" t="s">
        <v>686</v>
      </c>
    </row>
    <row r="20" customFormat="false" ht="12.75" hidden="false" customHeight="false" outlineLevel="0" collapsed="false">
      <c r="A20" s="5" t="s">
        <v>7</v>
      </c>
      <c r="B20" s="10" t="n">
        <f aca="false">0.0022+0.007+0.0225</f>
        <v>0.0317</v>
      </c>
      <c r="C20" s="371"/>
      <c r="D20" s="378" t="s">
        <v>7</v>
      </c>
      <c r="E20" s="10" t="n">
        <f aca="false">0.0022</f>
        <v>0.0022</v>
      </c>
      <c r="F20" s="371"/>
      <c r="G20" s="379" t="s">
        <v>7</v>
      </c>
      <c r="H20" s="14" t="n">
        <f aca="false">0.0022+0.007</f>
        <v>0.0092</v>
      </c>
      <c r="I20" s="371"/>
      <c r="J20" s="466" t="s">
        <v>6</v>
      </c>
      <c r="K20" s="467" t="n">
        <f aca="false">0.0303+0.002</f>
        <v>0.0323</v>
      </c>
      <c r="M20" s="466" t="s">
        <v>6</v>
      </c>
      <c r="N20" s="467" t="n">
        <v>0</v>
      </c>
      <c r="P20" s="11" t="s">
        <v>6</v>
      </c>
      <c r="Q20" s="14" t="n">
        <f aca="false">0.022</f>
        <v>0.022</v>
      </c>
    </row>
    <row r="21" customFormat="false" ht="12.75" hidden="false" customHeight="false" outlineLevel="0" collapsed="false">
      <c r="A21" s="15" t="n">
        <v>0.0279</v>
      </c>
      <c r="B21" s="384" t="n">
        <f aca="false">(B$3)/(1-A21)-B$3</f>
        <v>0.145369303569592</v>
      </c>
      <c r="C21" s="381"/>
      <c r="D21" s="15" t="n">
        <v>0.0328</v>
      </c>
      <c r="E21" s="382" t="n">
        <f aca="false">(E$5)/(1-D21)-E$5</f>
        <v>0.16786600496278</v>
      </c>
      <c r="F21" s="381"/>
      <c r="G21" s="17" t="n">
        <v>0.0328</v>
      </c>
      <c r="H21" s="16" t="n">
        <f aca="false">(H$5)/(1-G21)-H$5</f>
        <v>0.16786600496278</v>
      </c>
      <c r="I21" s="381"/>
      <c r="J21" s="466" t="s">
        <v>7</v>
      </c>
      <c r="K21" s="467" t="n">
        <f aca="false">0.0072+0.0022</f>
        <v>0.0094</v>
      </c>
      <c r="M21" s="466" t="s">
        <v>7</v>
      </c>
      <c r="N21" s="467" t="n">
        <f aca="false">0.0022+0.0072</f>
        <v>0.0094</v>
      </c>
      <c r="P21" s="11" t="s">
        <v>7</v>
      </c>
      <c r="Q21" s="14" t="n">
        <f aca="false">0.007+0.0022</f>
        <v>0.0092</v>
      </c>
    </row>
    <row r="22" customFormat="false" ht="12.75" hidden="false" customHeight="false" outlineLevel="0" collapsed="false">
      <c r="A22" s="13"/>
      <c r="B22" s="6" t="n">
        <f aca="false">SUM(B19:B21)</f>
        <v>0.243969303569592</v>
      </c>
      <c r="C22" s="383"/>
      <c r="D22" s="378"/>
      <c r="E22" s="6" t="n">
        <f aca="false">SUM(E19:E21)</f>
        <v>0.17966600496278</v>
      </c>
      <c r="F22" s="383"/>
      <c r="G22" s="379"/>
      <c r="H22" s="20" t="n">
        <f aca="false">SUM(H19:H21)</f>
        <v>0.37236600496278</v>
      </c>
      <c r="I22" s="383"/>
      <c r="J22" s="466" t="s">
        <v>687</v>
      </c>
      <c r="K22" s="468" t="n">
        <f aca="false">+K3/(1-0.0268)-K3</f>
        <v>0.134385532264694</v>
      </c>
      <c r="M22" s="466" t="s">
        <v>685</v>
      </c>
      <c r="N22" s="468" t="n">
        <f aca="false">+N3/(1-0.0058)-N3</f>
        <v>0.0173264936632469</v>
      </c>
      <c r="P22" s="17" t="n">
        <v>0.0327</v>
      </c>
      <c r="Q22" s="16" t="n">
        <f aca="false">+Q$3/(1-P22)-Q$3</f>
        <v>0.173928977566422</v>
      </c>
    </row>
    <row r="23" customFormat="false" ht="12.75" hidden="false" customHeight="false" outlineLevel="0" collapsed="false">
      <c r="A23" s="387" t="s">
        <v>471</v>
      </c>
      <c r="B23" s="388" t="s">
        <v>518</v>
      </c>
      <c r="C23" s="383"/>
      <c r="D23" s="394" t="s">
        <v>473</v>
      </c>
      <c r="E23" s="395" t="s">
        <v>519</v>
      </c>
      <c r="F23" s="383"/>
      <c r="G23" s="374" t="s">
        <v>475</v>
      </c>
      <c r="H23" s="375" t="s">
        <v>519</v>
      </c>
      <c r="I23" s="383"/>
      <c r="J23" s="469"/>
      <c r="K23" s="470" t="n">
        <f aca="false">SUM(K20:K22)</f>
        <v>0.176085532264694</v>
      </c>
      <c r="M23" s="469"/>
      <c r="N23" s="470" t="n">
        <f aca="false">SUM(N20:N22)</f>
        <v>0.0267264936632469</v>
      </c>
      <c r="P23" s="385"/>
      <c r="Q23" s="20" t="n">
        <f aca="false">SUM(Q20:Q22)</f>
        <v>0.205128977566422</v>
      </c>
    </row>
    <row r="24" customFormat="false" ht="12.75" hidden="false" customHeight="false" outlineLevel="0" collapsed="false">
      <c r="A24" s="5" t="s">
        <v>6</v>
      </c>
      <c r="B24" s="10" t="n">
        <v>0.088</v>
      </c>
      <c r="C24" s="393"/>
      <c r="D24" s="378" t="s">
        <v>6</v>
      </c>
      <c r="E24" s="10" t="n">
        <v>0.014</v>
      </c>
      <c r="F24" s="393"/>
      <c r="G24" s="379" t="s">
        <v>6</v>
      </c>
      <c r="H24" s="14" t="n">
        <v>0.2297</v>
      </c>
      <c r="I24" s="393"/>
    </row>
    <row r="25" customFormat="false" ht="12.75" hidden="false" customHeight="false" outlineLevel="0" collapsed="false">
      <c r="A25" s="5" t="s">
        <v>7</v>
      </c>
      <c r="B25" s="10" t="n">
        <f aca="false">0.0022+0.007</f>
        <v>0.0092</v>
      </c>
      <c r="C25" s="393"/>
      <c r="D25" s="378" t="s">
        <v>7</v>
      </c>
      <c r="E25" s="10" t="n">
        <f aca="false">0.0022+0.007</f>
        <v>0.0092</v>
      </c>
      <c r="F25" s="393"/>
      <c r="G25" s="379" t="s">
        <v>7</v>
      </c>
      <c r="H25" s="14" t="n">
        <f aca="false">0.0022+0.007</f>
        <v>0.0092</v>
      </c>
      <c r="I25" s="393"/>
      <c r="J25" s="319" t="s">
        <v>688</v>
      </c>
      <c r="P25" s="8" t="s">
        <v>688</v>
      </c>
    </row>
    <row r="26" customFormat="false" ht="12.75" hidden="false" customHeight="false" outlineLevel="0" collapsed="false">
      <c r="A26" s="15" t="n">
        <v>0.0516</v>
      </c>
      <c r="B26" s="384" t="n">
        <f aca="false">(B$3)/(1-A26)-B$3</f>
        <v>0.275573597638127</v>
      </c>
      <c r="C26" s="381"/>
      <c r="D26" s="15" t="n">
        <v>0.046</v>
      </c>
      <c r="E26" s="382" t="n">
        <f aca="false">(E$5)/(1-D26)-E$5</f>
        <v>0.238679245283019</v>
      </c>
      <c r="F26" s="381"/>
      <c r="G26" s="17" t="n">
        <v>0.046</v>
      </c>
      <c r="H26" s="16" t="n">
        <f aca="false">(H$5)/(1-G26)-H$5</f>
        <v>0.238679245283019</v>
      </c>
      <c r="I26" s="381"/>
      <c r="J26" s="466" t="s">
        <v>6</v>
      </c>
      <c r="K26" s="467" t="n">
        <f aca="false">0.0275+0.002</f>
        <v>0.0295</v>
      </c>
      <c r="P26" s="11" t="s">
        <v>6</v>
      </c>
      <c r="Q26" s="14" t="n">
        <v>0.0202</v>
      </c>
    </row>
    <row r="27" customFormat="false" ht="12.75" hidden="false" customHeight="false" outlineLevel="0" collapsed="false">
      <c r="A27" s="13"/>
      <c r="B27" s="6" t="n">
        <f aca="false">SUM(B24:B26)</f>
        <v>0.372773597638127</v>
      </c>
      <c r="C27" s="383"/>
      <c r="D27" s="378"/>
      <c r="E27" s="6" t="n">
        <f aca="false">SUM(E24:E26)</f>
        <v>0.261879245283019</v>
      </c>
      <c r="F27" s="383"/>
      <c r="G27" s="379"/>
      <c r="H27" s="20" t="n">
        <f aca="false">SUM(H24:H26)</f>
        <v>0.477579245283019</v>
      </c>
      <c r="I27" s="383"/>
      <c r="J27" s="466" t="s">
        <v>7</v>
      </c>
      <c r="K27" s="467" t="n">
        <f aca="false">0.0072+0.0022</f>
        <v>0.0094</v>
      </c>
      <c r="P27" s="11" t="s">
        <v>7</v>
      </c>
      <c r="Q27" s="14" t="n">
        <f aca="false">0.007+0.0022</f>
        <v>0.0092</v>
      </c>
    </row>
    <row r="28" customFormat="false" ht="12.75" hidden="false" customHeight="false" outlineLevel="0" collapsed="false">
      <c r="A28" s="387" t="s">
        <v>471</v>
      </c>
      <c r="B28" s="396" t="s">
        <v>535</v>
      </c>
      <c r="C28" s="370"/>
      <c r="D28" s="373" t="s">
        <v>473</v>
      </c>
      <c r="E28" s="7" t="s">
        <v>536</v>
      </c>
      <c r="F28" s="370"/>
      <c r="G28" s="374" t="s">
        <v>475</v>
      </c>
      <c r="H28" s="375" t="s">
        <v>537</v>
      </c>
      <c r="I28" s="370"/>
      <c r="J28" s="466" t="s">
        <v>687</v>
      </c>
      <c r="K28" s="468" t="n">
        <f aca="false">+K3/(1-0.0268)-K3</f>
        <v>0.134385532264694</v>
      </c>
      <c r="P28" s="17" t="n">
        <v>0.0327</v>
      </c>
      <c r="Q28" s="16" t="n">
        <f aca="false">+Q$3/(1-P28)-Q$3</f>
        <v>0.173928977566422</v>
      </c>
    </row>
    <row r="29" customFormat="false" ht="12.75" hidden="false" customHeight="false" outlineLevel="0" collapsed="false">
      <c r="A29" s="13" t="s">
        <v>6</v>
      </c>
      <c r="B29" s="10" t="n">
        <v>0.0978</v>
      </c>
      <c r="C29" s="371"/>
      <c r="D29" s="378" t="s">
        <v>6</v>
      </c>
      <c r="E29" s="10" t="n">
        <v>0.0281</v>
      </c>
      <c r="F29" s="371"/>
      <c r="G29" s="379" t="s">
        <v>6</v>
      </c>
      <c r="H29" s="14" t="n">
        <v>0.5242</v>
      </c>
      <c r="I29" s="371"/>
      <c r="J29" s="469"/>
      <c r="K29" s="470" t="n">
        <f aca="false">SUM(K26:K28)</f>
        <v>0.173285532264694</v>
      </c>
      <c r="P29" s="385"/>
      <c r="Q29" s="20" t="n">
        <f aca="false">SUM(Q26:Q28)</f>
        <v>0.203328977566422</v>
      </c>
    </row>
    <row r="30" customFormat="false" ht="12.75" hidden="false" customHeight="false" outlineLevel="0" collapsed="false">
      <c r="A30" s="13" t="s">
        <v>7</v>
      </c>
      <c r="B30" s="10" t="n">
        <f aca="false">0.0022</f>
        <v>0.0022</v>
      </c>
      <c r="C30" s="371"/>
      <c r="D30" s="378" t="s">
        <v>7</v>
      </c>
      <c r="E30" s="10" t="n">
        <f aca="false">0.0022+0.007</f>
        <v>0.0092</v>
      </c>
      <c r="F30" s="371"/>
      <c r="G30" s="379" t="s">
        <v>7</v>
      </c>
      <c r="H30" s="14" t="n">
        <f aca="false">0.0022+0.007</f>
        <v>0.0092</v>
      </c>
      <c r="I30" s="371"/>
    </row>
    <row r="31" customFormat="false" ht="12.75" hidden="false" customHeight="false" outlineLevel="0" collapsed="false">
      <c r="A31" s="15" t="n">
        <v>0.0588</v>
      </c>
      <c r="B31" s="384" t="n">
        <f aca="false">(B$3)/(1-A31)-B$3</f>
        <v>0.316427964300893</v>
      </c>
      <c r="C31" s="381"/>
      <c r="D31" s="15" t="n">
        <v>0.0744</v>
      </c>
      <c r="E31" s="382" t="n">
        <f aca="false">(E$5)/(1-D31)-E$5</f>
        <v>0.397882454624027</v>
      </c>
      <c r="F31" s="381"/>
      <c r="G31" s="17" t="n">
        <v>0.0988</v>
      </c>
      <c r="H31" s="16" t="n">
        <f aca="false">(H$5)/(1-G31)-H$5</f>
        <v>0.542676431424767</v>
      </c>
      <c r="I31" s="381"/>
      <c r="J31" s="319" t="s">
        <v>689</v>
      </c>
      <c r="P31" s="8" t="s">
        <v>689</v>
      </c>
    </row>
    <row r="32" customFormat="false" ht="12.75" hidden="false" customHeight="false" outlineLevel="0" collapsed="false">
      <c r="A32" s="13"/>
      <c r="B32" s="6" t="n">
        <f aca="false">SUM(B29:B31)</f>
        <v>0.416427964300892</v>
      </c>
      <c r="C32" s="383"/>
      <c r="D32" s="378"/>
      <c r="E32" s="6" t="n">
        <f aca="false">SUM(E29:E31)</f>
        <v>0.435182454624027</v>
      </c>
      <c r="F32" s="383"/>
      <c r="G32" s="379"/>
      <c r="H32" s="20" t="n">
        <f aca="false">SUM(H29:H31)</f>
        <v>1.07607643142477</v>
      </c>
      <c r="I32" s="383"/>
      <c r="J32" s="466" t="s">
        <v>6</v>
      </c>
      <c r="K32" s="467" t="n">
        <f aca="false">0.0152+0.002</f>
        <v>0.0172</v>
      </c>
      <c r="P32" s="11" t="s">
        <v>6</v>
      </c>
      <c r="Q32" s="14" t="n">
        <v>0.0117</v>
      </c>
    </row>
    <row r="33" customFormat="false" ht="12.75" hidden="false" customHeight="false" outlineLevel="0" collapsed="false">
      <c r="A33" s="387" t="s">
        <v>471</v>
      </c>
      <c r="B33" s="396" t="s">
        <v>548</v>
      </c>
      <c r="C33" s="370"/>
      <c r="D33" s="373" t="s">
        <v>473</v>
      </c>
      <c r="E33" s="7" t="s">
        <v>537</v>
      </c>
      <c r="F33" s="370"/>
      <c r="G33" s="374" t="s">
        <v>475</v>
      </c>
      <c r="H33" s="375" t="s">
        <v>549</v>
      </c>
      <c r="I33" s="370"/>
      <c r="J33" s="466" t="s">
        <v>7</v>
      </c>
      <c r="K33" s="467" t="n">
        <f aca="false">0.002+0.0072+0.0022</f>
        <v>0.0114</v>
      </c>
      <c r="P33" s="11" t="s">
        <v>7</v>
      </c>
      <c r="Q33" s="14" t="n">
        <f aca="false">0.007+0.0022</f>
        <v>0.0092</v>
      </c>
    </row>
    <row r="34" customFormat="false" ht="12.75" hidden="false" customHeight="false" outlineLevel="0" collapsed="false">
      <c r="A34" s="13" t="s">
        <v>6</v>
      </c>
      <c r="B34" s="10" t="n">
        <v>0.1118</v>
      </c>
      <c r="C34" s="371"/>
      <c r="D34" s="378" t="s">
        <v>6</v>
      </c>
      <c r="E34" s="10" t="n">
        <v>0.0484</v>
      </c>
      <c r="F34" s="371"/>
      <c r="G34" s="379" t="s">
        <v>6</v>
      </c>
      <c r="H34" s="14" t="n">
        <v>0.6213</v>
      </c>
      <c r="I34" s="371"/>
      <c r="J34" s="466" t="s">
        <v>690</v>
      </c>
      <c r="K34" s="468" t="n">
        <f aca="false">+K3/(1-0.0169)-K3</f>
        <v>0.0838897365476559</v>
      </c>
      <c r="P34" s="17" t="n">
        <v>0.0203</v>
      </c>
      <c r="Q34" s="16" t="n">
        <f aca="false">+Q$3/(1-P34)-Q$3</f>
        <v>0.106607634990303</v>
      </c>
    </row>
    <row r="35" customFormat="false" ht="12.75" hidden="false" customHeight="false" outlineLevel="0" collapsed="false">
      <c r="A35" s="13" t="s">
        <v>7</v>
      </c>
      <c r="B35" s="10" t="n">
        <f aca="false">0.0022+0.007</f>
        <v>0.0092</v>
      </c>
      <c r="C35" s="371"/>
      <c r="D35" s="378" t="s">
        <v>7</v>
      </c>
      <c r="E35" s="10" t="n">
        <f aca="false">0.0022+0.007</f>
        <v>0.0092</v>
      </c>
      <c r="F35" s="371"/>
      <c r="G35" s="379" t="s">
        <v>7</v>
      </c>
      <c r="H35" s="14" t="n">
        <f aca="false">0.0022+0.007</f>
        <v>0.0092</v>
      </c>
      <c r="I35" s="371"/>
      <c r="J35" s="469"/>
      <c r="K35" s="470" t="n">
        <f aca="false">SUM(K32:K34)</f>
        <v>0.112489736547656</v>
      </c>
      <c r="P35" s="385"/>
      <c r="Q35" s="20" t="n">
        <f aca="false">SUM(Q32:Q34)</f>
        <v>0.127507634990303</v>
      </c>
    </row>
    <row r="36" customFormat="false" ht="12.75" hidden="false" customHeight="false" outlineLevel="0" collapsed="false">
      <c r="A36" s="15" t="n">
        <v>0.0679</v>
      </c>
      <c r="B36" s="384" t="n">
        <f aca="false">(B$3)/(1-A36)-B$3</f>
        <v>0.3689663126274</v>
      </c>
      <c r="C36" s="381"/>
      <c r="D36" s="15" t="n">
        <v>0.0988</v>
      </c>
      <c r="E36" s="382" t="n">
        <f aca="false">(E$5)/(1-D36)-E$5</f>
        <v>0.542676431424767</v>
      </c>
      <c r="F36" s="381"/>
      <c r="G36" s="17" t="n">
        <v>0.1148</v>
      </c>
      <c r="H36" s="16" t="n">
        <f aca="false">(H$5)/(1-G36)-H$5</f>
        <v>0.641956619972888</v>
      </c>
      <c r="I36" s="381"/>
    </row>
    <row r="37" customFormat="false" ht="12.75" hidden="false" customHeight="false" outlineLevel="0" collapsed="false">
      <c r="A37" s="13"/>
      <c r="B37" s="6" t="n">
        <f aca="false">SUM(B34:B36)</f>
        <v>0.4899663126274</v>
      </c>
      <c r="C37" s="383"/>
      <c r="D37" s="378"/>
      <c r="E37" s="6" t="n">
        <f aca="false">SUM(E34:E36)</f>
        <v>0.600276431424767</v>
      </c>
      <c r="F37" s="383"/>
      <c r="G37" s="379"/>
      <c r="H37" s="20" t="n">
        <f aca="false">SUM(H34:H36)</f>
        <v>1.27245661997289</v>
      </c>
      <c r="I37" s="383"/>
      <c r="J37" s="319" t="s">
        <v>691</v>
      </c>
      <c r="P37" s="8" t="s">
        <v>691</v>
      </c>
    </row>
    <row r="38" customFormat="false" ht="12.75" hidden="false" customHeight="false" outlineLevel="0" collapsed="false">
      <c r="A38" s="387" t="s">
        <v>471</v>
      </c>
      <c r="B38" s="396" t="s">
        <v>557</v>
      </c>
      <c r="C38" s="370"/>
      <c r="D38" s="373" t="s">
        <v>473</v>
      </c>
      <c r="E38" s="7" t="s">
        <v>549</v>
      </c>
      <c r="F38" s="370"/>
      <c r="G38" s="374" t="s">
        <v>475</v>
      </c>
      <c r="H38" s="375" t="s">
        <v>558</v>
      </c>
      <c r="I38" s="370"/>
      <c r="J38" s="466" t="s">
        <v>6</v>
      </c>
      <c r="K38" s="467" t="n">
        <f aca="false">0.0152+0.002</f>
        <v>0.0172</v>
      </c>
      <c r="P38" s="11" t="s">
        <v>6</v>
      </c>
      <c r="Q38" s="14" t="n">
        <v>0.0117</v>
      </c>
    </row>
    <row r="39" customFormat="false" ht="12.75" hidden="false" customHeight="false" outlineLevel="0" collapsed="false">
      <c r="A39" s="13" t="s">
        <v>6</v>
      </c>
      <c r="B39" s="10" t="n">
        <v>0.1231</v>
      </c>
      <c r="C39" s="371"/>
      <c r="D39" s="378" t="s">
        <v>6</v>
      </c>
      <c r="E39" s="10" t="n">
        <v>0.0623</v>
      </c>
      <c r="F39" s="371"/>
      <c r="G39" s="379" t="s">
        <v>6</v>
      </c>
      <c r="H39" s="14" t="n">
        <v>0.0658</v>
      </c>
      <c r="I39" s="371"/>
      <c r="J39" s="466" t="s">
        <v>7</v>
      </c>
      <c r="K39" s="467" t="n">
        <f aca="false">0.0072+0.0022</f>
        <v>0.0094</v>
      </c>
      <c r="P39" s="11" t="s">
        <v>7</v>
      </c>
      <c r="Q39" s="14" t="n">
        <f aca="false">0.007+0.0022</f>
        <v>0.0092</v>
      </c>
    </row>
    <row r="40" customFormat="false" ht="12.75" hidden="false" customHeight="false" outlineLevel="0" collapsed="false">
      <c r="A40" s="13" t="s">
        <v>7</v>
      </c>
      <c r="B40" s="10" t="n">
        <f aca="false">0.0022+0.007</f>
        <v>0.0092</v>
      </c>
      <c r="C40" s="371"/>
      <c r="D40" s="378" t="s">
        <v>7</v>
      </c>
      <c r="E40" s="10" t="n">
        <f aca="false">0.0022+0.007</f>
        <v>0.0092</v>
      </c>
      <c r="F40" s="371"/>
      <c r="G40" s="379" t="s">
        <v>7</v>
      </c>
      <c r="H40" s="14" t="n">
        <f aca="false">0.0022</f>
        <v>0.0022</v>
      </c>
      <c r="I40" s="371"/>
      <c r="J40" s="466" t="s">
        <v>692</v>
      </c>
      <c r="K40" s="468" t="n">
        <v>0</v>
      </c>
      <c r="P40" s="17" t="n">
        <v>0.0058</v>
      </c>
      <c r="Q40" s="16" t="n">
        <f aca="false">+Q$3/(1-P40)-Q$3</f>
        <v>0.030015087507544</v>
      </c>
    </row>
    <row r="41" customFormat="false" ht="12.75" hidden="false" customHeight="false" outlineLevel="0" collapsed="false">
      <c r="A41" s="15" t="n">
        <v>0.0788</v>
      </c>
      <c r="B41" s="384" t="n">
        <f aca="false">(B$3)/(1-A41)-B$3</f>
        <v>0.43326313504125</v>
      </c>
      <c r="C41" s="381"/>
      <c r="D41" s="15" t="n">
        <v>0.1148</v>
      </c>
      <c r="E41" s="382" t="n">
        <f aca="false">(E$5)/(1-D41)-E$5</f>
        <v>0.641956619972888</v>
      </c>
      <c r="F41" s="381"/>
      <c r="G41" s="17" t="n">
        <v>0.0212</v>
      </c>
      <c r="H41" s="16" t="n">
        <f aca="false">(H$4)/(1-G41)-H$4</f>
        <v>0.108945647731916</v>
      </c>
      <c r="I41" s="381"/>
      <c r="J41" s="469"/>
      <c r="K41" s="470" t="n">
        <f aca="false">SUM(K38:K40)</f>
        <v>0.0266</v>
      </c>
      <c r="P41" s="385"/>
      <c r="Q41" s="20" t="n">
        <f aca="false">SUM(Q38:Q40)</f>
        <v>0.050915087507544</v>
      </c>
    </row>
    <row r="42" customFormat="false" ht="12.75" hidden="false" customHeight="false" outlineLevel="0" collapsed="false">
      <c r="A42" s="13"/>
      <c r="B42" s="6" t="n">
        <f aca="false">SUM(B39:B41)</f>
        <v>0.56556313504125</v>
      </c>
      <c r="C42" s="383"/>
      <c r="D42" s="378"/>
      <c r="E42" s="6" t="n">
        <f aca="false">SUM(E39:E41)</f>
        <v>0.713456619972888</v>
      </c>
      <c r="F42" s="383"/>
      <c r="G42" s="379"/>
      <c r="H42" s="20" t="n">
        <f aca="false">SUM(H39:H41)</f>
        <v>0.176945647731916</v>
      </c>
      <c r="I42" s="383"/>
    </row>
    <row r="43" customFormat="false" ht="12.75" hidden="false" customHeight="false" outlineLevel="0" collapsed="false">
      <c r="A43" s="387" t="s">
        <v>471</v>
      </c>
      <c r="B43" s="396" t="s">
        <v>562</v>
      </c>
      <c r="C43" s="370"/>
      <c r="D43" s="373" t="s">
        <v>473</v>
      </c>
      <c r="E43" s="7" t="s">
        <v>558</v>
      </c>
      <c r="F43" s="370"/>
      <c r="G43" s="374" t="s">
        <v>475</v>
      </c>
      <c r="H43" s="375" t="s">
        <v>563</v>
      </c>
      <c r="I43" s="370"/>
    </row>
    <row r="44" customFormat="false" ht="12.75" hidden="false" customHeight="false" outlineLevel="0" collapsed="false">
      <c r="A44" s="13" t="s">
        <v>6</v>
      </c>
      <c r="B44" s="10" t="n">
        <v>0.1608</v>
      </c>
      <c r="C44" s="371"/>
      <c r="D44" s="378" t="s">
        <v>6</v>
      </c>
      <c r="E44" s="10" t="n">
        <v>0.0059</v>
      </c>
      <c r="F44" s="371"/>
      <c r="G44" s="379" t="s">
        <v>6</v>
      </c>
      <c r="H44" s="14" t="n">
        <v>0.2477</v>
      </c>
      <c r="I44" s="371"/>
    </row>
    <row r="45" customFormat="false" ht="12.75" hidden="false" customHeight="false" outlineLevel="0" collapsed="false">
      <c r="A45" s="13" t="s">
        <v>7</v>
      </c>
      <c r="B45" s="10" t="n">
        <f aca="false">0.0022+0.007</f>
        <v>0.0092</v>
      </c>
      <c r="C45" s="371"/>
      <c r="D45" s="378" t="s">
        <v>7</v>
      </c>
      <c r="E45" s="10" t="n">
        <f aca="false">0.0022</f>
        <v>0.0022</v>
      </c>
      <c r="F45" s="371"/>
      <c r="G45" s="379" t="s">
        <v>7</v>
      </c>
      <c r="H45" s="14" t="n">
        <f aca="false">0.0022+0.007</f>
        <v>0.0092</v>
      </c>
      <c r="I45" s="371"/>
    </row>
    <row r="46" customFormat="false" ht="12.75" hidden="false" customHeight="false" outlineLevel="0" collapsed="false">
      <c r="A46" s="15" t="n">
        <v>0.0871</v>
      </c>
      <c r="B46" s="384" t="n">
        <f aca="false">(B$3)/(1-A46)-B$3</f>
        <v>0.483252820681345</v>
      </c>
      <c r="C46" s="381"/>
      <c r="D46" s="15" t="n">
        <v>0.0212</v>
      </c>
      <c r="E46" s="382" t="n">
        <f aca="false">(E$4)/(1-D46)-E$4</f>
        <v>0.108945647731916</v>
      </c>
      <c r="F46" s="381"/>
      <c r="G46" s="17" t="n">
        <v>0.0631</v>
      </c>
      <c r="H46" s="16" t="n">
        <f aca="false">(H$4)/(1-G46)-H$4</f>
        <v>0.338769345714591</v>
      </c>
      <c r="I46" s="381"/>
    </row>
    <row r="47" customFormat="false" ht="12.75" hidden="false" customHeight="false" outlineLevel="0" collapsed="false">
      <c r="A47" s="13"/>
      <c r="B47" s="6" t="n">
        <f aca="false">SUM(B44:B46)</f>
        <v>0.653252820681345</v>
      </c>
      <c r="C47" s="383"/>
      <c r="D47" s="378"/>
      <c r="E47" s="6" t="n">
        <f aca="false">SUM(E44:E46)</f>
        <v>0.117045647731916</v>
      </c>
      <c r="F47" s="383"/>
      <c r="G47" s="379"/>
      <c r="H47" s="20" t="n">
        <f aca="false">SUM(H44:H46)</f>
        <v>0.595669345714591</v>
      </c>
      <c r="I47" s="383"/>
    </row>
    <row r="48" customFormat="false" ht="12.75" hidden="false" customHeight="false" outlineLevel="0" collapsed="false">
      <c r="A48" s="387" t="s">
        <v>471</v>
      </c>
      <c r="B48" s="388" t="s">
        <v>571</v>
      </c>
      <c r="C48" s="404"/>
      <c r="D48" s="373" t="s">
        <v>473</v>
      </c>
      <c r="E48" s="7" t="s">
        <v>572</v>
      </c>
      <c r="F48" s="404"/>
      <c r="G48" s="374" t="s">
        <v>475</v>
      </c>
      <c r="H48" s="375" t="s">
        <v>573</v>
      </c>
      <c r="I48" s="404"/>
    </row>
    <row r="49" customFormat="false" ht="12.75" hidden="false" customHeight="false" outlineLevel="0" collapsed="false">
      <c r="A49" s="5" t="s">
        <v>6</v>
      </c>
      <c r="B49" s="10" t="n">
        <v>0.0286</v>
      </c>
      <c r="C49" s="371"/>
      <c r="D49" s="378" t="s">
        <v>6</v>
      </c>
      <c r="E49" s="10" t="n">
        <v>0.0103</v>
      </c>
      <c r="F49" s="371"/>
      <c r="G49" s="379" t="s">
        <v>6</v>
      </c>
      <c r="H49" s="14" t="n">
        <v>0.3898</v>
      </c>
      <c r="I49" s="371"/>
    </row>
    <row r="50" customFormat="false" ht="12.75" hidden="false" customHeight="false" outlineLevel="0" collapsed="false">
      <c r="A50" s="5" t="s">
        <v>7</v>
      </c>
      <c r="B50" s="10" t="n">
        <f aca="false">0.0022+0.007+0.0225</f>
        <v>0.0317</v>
      </c>
      <c r="C50" s="371"/>
      <c r="D50" s="378" t="s">
        <v>7</v>
      </c>
      <c r="E50" s="10" t="n">
        <f aca="false">0.0022+0.007</f>
        <v>0.0092</v>
      </c>
      <c r="F50" s="371"/>
      <c r="G50" s="379" t="s">
        <v>7</v>
      </c>
      <c r="H50" s="14" t="n">
        <f aca="false">0.0022+0.007</f>
        <v>0.0092</v>
      </c>
      <c r="I50" s="371"/>
    </row>
    <row r="51" customFormat="false" ht="12.75" hidden="false" customHeight="false" outlineLevel="0" collapsed="false">
      <c r="A51" s="15" t="n">
        <v>0.0101</v>
      </c>
      <c r="B51" s="382" t="n">
        <f aca="false">(B$4)/(1-A51)-B$4</f>
        <v>0.052137589655521</v>
      </c>
      <c r="C51" s="381"/>
      <c r="D51" s="15" t="n">
        <v>0.0347</v>
      </c>
      <c r="E51" s="382" t="n">
        <f aca="false">(E$4)/(1-D51)-E$4</f>
        <v>0.180815290583238</v>
      </c>
      <c r="F51" s="381"/>
      <c r="G51" s="17" t="n">
        <v>0.0875</v>
      </c>
      <c r="H51" s="16" t="n">
        <f aca="false">(H$4)/(1-G51)-H$4</f>
        <v>0.482328767123287</v>
      </c>
      <c r="I51" s="381"/>
    </row>
    <row r="52" customFormat="false" ht="12.75" hidden="false" customHeight="false" outlineLevel="0" collapsed="false">
      <c r="A52" s="13"/>
      <c r="B52" s="6" t="n">
        <f aca="false">SUM(B49:B51)</f>
        <v>0.112437589655521</v>
      </c>
      <c r="C52" s="383"/>
      <c r="D52" s="378"/>
      <c r="E52" s="6" t="n">
        <f aca="false">SUM(E49:E51)</f>
        <v>0.200315290583238</v>
      </c>
      <c r="F52" s="383"/>
      <c r="G52" s="379"/>
      <c r="H52" s="20" t="n">
        <f aca="false">SUM(H49:H51)</f>
        <v>0.881328767123287</v>
      </c>
      <c r="I52" s="383"/>
    </row>
    <row r="53" customFormat="false" ht="12.75" hidden="false" customHeight="false" outlineLevel="0" collapsed="false">
      <c r="A53" s="387" t="s">
        <v>471</v>
      </c>
      <c r="B53" s="388" t="s">
        <v>578</v>
      </c>
      <c r="C53" s="404"/>
      <c r="D53" s="373" t="s">
        <v>473</v>
      </c>
      <c r="E53" s="7" t="s">
        <v>563</v>
      </c>
      <c r="F53" s="404"/>
      <c r="G53" s="374" t="s">
        <v>475</v>
      </c>
      <c r="H53" s="375" t="s">
        <v>579</v>
      </c>
      <c r="I53" s="404"/>
    </row>
    <row r="54" customFormat="false" ht="12.75" hidden="false" customHeight="false" outlineLevel="0" collapsed="false">
      <c r="A54" s="5" t="s">
        <v>6</v>
      </c>
      <c r="B54" s="10" t="n">
        <v>0.0572</v>
      </c>
      <c r="C54" s="371"/>
      <c r="D54" s="378" t="s">
        <v>6</v>
      </c>
      <c r="E54" s="10" t="n">
        <v>0.0244</v>
      </c>
      <c r="F54" s="371"/>
      <c r="G54" s="379" t="s">
        <v>6</v>
      </c>
      <c r="H54" s="14" t="n">
        <v>0.4869</v>
      </c>
      <c r="I54" s="371"/>
    </row>
    <row r="55" customFormat="false" ht="12.75" hidden="false" customHeight="false" outlineLevel="0" collapsed="false">
      <c r="A55" s="5" t="s">
        <v>7</v>
      </c>
      <c r="B55" s="10" t="n">
        <f aca="false">0.0022+0.007+0.0225</f>
        <v>0.0317</v>
      </c>
      <c r="C55" s="371"/>
      <c r="D55" s="378" t="s">
        <v>7</v>
      </c>
      <c r="E55" s="10" t="n">
        <f aca="false">0.0022+0.007</f>
        <v>0.0092</v>
      </c>
      <c r="F55" s="371"/>
      <c r="G55" s="379" t="s">
        <v>7</v>
      </c>
      <c r="H55" s="14" t="n">
        <f aca="false">0.0022+0.007</f>
        <v>0.0092</v>
      </c>
      <c r="I55" s="371"/>
    </row>
    <row r="56" customFormat="false" ht="12.75" hidden="false" customHeight="false" outlineLevel="0" collapsed="false">
      <c r="A56" s="15" t="n">
        <v>0.0191</v>
      </c>
      <c r="B56" s="382" t="n">
        <f aca="false">(B$4)/(1-A56)-B$4</f>
        <v>0.0995014782342745</v>
      </c>
      <c r="C56" s="381"/>
      <c r="D56" s="15" t="n">
        <v>0.0631</v>
      </c>
      <c r="E56" s="382" t="n">
        <f aca="false">(E$4)/(1-D56)-E$4</f>
        <v>0.338769345714591</v>
      </c>
      <c r="F56" s="381"/>
      <c r="G56" s="17" t="n">
        <v>0.1035</v>
      </c>
      <c r="H56" s="16" t="n">
        <f aca="false">(H$4)/(1-G56)-H$4</f>
        <v>0.580708310094813</v>
      </c>
      <c r="I56" s="381"/>
    </row>
    <row r="57" customFormat="false" ht="12.75" hidden="false" customHeight="false" outlineLevel="0" collapsed="false">
      <c r="A57" s="13"/>
      <c r="B57" s="6" t="n">
        <f aca="false">SUM(B54:B56)</f>
        <v>0.188401478234274</v>
      </c>
      <c r="C57" s="383"/>
      <c r="D57" s="378"/>
      <c r="E57" s="6" t="n">
        <f aca="false">SUM(E54:E56)</f>
        <v>0.372369345714591</v>
      </c>
      <c r="F57" s="383"/>
      <c r="G57" s="379"/>
      <c r="H57" s="20" t="n">
        <f aca="false">SUM(H54:H56)</f>
        <v>1.07680831009481</v>
      </c>
      <c r="I57" s="383"/>
    </row>
    <row r="58" customFormat="false" ht="12.75" hidden="false" customHeight="false" outlineLevel="0" collapsed="false">
      <c r="A58" s="387" t="s">
        <v>471</v>
      </c>
      <c r="B58" s="388" t="s">
        <v>582</v>
      </c>
      <c r="C58" s="370"/>
      <c r="D58" s="373" t="s">
        <v>473</v>
      </c>
      <c r="E58" s="7" t="s">
        <v>573</v>
      </c>
      <c r="F58" s="370"/>
      <c r="G58" s="374" t="s">
        <v>475</v>
      </c>
      <c r="H58" s="375" t="s">
        <v>583</v>
      </c>
      <c r="I58" s="370"/>
    </row>
    <row r="59" customFormat="false" ht="12.75" hidden="false" customHeight="false" outlineLevel="0" collapsed="false">
      <c r="A59" s="5" t="s">
        <v>6</v>
      </c>
      <c r="B59" s="10" t="n">
        <v>0.0776</v>
      </c>
      <c r="C59" s="371"/>
      <c r="D59" s="378" t="s">
        <v>6</v>
      </c>
      <c r="E59" s="10" t="n">
        <v>0.0447</v>
      </c>
      <c r="F59" s="371"/>
      <c r="G59" s="379" t="s">
        <v>6</v>
      </c>
      <c r="H59" s="14" t="n">
        <v>0.0953</v>
      </c>
      <c r="I59" s="371"/>
    </row>
    <row r="60" customFormat="false" ht="12.75" hidden="false" customHeight="false" outlineLevel="0" collapsed="false">
      <c r="A60" s="5" t="s">
        <v>7</v>
      </c>
      <c r="B60" s="10" t="n">
        <f aca="false">0.0022+0.007</f>
        <v>0.0092</v>
      </c>
      <c r="C60" s="371"/>
      <c r="D60" s="378" t="s">
        <v>7</v>
      </c>
      <c r="E60" s="10" t="n">
        <f aca="false">0.0022+0.007</f>
        <v>0.0092</v>
      </c>
      <c r="F60" s="371"/>
      <c r="G60" s="379" t="s">
        <v>7</v>
      </c>
      <c r="H60" s="14" t="n">
        <f aca="false">0.0022+0.007</f>
        <v>0.0092</v>
      </c>
      <c r="I60" s="371"/>
    </row>
    <row r="61" customFormat="false" ht="12.75" hidden="false" customHeight="false" outlineLevel="0" collapsed="false">
      <c r="A61" s="15" t="n">
        <v>0.0428</v>
      </c>
      <c r="B61" s="382" t="n">
        <f aca="false">(B$4)/(1-A61)-B$4</f>
        <v>0.228487254492268</v>
      </c>
      <c r="C61" s="381"/>
      <c r="D61" s="15" t="n">
        <v>0.0875</v>
      </c>
      <c r="E61" s="382" t="n">
        <f aca="false">(E$4)/(1-D61)-E$4</f>
        <v>0.482328767123287</v>
      </c>
      <c r="F61" s="381"/>
      <c r="G61" s="17" t="n">
        <v>0.0298</v>
      </c>
      <c r="H61" s="16" t="n">
        <f aca="false">(H$3)/(1-G61)-H$3</f>
        <v>0.154190888476603</v>
      </c>
      <c r="I61" s="381"/>
    </row>
    <row r="62" customFormat="false" ht="12.75" hidden="false" customHeight="false" outlineLevel="0" collapsed="false">
      <c r="A62" s="13"/>
      <c r="B62" s="6" t="n">
        <f aca="false">SUM(B59:B61)</f>
        <v>0.315287254492268</v>
      </c>
      <c r="C62" s="383"/>
      <c r="D62" s="378"/>
      <c r="E62" s="6" t="n">
        <f aca="false">SUM(E59:E61)</f>
        <v>0.536228767123287</v>
      </c>
      <c r="F62" s="383"/>
      <c r="G62" s="379"/>
      <c r="H62" s="20" t="n">
        <f aca="false">SUM(H59:H61)</f>
        <v>0.258690888476603</v>
      </c>
      <c r="I62" s="383"/>
    </row>
    <row r="63" customFormat="false" ht="12.75" hidden="false" customHeight="false" outlineLevel="0" collapsed="false">
      <c r="A63" s="387" t="s">
        <v>471</v>
      </c>
      <c r="B63" s="388" t="s">
        <v>585</v>
      </c>
      <c r="C63" s="370"/>
      <c r="D63" s="373" t="s">
        <v>473</v>
      </c>
      <c r="E63" s="7" t="s">
        <v>579</v>
      </c>
      <c r="F63" s="370"/>
      <c r="G63" s="374" t="s">
        <v>475</v>
      </c>
      <c r="H63" s="375" t="s">
        <v>586</v>
      </c>
      <c r="I63" s="370"/>
    </row>
    <row r="64" customFormat="false" ht="12.75" hidden="false" customHeight="false" outlineLevel="0" collapsed="false">
      <c r="A64" s="5" t="s">
        <v>6</v>
      </c>
      <c r="B64" s="10" t="n">
        <v>0.0874</v>
      </c>
      <c r="C64" s="371"/>
      <c r="D64" s="378" t="s">
        <v>6</v>
      </c>
      <c r="E64" s="10" t="n">
        <v>0.0586</v>
      </c>
      <c r="F64" s="371"/>
      <c r="G64" s="379" t="s">
        <v>6</v>
      </c>
      <c r="H64" s="14" t="n">
        <v>0.0791</v>
      </c>
      <c r="I64" s="371"/>
    </row>
    <row r="65" customFormat="false" ht="12.75" hidden="false" customHeight="false" outlineLevel="0" collapsed="false">
      <c r="A65" s="5" t="s">
        <v>7</v>
      </c>
      <c r="B65" s="10" t="n">
        <f aca="false">0.0022</f>
        <v>0.0022</v>
      </c>
      <c r="C65" s="371"/>
      <c r="D65" s="378" t="s">
        <v>7</v>
      </c>
      <c r="E65" s="10" t="n">
        <f aca="false">0.0022+0.007</f>
        <v>0.0092</v>
      </c>
      <c r="F65" s="371"/>
      <c r="G65" s="379" t="s">
        <v>7</v>
      </c>
      <c r="H65" s="14" t="n">
        <f aca="false">0.0022+0.007</f>
        <v>0.0092</v>
      </c>
      <c r="I65" s="371"/>
    </row>
    <row r="66" customFormat="false" ht="12.75" hidden="false" customHeight="false" outlineLevel="0" collapsed="false">
      <c r="A66" s="15" t="n">
        <v>0.0499</v>
      </c>
      <c r="B66" s="382" t="n">
        <f aca="false">(B$4)/(1-A66)-B$4</f>
        <v>0.268381223029155</v>
      </c>
      <c r="C66" s="381"/>
      <c r="D66" s="15" t="n">
        <v>0.1035</v>
      </c>
      <c r="E66" s="382" t="n">
        <f aca="false">(E$4)/(1-D66)-E$4</f>
        <v>0.580708310094813</v>
      </c>
      <c r="F66" s="381"/>
      <c r="G66" s="17" t="n">
        <v>0.0298</v>
      </c>
      <c r="H66" s="16" t="n">
        <f aca="false">(H$3)/(1-G66)-H$3</f>
        <v>0.154190888476603</v>
      </c>
      <c r="I66" s="381"/>
    </row>
    <row r="67" customFormat="false" ht="12.75" hidden="false" customHeight="false" outlineLevel="0" collapsed="false">
      <c r="A67" s="13"/>
      <c r="B67" s="6" t="n">
        <f aca="false">SUM(B64:B66)</f>
        <v>0.357981223029155</v>
      </c>
      <c r="C67" s="383"/>
      <c r="D67" s="378"/>
      <c r="E67" s="6" t="n">
        <f aca="false">SUM(E64:E66)</f>
        <v>0.648508310094813</v>
      </c>
      <c r="F67" s="383"/>
      <c r="G67" s="379"/>
      <c r="H67" s="20" t="n">
        <f aca="false">SUM(H64:H66)</f>
        <v>0.242490888476603</v>
      </c>
      <c r="I67" s="383"/>
    </row>
    <row r="68" customFormat="false" ht="12.75" hidden="false" customHeight="false" outlineLevel="0" collapsed="false">
      <c r="A68" s="387" t="s">
        <v>471</v>
      </c>
      <c r="B68" s="388" t="s">
        <v>589</v>
      </c>
      <c r="C68" s="363"/>
      <c r="D68" s="373" t="s">
        <v>473</v>
      </c>
      <c r="E68" s="7" t="s">
        <v>590</v>
      </c>
      <c r="F68" s="363"/>
      <c r="G68" s="374" t="s">
        <v>475</v>
      </c>
      <c r="H68" s="375" t="s">
        <v>591</v>
      </c>
      <c r="I68" s="363"/>
    </row>
    <row r="69" customFormat="false" ht="12.75" hidden="false" customHeight="false" outlineLevel="0" collapsed="false">
      <c r="A69" s="5" t="s">
        <v>6</v>
      </c>
      <c r="B69" s="10" t="n">
        <v>0.1014</v>
      </c>
      <c r="C69" s="371"/>
      <c r="D69" s="378" t="s">
        <v>6</v>
      </c>
      <c r="E69" s="10" t="n">
        <v>0.014</v>
      </c>
      <c r="F69" s="371"/>
      <c r="G69" s="379" t="s">
        <v>6</v>
      </c>
      <c r="H69" s="14" t="n">
        <v>0.2315</v>
      </c>
      <c r="I69" s="371"/>
    </row>
    <row r="70" customFormat="false" ht="12.75" hidden="false" customHeight="false" outlineLevel="0" collapsed="false">
      <c r="A70" s="5" t="s">
        <v>7</v>
      </c>
      <c r="B70" s="10" t="n">
        <f aca="false">0.0022+0.007</f>
        <v>0.0092</v>
      </c>
      <c r="C70" s="371"/>
      <c r="D70" s="378" t="s">
        <v>7</v>
      </c>
      <c r="E70" s="10" t="n">
        <f aca="false">0.0022+0.007</f>
        <v>0.0092</v>
      </c>
      <c r="F70" s="371"/>
      <c r="G70" s="379" t="s">
        <v>7</v>
      </c>
      <c r="H70" s="14" t="n">
        <f aca="false">0.0022+0.007</f>
        <v>0.0092</v>
      </c>
      <c r="I70" s="371"/>
    </row>
    <row r="71" customFormat="false" ht="12.75" hidden="false" customHeight="false" outlineLevel="0" collapsed="false">
      <c r="A71" s="15" t="n">
        <v>0.059</v>
      </c>
      <c r="B71" s="382" t="n">
        <f aca="false">(B$4)/(1-A71)-B$4</f>
        <v>0.32039319872476</v>
      </c>
      <c r="C71" s="381"/>
      <c r="D71" s="15" t="n">
        <v>0.0303</v>
      </c>
      <c r="E71" s="382" t="n">
        <f aca="false">(E$3)/(1-D71)-E$3</f>
        <v>0.15685882231618</v>
      </c>
      <c r="F71" s="381"/>
      <c r="G71" s="17" t="n">
        <v>0.0582</v>
      </c>
      <c r="H71" s="16" t="n">
        <f aca="false">(H$3)/(1-G71)-H$3</f>
        <v>0.310218730091314</v>
      </c>
      <c r="I71" s="381"/>
    </row>
    <row r="72" customFormat="false" ht="12.75" hidden="false" customHeight="false" outlineLevel="0" collapsed="false">
      <c r="A72" s="13"/>
      <c r="B72" s="6" t="n">
        <f aca="false">SUM(B69:B71)</f>
        <v>0.43099319872476</v>
      </c>
      <c r="C72" s="383"/>
      <c r="D72" s="378"/>
      <c r="E72" s="6" t="n">
        <f aca="false">SUM(E69:E71)</f>
        <v>0.18005882231618</v>
      </c>
      <c r="F72" s="383"/>
      <c r="G72" s="379"/>
      <c r="H72" s="20" t="n">
        <f aca="false">SUM(H69:H71)</f>
        <v>0.550918730091314</v>
      </c>
      <c r="I72" s="383"/>
    </row>
    <row r="73" customFormat="false" ht="12.75" hidden="false" customHeight="false" outlineLevel="0" collapsed="false">
      <c r="A73" s="387" t="s">
        <v>471</v>
      </c>
      <c r="B73" s="388" t="s">
        <v>595</v>
      </c>
      <c r="C73" s="363"/>
      <c r="D73" s="373" t="s">
        <v>473</v>
      </c>
      <c r="E73" s="7" t="s">
        <v>583</v>
      </c>
      <c r="F73" s="363"/>
      <c r="G73" s="374" t="s">
        <v>475</v>
      </c>
      <c r="H73" s="375" t="s">
        <v>596</v>
      </c>
      <c r="I73" s="363"/>
    </row>
    <row r="74" customFormat="false" ht="12.75" hidden="false" customHeight="false" outlineLevel="0" collapsed="false">
      <c r="A74" s="5" t="s">
        <v>6</v>
      </c>
      <c r="B74" s="10" t="n">
        <v>0.1126</v>
      </c>
      <c r="C74" s="371"/>
      <c r="D74" s="378" t="s">
        <v>6</v>
      </c>
      <c r="E74" s="10" t="n">
        <v>0.0103</v>
      </c>
      <c r="F74" s="371"/>
      <c r="G74" s="379" t="s">
        <v>6</v>
      </c>
      <c r="H74" s="14" t="n">
        <v>0.3736</v>
      </c>
      <c r="I74" s="371"/>
    </row>
    <row r="75" customFormat="false" ht="12.75" hidden="false" customHeight="false" outlineLevel="0" collapsed="false">
      <c r="A75" s="5" t="s">
        <v>7</v>
      </c>
      <c r="B75" s="10" t="n">
        <f aca="false">0.0022+0.007</f>
        <v>0.0092</v>
      </c>
      <c r="C75" s="371"/>
      <c r="D75" s="378" t="s">
        <v>7</v>
      </c>
      <c r="E75" s="10" t="n">
        <f aca="false">0.0022</f>
        <v>0.0022</v>
      </c>
      <c r="F75" s="371"/>
      <c r="G75" s="379" t="s">
        <v>7</v>
      </c>
      <c r="H75" s="14" t="n">
        <f aca="false">0.0022+0.007</f>
        <v>0.0092</v>
      </c>
      <c r="I75" s="371"/>
    </row>
    <row r="76" customFormat="false" ht="12.75" hidden="false" customHeight="false" outlineLevel="0" collapsed="false">
      <c r="A76" s="15" t="n">
        <v>0.0699</v>
      </c>
      <c r="B76" s="382" t="n">
        <f aca="false">(B$4)/(1-A76)-B$4</f>
        <v>0.384032899688205</v>
      </c>
      <c r="C76" s="381"/>
      <c r="D76" s="15" t="n">
        <v>0.0298</v>
      </c>
      <c r="E76" s="382" t="n">
        <f aca="false">(E$3)/(1-D76)-E$3</f>
        <v>0.154190888476603</v>
      </c>
      <c r="F76" s="381"/>
      <c r="G76" s="17" t="n">
        <v>0.0826</v>
      </c>
      <c r="H76" s="16" t="n">
        <f aca="false">(H$3)/(1-G76)-H$3</f>
        <v>0.451986047525616</v>
      </c>
      <c r="I76" s="381"/>
    </row>
    <row r="77" customFormat="false" ht="12.75" hidden="false" customHeight="false" outlineLevel="0" collapsed="false">
      <c r="A77" s="13"/>
      <c r="B77" s="6" t="n">
        <f aca="false">SUM(B74:B76)</f>
        <v>0.505832899688205</v>
      </c>
      <c r="C77" s="383"/>
      <c r="D77" s="378"/>
      <c r="E77" s="6" t="n">
        <f aca="false">SUM(E74:E76)</f>
        <v>0.166690888476603</v>
      </c>
      <c r="F77" s="383"/>
      <c r="G77" s="379"/>
      <c r="H77" s="20" t="n">
        <f aca="false">SUM(H74:H76)</f>
        <v>0.834786047525616</v>
      </c>
      <c r="I77" s="383"/>
    </row>
    <row r="78" customFormat="false" ht="12.75" hidden="false" customHeight="false" outlineLevel="0" collapsed="false">
      <c r="A78" s="387" t="s">
        <v>471</v>
      </c>
      <c r="B78" s="388" t="s">
        <v>599</v>
      </c>
      <c r="C78" s="363"/>
      <c r="D78" s="373" t="s">
        <v>473</v>
      </c>
      <c r="E78" s="7" t="s">
        <v>600</v>
      </c>
      <c r="F78" s="363"/>
      <c r="G78" s="374" t="s">
        <v>475</v>
      </c>
      <c r="H78" s="375" t="s">
        <v>601</v>
      </c>
      <c r="I78" s="363"/>
    </row>
    <row r="79" customFormat="false" ht="12.75" hidden="false" customHeight="false" outlineLevel="0" collapsed="false">
      <c r="A79" s="5" t="s">
        <v>6</v>
      </c>
      <c r="B79" s="10" t="n">
        <v>0.1503</v>
      </c>
      <c r="C79" s="371"/>
      <c r="D79" s="378" t="s">
        <v>6</v>
      </c>
      <c r="E79" s="10" t="n">
        <v>0.0087</v>
      </c>
      <c r="F79" s="371"/>
      <c r="G79" s="379" t="s">
        <v>6</v>
      </c>
      <c r="H79" s="14" t="n">
        <v>0.4707</v>
      </c>
      <c r="I79" s="371"/>
    </row>
    <row r="80" customFormat="false" ht="12.75" hidden="false" customHeight="false" outlineLevel="0" collapsed="false">
      <c r="A80" s="5" t="s">
        <v>7</v>
      </c>
      <c r="B80" s="10" t="n">
        <f aca="false">0.0022+0.007</f>
        <v>0.0092</v>
      </c>
      <c r="C80" s="371"/>
      <c r="D80" s="378" t="s">
        <v>7</v>
      </c>
      <c r="E80" s="10" t="n">
        <f aca="false">0.0022+0.007</f>
        <v>0.0092</v>
      </c>
      <c r="F80" s="371"/>
      <c r="G80" s="379" t="s">
        <v>7</v>
      </c>
      <c r="H80" s="14" t="n">
        <f aca="false">0.0022+0.007</f>
        <v>0.0092</v>
      </c>
      <c r="I80" s="371"/>
    </row>
    <row r="81" customFormat="false" ht="12.75" hidden="false" customHeight="false" outlineLevel="0" collapsed="false">
      <c r="A81" s="15" t="n">
        <v>0.0782</v>
      </c>
      <c r="B81" s="382" t="n">
        <f aca="false">(B$4)/(1-A81)-B$4</f>
        <v>0.433501844217835</v>
      </c>
      <c r="C81" s="381"/>
      <c r="D81" s="15" t="n">
        <v>0.0298</v>
      </c>
      <c r="E81" s="382" t="n">
        <f aca="false">(E$3)/(1-D81)-E$3</f>
        <v>0.154190888476603</v>
      </c>
      <c r="F81" s="381"/>
      <c r="G81" s="17" t="n">
        <v>0.0986</v>
      </c>
      <c r="H81" s="16" t="n">
        <f aca="false">(H$3)/(1-G81)-H$3</f>
        <v>0.549114710450411</v>
      </c>
      <c r="I81" s="381"/>
    </row>
    <row r="82" customFormat="false" ht="12.75" hidden="false" customHeight="false" outlineLevel="0" collapsed="false">
      <c r="A82" s="13"/>
      <c r="B82" s="6" t="n">
        <f aca="false">SUM(B79:B81)</f>
        <v>0.593001844217835</v>
      </c>
      <c r="C82" s="383"/>
      <c r="D82" s="378"/>
      <c r="E82" s="6" t="n">
        <f aca="false">SUM(E79:E81)</f>
        <v>0.172090888476603</v>
      </c>
      <c r="F82" s="383"/>
      <c r="G82" s="379"/>
      <c r="H82" s="20" t="n">
        <f aca="false">SUM(H79:H81)</f>
        <v>1.02901471045041</v>
      </c>
      <c r="I82" s="383"/>
    </row>
    <row r="83" customFormat="false" ht="12.75" hidden="false" customHeight="false" outlineLevel="0" collapsed="false">
      <c r="A83" s="387" t="s">
        <v>471</v>
      </c>
      <c r="B83" s="388" t="s">
        <v>604</v>
      </c>
      <c r="C83" s="363"/>
      <c r="D83" s="373" t="s">
        <v>473</v>
      </c>
      <c r="E83" s="7" t="s">
        <v>605</v>
      </c>
      <c r="F83" s="363"/>
      <c r="G83" s="374" t="s">
        <v>475</v>
      </c>
      <c r="H83" s="375" t="s">
        <v>606</v>
      </c>
      <c r="I83" s="363"/>
    </row>
    <row r="84" customFormat="false" ht="12.75" hidden="false" customHeight="false" outlineLevel="0" collapsed="false">
      <c r="A84" s="5" t="s">
        <v>6</v>
      </c>
      <c r="B84" s="10" t="n">
        <v>0.0783</v>
      </c>
      <c r="C84" s="371"/>
      <c r="D84" s="378" t="s">
        <v>6</v>
      </c>
      <c r="E84" s="10" t="n">
        <v>0.0087</v>
      </c>
      <c r="F84" s="371"/>
      <c r="G84" s="379" t="s">
        <v>6</v>
      </c>
      <c r="H84" s="14" t="n">
        <v>0.2945</v>
      </c>
      <c r="I84" s="371"/>
    </row>
    <row r="85" customFormat="false" ht="12.75" hidden="false" customHeight="false" outlineLevel="0" collapsed="false">
      <c r="A85" s="5" t="s">
        <v>7</v>
      </c>
      <c r="B85" s="10" t="n">
        <f aca="false">0.0022+0.007</f>
        <v>0.0092</v>
      </c>
      <c r="C85" s="371"/>
      <c r="D85" s="378" t="s">
        <v>7</v>
      </c>
      <c r="E85" s="10" t="n">
        <f aca="false">0.0022+0.007</f>
        <v>0.0092</v>
      </c>
      <c r="F85" s="371"/>
      <c r="G85" s="379" t="s">
        <v>7</v>
      </c>
      <c r="H85" s="14" t="n">
        <f aca="false">0.0022+0.007</f>
        <v>0.0092</v>
      </c>
      <c r="I85" s="371"/>
    </row>
    <row r="86" customFormat="false" ht="12.75" hidden="false" customHeight="false" outlineLevel="0" collapsed="false">
      <c r="A86" s="15" t="n">
        <v>0.0415</v>
      </c>
      <c r="B86" s="406" t="n">
        <f aca="false">(B4)/(1-A86)-B4</f>
        <v>0.221246739697444</v>
      </c>
      <c r="C86" s="381"/>
      <c r="D86" s="15" t="n">
        <v>0.0298</v>
      </c>
      <c r="E86" s="382" t="n">
        <f aca="false">(E$3)/(1-D86)-E$3</f>
        <v>0.154190888476603</v>
      </c>
      <c r="F86" s="381"/>
      <c r="G86" s="17" t="n">
        <v>0.0528</v>
      </c>
      <c r="H86" s="16" t="n">
        <f aca="false">(H$6)/(1-G86)-(H$6)</f>
        <v>0.284290540540541</v>
      </c>
      <c r="I86" s="381"/>
    </row>
    <row r="87" customFormat="false" ht="12.75" hidden="false" customHeight="false" outlineLevel="0" collapsed="false">
      <c r="A87" s="13"/>
      <c r="B87" s="6" t="n">
        <f aca="false">SUM(B84:B86)</f>
        <v>0.308746739697444</v>
      </c>
      <c r="C87" s="383"/>
      <c r="D87" s="378"/>
      <c r="E87" s="6" t="n">
        <f aca="false">SUM(E84:E86)</f>
        <v>0.172090888476603</v>
      </c>
      <c r="F87" s="383"/>
      <c r="G87" s="379"/>
      <c r="H87" s="20" t="n">
        <f aca="false">SUM(H84:H86)</f>
        <v>0.587990540540541</v>
      </c>
      <c r="I87" s="383"/>
    </row>
    <row r="88" customFormat="false" ht="12.75" hidden="false" customHeight="false" outlineLevel="0" collapsed="false">
      <c r="A88" s="387" t="s">
        <v>471</v>
      </c>
      <c r="B88" s="388" t="s">
        <v>609</v>
      </c>
      <c r="C88" s="363"/>
      <c r="D88" s="373" t="s">
        <v>473</v>
      </c>
      <c r="E88" s="7" t="s">
        <v>586</v>
      </c>
      <c r="F88" s="363"/>
      <c r="G88" s="374" t="s">
        <v>475</v>
      </c>
      <c r="H88" s="375" t="s">
        <v>610</v>
      </c>
      <c r="I88" s="363"/>
    </row>
    <row r="89" customFormat="false" ht="12.75" hidden="false" customHeight="false" outlineLevel="0" collapsed="false">
      <c r="A89" s="5" t="s">
        <v>6</v>
      </c>
      <c r="B89" s="10" t="n">
        <f aca="false">0.0511-0.0022-0.0088</f>
        <v>0.0401</v>
      </c>
      <c r="C89" s="371"/>
      <c r="D89" s="378" t="s">
        <v>6</v>
      </c>
      <c r="E89" s="10" t="n">
        <v>0.0087</v>
      </c>
      <c r="F89" s="371"/>
      <c r="G89" s="379" t="s">
        <v>6</v>
      </c>
      <c r="H89" s="14" t="n">
        <v>0.3916</v>
      </c>
      <c r="I89" s="371"/>
    </row>
    <row r="90" customFormat="false" ht="12.75" hidden="false" customHeight="false" outlineLevel="0" collapsed="false">
      <c r="A90" s="5" t="s">
        <v>7</v>
      </c>
      <c r="B90" s="10" t="n">
        <f aca="false">0.0022+0.007</f>
        <v>0.0092</v>
      </c>
      <c r="C90" s="371"/>
      <c r="D90" s="378" t="s">
        <v>7</v>
      </c>
      <c r="E90" s="10" t="n">
        <f aca="false">0.0022+0.007</f>
        <v>0.0092</v>
      </c>
      <c r="F90" s="371"/>
      <c r="G90" s="379" t="s">
        <v>7</v>
      </c>
      <c r="H90" s="14" t="n">
        <f aca="false">0.0022+0.007</f>
        <v>0.0092</v>
      </c>
      <c r="I90" s="371"/>
    </row>
    <row r="91" customFormat="false" ht="12.75" hidden="false" customHeight="false" outlineLevel="0" collapsed="false">
      <c r="A91" s="15" t="n">
        <v>0.0109</v>
      </c>
      <c r="B91" s="406" t="n">
        <f aca="false">(B5)/(1-A91)-B5</f>
        <v>0.0616024668890915</v>
      </c>
      <c r="C91" s="381"/>
      <c r="D91" s="15" t="n">
        <v>0.0298</v>
      </c>
      <c r="E91" s="382" t="n">
        <f aca="false">(E$3)/(1-D91)-E$3</f>
        <v>0.154190888476603</v>
      </c>
      <c r="F91" s="381"/>
      <c r="G91" s="17" t="n">
        <v>0.0688</v>
      </c>
      <c r="H91" s="16" t="n">
        <f aca="false">(H$6)/(1-G91)-(H$6)</f>
        <v>0.37680412371134</v>
      </c>
      <c r="I91" s="381"/>
    </row>
    <row r="92" customFormat="false" ht="12.75" hidden="false" customHeight="false" outlineLevel="0" collapsed="false">
      <c r="A92" s="13"/>
      <c r="B92" s="6" t="n">
        <f aca="false">SUM(B89:B91)</f>
        <v>0.110902466889092</v>
      </c>
      <c r="C92" s="383"/>
      <c r="D92" s="378"/>
      <c r="E92" s="6" t="n">
        <f aca="false">SUM(E89:E91)</f>
        <v>0.172090888476603</v>
      </c>
      <c r="F92" s="383"/>
      <c r="G92" s="379"/>
      <c r="H92" s="20" t="n">
        <f aca="false">SUM(H89:H91)</f>
        <v>0.77760412371134</v>
      </c>
      <c r="I92" s="383"/>
    </row>
    <row r="93" customFormat="false" ht="12.75" hidden="false" customHeight="false" outlineLevel="0" collapsed="false">
      <c r="A93" s="387" t="s">
        <v>471</v>
      </c>
      <c r="B93" s="388" t="s">
        <v>613</v>
      </c>
      <c r="C93" s="383"/>
      <c r="D93" s="373" t="s">
        <v>473</v>
      </c>
      <c r="E93" s="7" t="s">
        <v>591</v>
      </c>
      <c r="F93" s="383"/>
      <c r="G93" s="374" t="s">
        <v>475</v>
      </c>
      <c r="H93" s="20" t="s">
        <v>614</v>
      </c>
      <c r="I93" s="383"/>
    </row>
    <row r="94" customFormat="false" ht="12.75" hidden="false" customHeight="false" outlineLevel="0" collapsed="false">
      <c r="A94" s="5" t="s">
        <v>6</v>
      </c>
      <c r="B94" s="10" t="n">
        <v>0.0834</v>
      </c>
      <c r="C94" s="393"/>
      <c r="D94" s="378" t="s">
        <v>6</v>
      </c>
      <c r="E94" s="10" t="n">
        <v>0.0228</v>
      </c>
      <c r="F94" s="393"/>
      <c r="G94" s="379" t="s">
        <v>6</v>
      </c>
      <c r="H94" s="12" t="n">
        <v>0.2256</v>
      </c>
      <c r="I94" s="393"/>
    </row>
    <row r="95" customFormat="false" ht="12.75" hidden="false" customHeight="false" outlineLevel="0" collapsed="false">
      <c r="A95" s="5" t="s">
        <v>7</v>
      </c>
      <c r="B95" s="10" t="n">
        <f aca="false">0.0022+0.007</f>
        <v>0.0092</v>
      </c>
      <c r="C95" s="393" t="s">
        <v>9</v>
      </c>
      <c r="D95" s="378" t="s">
        <v>7</v>
      </c>
      <c r="E95" s="10" t="n">
        <f aca="false">0.0022+0.007</f>
        <v>0.0092</v>
      </c>
      <c r="F95" s="393"/>
      <c r="G95" s="379" t="s">
        <v>7</v>
      </c>
      <c r="H95" s="14" t="n">
        <f aca="false">0.0022+0.007</f>
        <v>0.0092</v>
      </c>
      <c r="I95" s="393"/>
    </row>
    <row r="96" customFormat="false" ht="12.75" hidden="false" customHeight="false" outlineLevel="0" collapsed="false">
      <c r="A96" s="15" t="n">
        <v>0.0217</v>
      </c>
      <c r="B96" s="406" t="n">
        <f aca="false">(B5)/(1-A96)-B5</f>
        <v>0.123993662475724</v>
      </c>
      <c r="C96" s="381"/>
      <c r="D96" s="15" t="n">
        <v>0.0582</v>
      </c>
      <c r="E96" s="382" t="n">
        <f aca="false">(E$3)/(1-D96)-E$3</f>
        <v>0.310218730091314</v>
      </c>
      <c r="F96" s="381"/>
      <c r="G96" s="17" t="n">
        <v>0.0411</v>
      </c>
      <c r="H96" s="16" t="n">
        <f aca="false">(H$6)/(1-G96)-(H$6)</f>
        <v>0.218594222546669</v>
      </c>
      <c r="I96" s="381"/>
    </row>
    <row r="97" customFormat="false" ht="12.75" hidden="false" customHeight="false" outlineLevel="0" collapsed="false">
      <c r="A97" s="13"/>
      <c r="B97" s="6" t="n">
        <f aca="false">SUM(B94:B96)</f>
        <v>0.216593662475724</v>
      </c>
      <c r="C97" s="383"/>
      <c r="D97" s="378"/>
      <c r="E97" s="6" t="n">
        <f aca="false">SUM(E94:E96)</f>
        <v>0.342218730091314</v>
      </c>
      <c r="F97" s="383"/>
      <c r="G97" s="379"/>
      <c r="H97" s="20" t="n">
        <f aca="false">SUM(H94:H96)</f>
        <v>0.453394222546669</v>
      </c>
      <c r="I97" s="383"/>
    </row>
    <row r="98" customFormat="false" ht="12.75" hidden="false" customHeight="false" outlineLevel="0" collapsed="false">
      <c r="A98" s="387" t="s">
        <v>471</v>
      </c>
      <c r="B98" s="396" t="s">
        <v>620</v>
      </c>
      <c r="C98" s="363"/>
      <c r="D98" s="373" t="s">
        <v>473</v>
      </c>
      <c r="E98" s="7" t="s">
        <v>596</v>
      </c>
      <c r="F98" s="363"/>
      <c r="G98" s="374" t="s">
        <v>475</v>
      </c>
      <c r="H98" s="20" t="s">
        <v>618</v>
      </c>
      <c r="I98" s="363"/>
    </row>
    <row r="99" customFormat="false" ht="12.75" hidden="false" customHeight="false" outlineLevel="0" collapsed="false">
      <c r="A99" s="13" t="s">
        <v>6</v>
      </c>
      <c r="B99" s="10" t="n">
        <v>0.0427</v>
      </c>
      <c r="C99" s="371"/>
      <c r="D99" s="378" t="s">
        <v>6</v>
      </c>
      <c r="E99" s="10" t="n">
        <v>0.0431</v>
      </c>
      <c r="F99" s="371"/>
      <c r="G99" s="379" t="s">
        <v>6</v>
      </c>
      <c r="H99" s="12" t="n">
        <v>0.3273</v>
      </c>
      <c r="I99" s="371"/>
    </row>
    <row r="100" customFormat="false" ht="12.75" hidden="false" customHeight="false" outlineLevel="0" collapsed="false">
      <c r="A100" s="13" t="s">
        <v>7</v>
      </c>
      <c r="B100" s="10" t="n">
        <f aca="false">0.0022+0.007</f>
        <v>0.0092</v>
      </c>
      <c r="C100" s="371"/>
      <c r="D100" s="378" t="s">
        <v>7</v>
      </c>
      <c r="E100" s="10" t="n">
        <f aca="false">0.0022+0.007</f>
        <v>0.0092</v>
      </c>
      <c r="F100" s="371"/>
      <c r="G100" s="379" t="s">
        <v>7</v>
      </c>
      <c r="H100" s="14" t="n">
        <f aca="false">0.0022+0.007</f>
        <v>0.0092</v>
      </c>
      <c r="I100" s="371"/>
    </row>
    <row r="101" customFormat="false" ht="12.75" hidden="false" customHeight="false" outlineLevel="0" collapsed="false">
      <c r="A101" s="15" t="n">
        <v>0.0128</v>
      </c>
      <c r="B101" s="384" t="n">
        <f aca="false">(+B5)/(1-A101)-B5</f>
        <v>0.0724797406807136</v>
      </c>
      <c r="C101" s="371"/>
      <c r="D101" s="15" t="n">
        <v>0.0826</v>
      </c>
      <c r="E101" s="382" t="n">
        <f aca="false">(E$3)/(1-D101)-E$3</f>
        <v>0.451986047525616</v>
      </c>
      <c r="F101" s="371"/>
      <c r="G101" s="17" t="n">
        <v>0.0575</v>
      </c>
      <c r="H101" s="16" t="n">
        <f aca="false">(H$6)/(1-G101)-(H$6)</f>
        <v>0.311140583554376</v>
      </c>
      <c r="I101" s="371"/>
    </row>
    <row r="102" customFormat="false" ht="12.75" hidden="false" customHeight="false" outlineLevel="0" collapsed="false">
      <c r="A102" s="13"/>
      <c r="B102" s="6" t="n">
        <f aca="false">SUM(B99:B101)</f>
        <v>0.124379740680714</v>
      </c>
      <c r="C102" s="381"/>
      <c r="D102" s="378"/>
      <c r="E102" s="6" t="n">
        <f aca="false">SUM(E99:E101)</f>
        <v>0.504286047525616</v>
      </c>
      <c r="F102" s="381"/>
      <c r="G102" s="379"/>
      <c r="H102" s="20" t="n">
        <f aca="false">SUM(H99:H101)</f>
        <v>0.647640583554376</v>
      </c>
      <c r="I102" s="381"/>
    </row>
    <row r="103" customFormat="false" ht="12.75" hidden="false" customHeight="false" outlineLevel="0" collapsed="false">
      <c r="A103" s="417" t="s">
        <v>623</v>
      </c>
      <c r="B103" s="396" t="s">
        <v>624</v>
      </c>
      <c r="C103" s="383"/>
      <c r="D103" s="373" t="s">
        <v>473</v>
      </c>
      <c r="E103" s="7" t="s">
        <v>601</v>
      </c>
      <c r="F103" s="383"/>
      <c r="G103" s="374" t="s">
        <v>475</v>
      </c>
      <c r="H103" s="20" t="s">
        <v>621</v>
      </c>
      <c r="I103" s="383"/>
    </row>
    <row r="104" customFormat="false" ht="12.75" hidden="false" customHeight="false" outlineLevel="0" collapsed="false">
      <c r="A104" s="13" t="s">
        <v>6</v>
      </c>
      <c r="B104" s="10" t="n">
        <v>0.0427</v>
      </c>
      <c r="D104" s="378" t="s">
        <v>6</v>
      </c>
      <c r="E104" s="10" t="n">
        <v>0.057</v>
      </c>
      <c r="G104" s="379" t="s">
        <v>6</v>
      </c>
      <c r="H104" s="12" t="n">
        <v>0.1806</v>
      </c>
    </row>
    <row r="105" customFormat="false" ht="12.75" hidden="false" customHeight="false" outlineLevel="0" collapsed="false">
      <c r="A105" s="13" t="s">
        <v>7</v>
      </c>
      <c r="B105" s="10" t="n">
        <f aca="false">0.0022+0.007</f>
        <v>0.0092</v>
      </c>
      <c r="C105" s="363"/>
      <c r="D105" s="378" t="s">
        <v>7</v>
      </c>
      <c r="E105" s="10" t="n">
        <f aca="false">0.0022+0.007</f>
        <v>0.0092</v>
      </c>
      <c r="F105" s="363"/>
      <c r="G105" s="379" t="s">
        <v>7</v>
      </c>
      <c r="H105" s="14" t="n">
        <f aca="false">0.0022+0.007</f>
        <v>0.0092</v>
      </c>
      <c r="I105" s="363"/>
    </row>
    <row r="106" customFormat="false" ht="12.75" hidden="false" customHeight="false" outlineLevel="0" collapsed="false">
      <c r="A106" s="13" t="s">
        <v>693</v>
      </c>
      <c r="B106" s="382" t="n">
        <f aca="false">(+B5)/(1-0.005)-B5</f>
        <v>0.0280904522613064</v>
      </c>
      <c r="C106" s="371"/>
      <c r="D106" s="15" t="n">
        <v>0.0986</v>
      </c>
      <c r="E106" s="382" t="n">
        <f aca="false">(E$3)/(1-D106)-E$3</f>
        <v>0.549114710450411</v>
      </c>
      <c r="F106" s="371"/>
      <c r="G106" s="17" t="n">
        <v>0.0333</v>
      </c>
      <c r="H106" s="16" t="n">
        <f aca="false">(H$7)/(1-G106)-H$7</f>
        <v>0.196176166339092</v>
      </c>
      <c r="I106" s="371"/>
    </row>
    <row r="107" customFormat="false" ht="12.75" hidden="false" customHeight="false" outlineLevel="0" collapsed="false">
      <c r="A107" s="13"/>
      <c r="B107" s="6" t="n">
        <f aca="false">SUM(B104:B106)</f>
        <v>0.0799904522613064</v>
      </c>
      <c r="C107" s="371"/>
      <c r="D107" s="378"/>
      <c r="E107" s="6" t="n">
        <f aca="false">SUM(E104:E106)</f>
        <v>0.615314710450411</v>
      </c>
      <c r="F107" s="371"/>
      <c r="G107" s="379"/>
      <c r="H107" s="20" t="n">
        <f aca="false">SUM(H104:H106)</f>
        <v>0.385976166339092</v>
      </c>
      <c r="I107" s="371"/>
    </row>
    <row r="108" customFormat="false" ht="12.75" hidden="false" customHeight="false" outlineLevel="0" collapsed="false">
      <c r="A108" s="387" t="s">
        <v>471</v>
      </c>
      <c r="B108" s="396" t="s">
        <v>627</v>
      </c>
      <c r="C108" s="381"/>
      <c r="D108" s="373" t="s">
        <v>473</v>
      </c>
      <c r="E108" s="7" t="s">
        <v>625</v>
      </c>
      <c r="F108" s="381"/>
      <c r="G108" s="418"/>
      <c r="H108" s="383"/>
      <c r="I108" s="381"/>
    </row>
    <row r="109" customFormat="false" ht="12.75" hidden="false" customHeight="false" outlineLevel="0" collapsed="false">
      <c r="A109" s="13" t="s">
        <v>6</v>
      </c>
      <c r="B109" s="10" t="n">
        <v>0.0765</v>
      </c>
      <c r="C109" s="383"/>
      <c r="D109" s="378" t="s">
        <v>6</v>
      </c>
      <c r="E109" s="10" t="n">
        <v>0.0141</v>
      </c>
      <c r="F109" s="383"/>
      <c r="G109" s="371"/>
      <c r="H109" s="393"/>
      <c r="I109" s="383"/>
    </row>
    <row r="110" customFormat="false" ht="12.75" hidden="false" customHeight="false" outlineLevel="0" collapsed="false">
      <c r="A110" s="13" t="s">
        <v>7</v>
      </c>
      <c r="B110" s="10" t="n">
        <f aca="false">0.0022+0.007</f>
        <v>0.0092</v>
      </c>
      <c r="C110" s="363"/>
      <c r="D110" s="378" t="s">
        <v>7</v>
      </c>
      <c r="E110" s="10" t="n">
        <f aca="false">0.0022+0.007</f>
        <v>0.0092</v>
      </c>
      <c r="F110" s="363"/>
      <c r="G110" s="371"/>
      <c r="H110" s="371"/>
      <c r="I110" s="363"/>
    </row>
    <row r="111" customFormat="false" ht="12.75" hidden="false" customHeight="false" outlineLevel="0" collapsed="false">
      <c r="A111" s="416" t="n">
        <v>0.0209</v>
      </c>
      <c r="B111" s="382" t="n">
        <f aca="false">(+B5)/(1-A111)-B5</f>
        <v>0.119324890205291</v>
      </c>
      <c r="C111" s="371"/>
      <c r="D111" s="15" t="n">
        <v>0.0284</v>
      </c>
      <c r="E111" s="382" t="n">
        <f aca="false">(E$6)/(1-D111)-E$6</f>
        <v>0.149073692877727</v>
      </c>
      <c r="F111" s="371"/>
      <c r="G111" s="371"/>
      <c r="H111" s="381"/>
      <c r="I111" s="371"/>
    </row>
    <row r="112" customFormat="false" ht="12.75" hidden="false" customHeight="false" outlineLevel="0" collapsed="false">
      <c r="A112" s="13"/>
      <c r="B112" s="6" t="n">
        <f aca="false">SUM(B109:B111)</f>
        <v>0.205024890205291</v>
      </c>
      <c r="C112" s="371"/>
      <c r="D112" s="378"/>
      <c r="E112" s="6" t="n">
        <f aca="false">SUM(E109:E111)</f>
        <v>0.172373692877727</v>
      </c>
      <c r="F112" s="371"/>
      <c r="G112" s="371"/>
      <c r="H112" s="383"/>
      <c r="I112" s="371"/>
    </row>
    <row r="113" customFormat="false" ht="12.75" hidden="false" customHeight="false" outlineLevel="0" collapsed="false">
      <c r="A113" s="387" t="s">
        <v>471</v>
      </c>
      <c r="B113" s="396" t="s">
        <v>629</v>
      </c>
      <c r="C113" s="381"/>
      <c r="D113" s="373" t="s">
        <v>473</v>
      </c>
      <c r="E113" s="7" t="s">
        <v>606</v>
      </c>
      <c r="F113" s="381"/>
      <c r="G113" s="371"/>
      <c r="H113" s="371"/>
      <c r="I113" s="381"/>
    </row>
    <row r="114" customFormat="false" ht="12.75" hidden="false" customHeight="false" outlineLevel="0" collapsed="false">
      <c r="A114" s="13" t="s">
        <v>6</v>
      </c>
      <c r="B114" s="10" t="n">
        <v>0.3192</v>
      </c>
      <c r="C114" s="383"/>
      <c r="D114" s="378" t="s">
        <v>6</v>
      </c>
      <c r="E114" s="10" t="n">
        <v>0.0344</v>
      </c>
      <c r="F114" s="383"/>
      <c r="G114" s="371"/>
      <c r="H114" s="371"/>
      <c r="I114" s="383"/>
    </row>
    <row r="115" customFormat="false" ht="12.75" hidden="false" customHeight="false" outlineLevel="0" collapsed="false">
      <c r="A115" s="13" t="s">
        <v>7</v>
      </c>
      <c r="B115" s="10" t="n">
        <f aca="false">0.0022+0.007</f>
        <v>0.0092</v>
      </c>
      <c r="D115" s="378" t="s">
        <v>7</v>
      </c>
      <c r="E115" s="10" t="n">
        <f aca="false">0.0022+0.007</f>
        <v>0.0092</v>
      </c>
      <c r="G115" s="381"/>
      <c r="H115" s="381"/>
    </row>
    <row r="116" customFormat="false" ht="12.75" hidden="false" customHeight="false" outlineLevel="0" collapsed="false">
      <c r="A116" s="420" t="n">
        <v>0.025</v>
      </c>
      <c r="B116" s="382" t="n">
        <f aca="false">(+B$5)/(1-A116)-B$5</f>
        <v>0.143333333333334</v>
      </c>
      <c r="D116" s="15" t="n">
        <v>0.0528</v>
      </c>
      <c r="E116" s="382" t="n">
        <f aca="false">(E$6)/(1-D116)-E$6</f>
        <v>0.284290540540541</v>
      </c>
      <c r="G116" s="383"/>
      <c r="H116" s="383"/>
    </row>
    <row r="117" customFormat="false" ht="12.75" hidden="false" customHeight="false" outlineLevel="0" collapsed="false">
      <c r="A117" s="13"/>
      <c r="B117" s="6" t="n">
        <f aca="false">SUM(B114:B116)</f>
        <v>0.471733333333334</v>
      </c>
      <c r="D117" s="378"/>
      <c r="E117" s="6" t="n">
        <f aca="false">SUM(E114:E116)</f>
        <v>0.327890540540541</v>
      </c>
      <c r="G117" s="363"/>
      <c r="H117" s="363"/>
    </row>
    <row r="118" customFormat="false" ht="12.75" hidden="false" customHeight="false" outlineLevel="0" collapsed="false">
      <c r="A118" s="387" t="s">
        <v>471</v>
      </c>
      <c r="B118" s="396" t="s">
        <v>632</v>
      </c>
      <c r="D118" s="373" t="s">
        <v>473</v>
      </c>
      <c r="E118" s="7" t="s">
        <v>610</v>
      </c>
      <c r="G118" s="371"/>
      <c r="H118" s="371"/>
    </row>
    <row r="119" customFormat="false" ht="12.75" hidden="false" customHeight="false" outlineLevel="0" collapsed="false">
      <c r="A119" s="13" t="s">
        <v>6</v>
      </c>
      <c r="B119" s="10" t="n">
        <v>0.0765</v>
      </c>
      <c r="D119" s="378" t="s">
        <v>6</v>
      </c>
      <c r="E119" s="10" t="n">
        <v>0.0483</v>
      </c>
      <c r="G119" s="371"/>
      <c r="H119" s="371"/>
    </row>
    <row r="120" customFormat="false" ht="12.75" hidden="false" customHeight="false" outlineLevel="0" collapsed="false">
      <c r="A120" s="13" t="s">
        <v>7</v>
      </c>
      <c r="B120" s="10" t="n">
        <f aca="false">0.0022+0.007</f>
        <v>0.0092</v>
      </c>
      <c r="D120" s="378" t="s">
        <v>7</v>
      </c>
      <c r="E120" s="10" t="n">
        <f aca="false">0.0022+0.007</f>
        <v>0.0092</v>
      </c>
      <c r="G120" s="381"/>
      <c r="H120" s="381"/>
    </row>
    <row r="121" customFormat="false" ht="12.75" hidden="false" customHeight="false" outlineLevel="0" collapsed="false">
      <c r="A121" s="420" t="n">
        <v>0.014</v>
      </c>
      <c r="B121" s="382" t="n">
        <f aca="false">(+B$5)/(1-A121)-B$5</f>
        <v>0.0793711967545638</v>
      </c>
      <c r="D121" s="15" t="n">
        <v>0.0688</v>
      </c>
      <c r="E121" s="382" t="n">
        <f aca="false">(E$6)/(1-D121)-E$6</f>
        <v>0.37680412371134</v>
      </c>
      <c r="G121" s="383"/>
      <c r="H121" s="383"/>
    </row>
    <row r="122" customFormat="false" ht="12.75" hidden="false" customHeight="false" outlineLevel="0" collapsed="false">
      <c r="A122" s="13"/>
      <c r="B122" s="6" t="n">
        <f aca="false">SUM(B119:B121)</f>
        <v>0.165071196754564</v>
      </c>
      <c r="D122" s="378"/>
      <c r="E122" s="6" t="n">
        <f aca="false">SUM(E119:E121)</f>
        <v>0.43430412371134</v>
      </c>
      <c r="G122" s="383"/>
      <c r="H122" s="383"/>
    </row>
    <row r="123" customFormat="false" ht="12.75" hidden="false" customHeight="false" outlineLevel="0" collapsed="false">
      <c r="A123" s="387" t="s">
        <v>471</v>
      </c>
      <c r="B123" s="396" t="s">
        <v>634</v>
      </c>
      <c r="D123" s="373" t="s">
        <v>473</v>
      </c>
      <c r="E123" s="6" t="s">
        <v>614</v>
      </c>
      <c r="G123" s="393"/>
      <c r="H123" s="393"/>
    </row>
    <row r="124" customFormat="false" ht="12.75" hidden="false" customHeight="false" outlineLevel="0" collapsed="false">
      <c r="A124" s="13" t="s">
        <v>6</v>
      </c>
      <c r="B124" s="10" t="n">
        <v>0.0642</v>
      </c>
      <c r="D124" s="378" t="s">
        <v>6</v>
      </c>
      <c r="E124" s="9" t="n">
        <v>0.0245</v>
      </c>
      <c r="G124" s="393"/>
      <c r="H124" s="393"/>
    </row>
    <row r="125" customFormat="false" ht="12.75" hidden="false" customHeight="false" outlineLevel="0" collapsed="false">
      <c r="A125" s="13" t="s">
        <v>7</v>
      </c>
      <c r="B125" s="10" t="n">
        <f aca="false">0.0022+0.007</f>
        <v>0.0092</v>
      </c>
      <c r="D125" s="378" t="s">
        <v>7</v>
      </c>
      <c r="E125" s="10" t="n">
        <f aca="false">0.0022</f>
        <v>0.0022</v>
      </c>
      <c r="G125" s="393"/>
      <c r="H125" s="393"/>
    </row>
    <row r="126" customFormat="false" ht="12.75" hidden="false" customHeight="false" outlineLevel="0" collapsed="false">
      <c r="A126" s="15" t="n">
        <v>0.0089</v>
      </c>
      <c r="B126" s="382" t="n">
        <f aca="false">(+B4)/(1-A126)-B4</f>
        <v>0.045887397840783</v>
      </c>
      <c r="D126" s="15" t="n">
        <v>0.0411</v>
      </c>
      <c r="E126" s="382" t="n">
        <f aca="false">(E$7)/(1-D126)-E$7</f>
        <v>0.244096881843779</v>
      </c>
      <c r="G126" s="381"/>
      <c r="H126" s="381"/>
    </row>
    <row r="127" customFormat="false" ht="12.75" hidden="false" customHeight="false" outlineLevel="0" collapsed="false">
      <c r="A127" s="13"/>
      <c r="B127" s="6" t="n">
        <f aca="false">SUM(B124:B126)</f>
        <v>0.119287397840783</v>
      </c>
      <c r="D127" s="378"/>
      <c r="E127" s="6" t="n">
        <f aca="false">SUM(E124:E126)</f>
        <v>0.270796881843779</v>
      </c>
      <c r="G127" s="383"/>
      <c r="H127" s="383"/>
    </row>
    <row r="128" customFormat="false" ht="12.75" hidden="false" customHeight="false" outlineLevel="0" collapsed="false">
      <c r="A128" s="387" t="s">
        <v>636</v>
      </c>
      <c r="B128" s="388"/>
      <c r="D128" s="373" t="s">
        <v>473</v>
      </c>
      <c r="E128" s="6" t="s">
        <v>618</v>
      </c>
      <c r="G128" s="363"/>
      <c r="H128" s="363"/>
    </row>
    <row r="129" customFormat="false" ht="12.75" hidden="false" customHeight="false" outlineLevel="0" collapsed="false">
      <c r="A129" s="5" t="s">
        <v>6</v>
      </c>
      <c r="B129" s="10" t="n">
        <v>0.0094</v>
      </c>
      <c r="D129" s="378" t="s">
        <v>6</v>
      </c>
      <c r="E129" s="9" t="n">
        <v>0.0385</v>
      </c>
      <c r="G129" s="371"/>
      <c r="H129" s="371"/>
    </row>
    <row r="130" customFormat="false" ht="12.75" hidden="false" customHeight="false" outlineLevel="0" collapsed="false">
      <c r="A130" s="5" t="s">
        <v>7</v>
      </c>
      <c r="B130" s="10" t="n">
        <v>0.0022</v>
      </c>
      <c r="D130" s="378" t="s">
        <v>7</v>
      </c>
      <c r="E130" s="10" t="n">
        <f aca="false">0.0022+0.007</f>
        <v>0.0092</v>
      </c>
      <c r="G130" s="371"/>
      <c r="H130" s="371"/>
    </row>
    <row r="131" customFormat="false" ht="12.75" hidden="false" customHeight="false" outlineLevel="0" collapsed="false">
      <c r="A131" s="5" t="s">
        <v>637</v>
      </c>
      <c r="B131" s="382" t="n">
        <f aca="false">(+AC3+AC17)/(1-0.0131)-(+AC3+AC17)</f>
        <v>0</v>
      </c>
      <c r="D131" s="15" t="n">
        <v>0.0575</v>
      </c>
      <c r="E131" s="382" t="n">
        <f aca="false">(E$7)/(1-D131)-E$7</f>
        <v>0.347440318302387</v>
      </c>
      <c r="G131" s="381"/>
      <c r="H131" s="381"/>
    </row>
    <row r="132" customFormat="false" ht="12.75" hidden="false" customHeight="false" outlineLevel="0" collapsed="false">
      <c r="A132" s="13"/>
      <c r="B132" s="6" t="n">
        <f aca="false">SUM(B129:B131)</f>
        <v>0.0116</v>
      </c>
      <c r="D132" s="378"/>
      <c r="E132" s="6" t="n">
        <f aca="false">SUM(E129:E131)</f>
        <v>0.395140318302387</v>
      </c>
      <c r="G132" s="383"/>
      <c r="H132" s="383"/>
    </row>
    <row r="133" customFormat="false" ht="12.75" hidden="false" customHeight="false" outlineLevel="0" collapsed="false">
      <c r="A133" s="387" t="s">
        <v>471</v>
      </c>
      <c r="B133" s="388" t="s">
        <v>617</v>
      </c>
      <c r="D133" s="373" t="s">
        <v>473</v>
      </c>
      <c r="E133" s="6" t="s">
        <v>621</v>
      </c>
    </row>
    <row r="134" customFormat="false" ht="12.75" hidden="false" customHeight="false" outlineLevel="0" collapsed="false">
      <c r="A134" s="5" t="s">
        <v>6</v>
      </c>
      <c r="B134" s="10" t="n">
        <v>0.0459</v>
      </c>
      <c r="D134" s="378" t="s">
        <v>6</v>
      </c>
      <c r="E134" s="9" t="n">
        <v>0.0182</v>
      </c>
      <c r="G134" s="363"/>
      <c r="H134" s="363"/>
    </row>
    <row r="135" customFormat="false" ht="12.75" hidden="false" customHeight="false" outlineLevel="0" collapsed="false">
      <c r="A135" s="5" t="s">
        <v>7</v>
      </c>
      <c r="B135" s="10" t="n">
        <f aca="false">0.0022+0.007</f>
        <v>0.0092</v>
      </c>
      <c r="D135" s="378" t="s">
        <v>7</v>
      </c>
      <c r="E135" s="10" t="n">
        <f aca="false">0.0022+0.007</f>
        <v>0.0092</v>
      </c>
      <c r="G135" s="371"/>
      <c r="H135" s="371"/>
    </row>
    <row r="136" customFormat="false" ht="12.75" hidden="false" customHeight="false" outlineLevel="0" collapsed="false">
      <c r="A136" s="416" t="n">
        <v>0.0116</v>
      </c>
      <c r="B136" s="382" t="n">
        <f aca="false">(+B5)/(1-A136)-B5</f>
        <v>0.0656050182112509</v>
      </c>
      <c r="D136" s="15" t="n">
        <v>0.0333</v>
      </c>
      <c r="E136" s="382" t="n">
        <f aca="false">(E$7)/(1-D136)-E$7</f>
        <v>0.196176166339092</v>
      </c>
      <c r="G136" s="371"/>
      <c r="H136" s="371"/>
    </row>
    <row r="137" customFormat="false" ht="12.75" hidden="false" customHeight="false" outlineLevel="0" collapsed="false">
      <c r="A137" s="13"/>
      <c r="B137" s="6" t="n">
        <f aca="false">SUM(B134:B136)</f>
        <v>0.120705018211251</v>
      </c>
      <c r="D137" s="378"/>
      <c r="E137" s="6" t="n">
        <f aca="false">SUM(E134:E136)</f>
        <v>0.223576166339092</v>
      </c>
      <c r="G137" s="381"/>
      <c r="H137" s="381"/>
    </row>
    <row r="138" customFormat="false" ht="12.75" hidden="false" customHeight="false" outlineLevel="0" collapsed="false">
      <c r="A138" s="389" t="s">
        <v>471</v>
      </c>
      <c r="B138" s="390" t="s">
        <v>639</v>
      </c>
      <c r="C138" s="92"/>
      <c r="D138" s="371"/>
      <c r="E138" s="371"/>
      <c r="F138" s="92"/>
      <c r="G138" s="383"/>
      <c r="H138" s="383"/>
    </row>
    <row r="139" customFormat="false" ht="12.75" hidden="false" customHeight="false" outlineLevel="0" collapsed="false">
      <c r="A139" s="11" t="s">
        <v>6</v>
      </c>
      <c r="B139" s="380" t="n">
        <f aca="false">0.1599-0.0022</f>
        <v>0.1577</v>
      </c>
      <c r="C139" s="92"/>
      <c r="D139" s="371"/>
      <c r="E139" s="393"/>
      <c r="F139" s="92"/>
      <c r="G139" s="363"/>
      <c r="H139" s="363"/>
    </row>
    <row r="140" customFormat="false" ht="12.75" hidden="false" customHeight="false" outlineLevel="0" collapsed="false">
      <c r="A140" s="11" t="s">
        <v>7</v>
      </c>
      <c r="B140" s="14" t="n">
        <f aca="false">0.0022+0+0.0225+0.007</f>
        <v>0.0317</v>
      </c>
      <c r="C140" s="92"/>
      <c r="D140" s="371"/>
      <c r="E140" s="371"/>
      <c r="F140" s="92"/>
      <c r="G140" s="371"/>
      <c r="H140" s="371"/>
    </row>
    <row r="141" customFormat="false" ht="12.75" hidden="false" customHeight="false" outlineLevel="0" collapsed="false">
      <c r="A141" s="426" t="n">
        <v>0.0101</v>
      </c>
      <c r="B141" s="427" t="n">
        <f aca="false">(B4)/(1-A141)-B4</f>
        <v>0.052137589655521</v>
      </c>
      <c r="C141" s="92"/>
      <c r="D141" s="371"/>
      <c r="E141" s="381"/>
      <c r="F141" s="92"/>
      <c r="G141" s="371"/>
      <c r="H141" s="371"/>
    </row>
    <row r="142" customFormat="false" ht="12.75" hidden="false" customHeight="false" outlineLevel="0" collapsed="false">
      <c r="A142" s="385"/>
      <c r="B142" s="20" t="n">
        <f aca="false">SUM(B139:B141)</f>
        <v>0.241537589655521</v>
      </c>
      <c r="C142" s="92"/>
      <c r="D142" s="371"/>
      <c r="E142" s="383"/>
      <c r="F142" s="92"/>
      <c r="G142" s="381"/>
      <c r="H142" s="381"/>
    </row>
    <row r="143" customFormat="false" ht="12.75" hidden="false" customHeight="false" outlineLevel="0" collapsed="false">
      <c r="A143" s="389" t="s">
        <v>471</v>
      </c>
      <c r="B143" s="390" t="s">
        <v>640</v>
      </c>
      <c r="C143" s="92"/>
      <c r="D143" s="371"/>
      <c r="E143" s="371"/>
      <c r="F143" s="92"/>
      <c r="G143" s="383"/>
      <c r="H143" s="383"/>
    </row>
    <row r="144" customFormat="false" ht="12.75" hidden="false" customHeight="false" outlineLevel="0" collapsed="false">
      <c r="A144" s="11" t="s">
        <v>6</v>
      </c>
      <c r="B144" s="380" t="n">
        <f aca="false">0.3212-0.0022</f>
        <v>0.319</v>
      </c>
      <c r="C144" s="92"/>
      <c r="D144" s="371"/>
      <c r="E144" s="371"/>
      <c r="F144" s="92"/>
    </row>
    <row r="145" customFormat="false" ht="12.75" hidden="false" customHeight="false" outlineLevel="0" collapsed="false">
      <c r="A145" s="11" t="s">
        <v>7</v>
      </c>
      <c r="B145" s="14" t="n">
        <f aca="false">0.0022+0+0.0225+0.007</f>
        <v>0.0317</v>
      </c>
      <c r="C145" s="92"/>
      <c r="D145" s="381"/>
      <c r="E145" s="381"/>
      <c r="F145" s="92"/>
    </row>
    <row r="146" customFormat="false" ht="12.75" hidden="false" customHeight="false" outlineLevel="0" collapsed="false">
      <c r="A146" s="426" t="n">
        <v>0.0279</v>
      </c>
      <c r="B146" s="16" t="n">
        <f aca="false">(B3)/(1-A146)-B3</f>
        <v>0.145369303569592</v>
      </c>
      <c r="D146" s="383"/>
      <c r="E146" s="383"/>
    </row>
    <row r="147" customFormat="false" ht="12.75" hidden="false" customHeight="false" outlineLevel="0" collapsed="false">
      <c r="A147" s="385"/>
      <c r="B147" s="20" t="n">
        <f aca="false">SUM(B144:B146)</f>
        <v>0.496069303569592</v>
      </c>
      <c r="D147" s="363"/>
      <c r="E147" s="363"/>
    </row>
    <row r="148" customFormat="false" ht="12.75" hidden="false" customHeight="false" outlineLevel="0" collapsed="false">
      <c r="A148" s="389" t="s">
        <v>471</v>
      </c>
      <c r="B148" s="390" t="s">
        <v>641</v>
      </c>
      <c r="D148" s="371"/>
      <c r="E148" s="371"/>
    </row>
    <row r="149" customFormat="false" ht="12.75" hidden="false" customHeight="false" outlineLevel="0" collapsed="false">
      <c r="A149" s="11" t="s">
        <v>6</v>
      </c>
      <c r="B149" s="380" t="n">
        <v>0.4862</v>
      </c>
      <c r="D149" s="371"/>
      <c r="E149" s="371"/>
    </row>
    <row r="150" customFormat="false" ht="12.75" hidden="false" customHeight="false" outlineLevel="0" collapsed="false">
      <c r="A150" s="11" t="s">
        <v>7</v>
      </c>
      <c r="B150" s="14" t="n">
        <f aca="false">0.0022</f>
        <v>0.0022</v>
      </c>
      <c r="D150" s="381"/>
      <c r="E150" s="381"/>
    </row>
    <row r="151" customFormat="false" ht="12.75" hidden="false" customHeight="false" outlineLevel="0" collapsed="false">
      <c r="A151" s="426" t="n">
        <v>0.0588</v>
      </c>
      <c r="B151" s="430" t="n">
        <f aca="false">(B3)/(1-A151)-B3</f>
        <v>0.316427964300893</v>
      </c>
      <c r="D151" s="383"/>
      <c r="E151" s="383"/>
    </row>
    <row r="152" customFormat="false" ht="12.75" hidden="false" customHeight="false" outlineLevel="0" collapsed="false">
      <c r="A152" s="385"/>
      <c r="B152" s="20" t="n">
        <f aca="false">SUM(B149:B151)</f>
        <v>0.804827964300892</v>
      </c>
      <c r="D152" s="383"/>
      <c r="E152" s="383"/>
    </row>
    <row r="153" customFormat="false" ht="12.75" hidden="false" customHeight="false" outlineLevel="0" collapsed="false">
      <c r="A153" s="389" t="s">
        <v>471</v>
      </c>
      <c r="B153" s="390" t="s">
        <v>642</v>
      </c>
      <c r="D153" s="393"/>
      <c r="E153" s="393"/>
    </row>
    <row r="154" customFormat="false" ht="12.75" hidden="false" customHeight="false" outlineLevel="0" collapsed="false">
      <c r="A154" s="11" t="s">
        <v>6</v>
      </c>
      <c r="B154" s="380" t="n">
        <v>0.5558</v>
      </c>
      <c r="D154" s="393"/>
      <c r="E154" s="393"/>
    </row>
    <row r="155" customFormat="false" ht="12.75" hidden="false" customHeight="false" outlineLevel="0" collapsed="false">
      <c r="A155" s="11" t="s">
        <v>7</v>
      </c>
      <c r="B155" s="14" t="n">
        <f aca="false">0.0022</f>
        <v>0.0022</v>
      </c>
      <c r="D155" s="393"/>
      <c r="E155" s="393"/>
    </row>
    <row r="156" customFormat="false" ht="12.75" hidden="false" customHeight="false" outlineLevel="0" collapsed="false">
      <c r="A156" s="426" t="n">
        <v>0.0679</v>
      </c>
      <c r="B156" s="430" t="n">
        <f aca="false">(B3)/(1-A156)-B3</f>
        <v>0.3689663126274</v>
      </c>
      <c r="D156" s="381"/>
      <c r="E156" s="381"/>
    </row>
    <row r="157" customFormat="false" ht="12.75" hidden="false" customHeight="false" outlineLevel="0" collapsed="false">
      <c r="A157" s="385"/>
      <c r="B157" s="20" t="n">
        <f aca="false">SUM(B154:B156)</f>
        <v>0.9269663126274</v>
      </c>
      <c r="D157" s="383"/>
      <c r="E157" s="383"/>
    </row>
    <row r="158" customFormat="false" ht="12.75" hidden="false" customHeight="false" outlineLevel="0" collapsed="false">
      <c r="A158" s="389" t="s">
        <v>471</v>
      </c>
      <c r="B158" s="390" t="s">
        <v>643</v>
      </c>
      <c r="D158" s="363"/>
      <c r="E158" s="363"/>
    </row>
    <row r="159" customFormat="false" ht="12.75" hidden="false" customHeight="false" outlineLevel="0" collapsed="false">
      <c r="A159" s="11" t="s">
        <v>6</v>
      </c>
      <c r="B159" s="380" t="n">
        <v>0.6285</v>
      </c>
      <c r="D159" s="371"/>
      <c r="E159" s="371"/>
    </row>
    <row r="160" customFormat="false" ht="12.75" hidden="false" customHeight="false" outlineLevel="0" collapsed="false">
      <c r="A160" s="11" t="s">
        <v>7</v>
      </c>
      <c r="B160" s="14" t="n">
        <f aca="false">0.0022+0.007</f>
        <v>0.0092</v>
      </c>
      <c r="D160" s="371"/>
      <c r="E160" s="371"/>
    </row>
    <row r="161" customFormat="false" ht="12.75" hidden="false" customHeight="false" outlineLevel="0" collapsed="false">
      <c r="A161" s="426" t="n">
        <v>0.0871</v>
      </c>
      <c r="B161" s="430" t="n">
        <f aca="false">(B3)/(1-A161)-B3</f>
        <v>0.483252820681345</v>
      </c>
      <c r="D161" s="381"/>
      <c r="E161" s="381"/>
    </row>
    <row r="162" customFormat="false" ht="12.75" hidden="false" customHeight="false" outlineLevel="0" collapsed="false">
      <c r="A162" s="385"/>
      <c r="B162" s="20" t="n">
        <f aca="false">SUM(B159:B161)</f>
        <v>1.12095282068135</v>
      </c>
      <c r="D162" s="383"/>
      <c r="E162" s="383"/>
    </row>
    <row r="163" customFormat="false" ht="12.75" hidden="false" customHeight="false" outlineLevel="0" collapsed="false">
      <c r="A163" s="389" t="s">
        <v>471</v>
      </c>
      <c r="B163" s="390" t="s">
        <v>644</v>
      </c>
    </row>
    <row r="164" customFormat="false" ht="12.75" hidden="false" customHeight="false" outlineLevel="0" collapsed="false">
      <c r="A164" s="11" t="s">
        <v>6</v>
      </c>
      <c r="B164" s="380" t="n">
        <f aca="false">0.3703-0.0022</f>
        <v>0.3681</v>
      </c>
      <c r="D164" s="363"/>
      <c r="E164" s="363"/>
    </row>
    <row r="165" customFormat="false" ht="12.75" hidden="false" customHeight="false" outlineLevel="0" collapsed="false">
      <c r="A165" s="11" t="s">
        <v>7</v>
      </c>
      <c r="B165" s="14" t="n">
        <f aca="false">0.0022+0+0.0225+0.007</f>
        <v>0.0317</v>
      </c>
      <c r="D165" s="371"/>
      <c r="E165" s="371"/>
    </row>
    <row r="166" customFormat="false" ht="12.75" hidden="false" customHeight="false" outlineLevel="0" collapsed="false">
      <c r="A166" s="426" t="n">
        <v>0.0428</v>
      </c>
      <c r="B166" s="430" t="n">
        <f aca="false">(B4)/(1-A166)-B4</f>
        <v>0.228487254492268</v>
      </c>
      <c r="D166" s="371"/>
      <c r="E166" s="371"/>
    </row>
    <row r="167" customFormat="false" ht="12.75" hidden="false" customHeight="false" outlineLevel="0" collapsed="false">
      <c r="A167" s="385"/>
      <c r="B167" s="20" t="n">
        <f aca="false">SUM(B164:B166)</f>
        <v>0.628287254492269</v>
      </c>
      <c r="D167" s="381"/>
      <c r="E167" s="381"/>
    </row>
    <row r="168" customFormat="false" ht="12.75" hidden="false" customHeight="false" outlineLevel="0" collapsed="false">
      <c r="A168" s="389" t="s">
        <v>471</v>
      </c>
      <c r="B168" s="432" t="s">
        <v>645</v>
      </c>
      <c r="D168" s="383"/>
      <c r="E168" s="383"/>
    </row>
    <row r="169" customFormat="false" ht="12.75" hidden="false" customHeight="false" outlineLevel="0" collapsed="false">
      <c r="A169" s="385" t="s">
        <v>6</v>
      </c>
      <c r="B169" s="380" t="n">
        <v>0.4281</v>
      </c>
      <c r="D169" s="363"/>
      <c r="E169" s="363"/>
    </row>
    <row r="170" customFormat="false" ht="12.75" hidden="false" customHeight="false" outlineLevel="0" collapsed="false">
      <c r="A170" s="385" t="s">
        <v>7</v>
      </c>
      <c r="B170" s="14" t="n">
        <f aca="false">0.0022</f>
        <v>0.0022</v>
      </c>
      <c r="D170" s="371"/>
      <c r="E170" s="371"/>
    </row>
    <row r="171" customFormat="false" ht="12.75" hidden="false" customHeight="false" outlineLevel="0" collapsed="false">
      <c r="A171" s="17" t="n">
        <v>0.0499</v>
      </c>
      <c r="B171" s="16" t="n">
        <f aca="false">(B4)/(1-A171)-B4</f>
        <v>0.268381223029155</v>
      </c>
      <c r="D171" s="371"/>
      <c r="E171" s="371"/>
    </row>
    <row r="172" customFormat="false" ht="12.75" hidden="false" customHeight="false" outlineLevel="0" collapsed="false">
      <c r="A172" s="385"/>
      <c r="B172" s="20" t="n">
        <f aca="false">SUM(B169:B171)</f>
        <v>0.698681223029155</v>
      </c>
      <c r="D172" s="381"/>
      <c r="E172" s="381"/>
    </row>
    <row r="173" customFormat="false" ht="12.75" hidden="false" customHeight="false" outlineLevel="0" collapsed="false">
      <c r="A173" s="389" t="s">
        <v>471</v>
      </c>
      <c r="B173" s="432" t="s">
        <v>646</v>
      </c>
      <c r="D173" s="383"/>
      <c r="E173" s="383"/>
    </row>
    <row r="174" customFormat="false" ht="12.75" hidden="false" customHeight="false" outlineLevel="0" collapsed="false">
      <c r="A174" s="385" t="s">
        <v>6</v>
      </c>
      <c r="B174" s="380" t="n">
        <v>0.4955</v>
      </c>
    </row>
    <row r="175" customFormat="false" ht="12.75" hidden="false" customHeight="false" outlineLevel="0" collapsed="false">
      <c r="A175" s="385" t="s">
        <v>7</v>
      </c>
      <c r="B175" s="14" t="n">
        <f aca="false">0.0022</f>
        <v>0.0022</v>
      </c>
    </row>
    <row r="176" customFormat="false" ht="12.75" hidden="false" customHeight="false" outlineLevel="0" collapsed="false">
      <c r="A176" s="17" t="n">
        <v>0.059</v>
      </c>
      <c r="B176" s="16" t="n">
        <f aca="false">(B4)/(1-A176)-B4</f>
        <v>0.32039319872476</v>
      </c>
    </row>
    <row r="177" customFormat="false" ht="12.75" hidden="false" customHeight="false" outlineLevel="0" collapsed="false">
      <c r="A177" s="385"/>
      <c r="B177" s="20" t="n">
        <f aca="false">SUM(B174:B176)</f>
        <v>0.81809319872476</v>
      </c>
    </row>
    <row r="178" customFormat="false" ht="12.75" hidden="false" customHeight="false" outlineLevel="0" collapsed="false">
      <c r="A178" s="389" t="s">
        <v>471</v>
      </c>
      <c r="B178" s="432" t="s">
        <v>647</v>
      </c>
    </row>
    <row r="179" customFormat="false" ht="12.75" hidden="false" customHeight="false" outlineLevel="0" collapsed="false">
      <c r="A179" s="385" t="s">
        <v>6</v>
      </c>
      <c r="B179" s="380" t="n">
        <v>0.5701</v>
      </c>
    </row>
    <row r="180" customFormat="false" ht="12.75" hidden="false" customHeight="false" outlineLevel="0" collapsed="false">
      <c r="A180" s="385" t="s">
        <v>7</v>
      </c>
      <c r="B180" s="14" t="n">
        <f aca="false">0.0022+0.007</f>
        <v>0.0092</v>
      </c>
    </row>
    <row r="181" customFormat="false" ht="12.75" hidden="false" customHeight="false" outlineLevel="0" collapsed="false">
      <c r="A181" s="17" t="n">
        <v>0.0699</v>
      </c>
      <c r="B181" s="16" t="n">
        <f aca="false">(B4)/(1-A181)-B4</f>
        <v>0.384032899688205</v>
      </c>
    </row>
    <row r="182" customFormat="false" ht="12.75" hidden="false" customHeight="false" outlineLevel="0" collapsed="false">
      <c r="A182" s="385"/>
      <c r="B182" s="20" t="n">
        <f aca="false">SUM(B179:B181)</f>
        <v>0.963332899688205</v>
      </c>
    </row>
    <row r="183" customFormat="false" ht="12.75" hidden="false" customHeight="false" outlineLevel="0" collapsed="false">
      <c r="A183" s="389" t="s">
        <v>471</v>
      </c>
      <c r="B183" s="432" t="s">
        <v>648</v>
      </c>
    </row>
    <row r="184" customFormat="false" ht="12.75" hidden="false" customHeight="false" outlineLevel="0" collapsed="false">
      <c r="A184" s="385" t="s">
        <v>6</v>
      </c>
      <c r="B184" s="380" t="n">
        <v>0.6906</v>
      </c>
    </row>
    <row r="185" customFormat="false" ht="12.75" hidden="false" customHeight="false" outlineLevel="0" collapsed="false">
      <c r="A185" s="385" t="s">
        <v>7</v>
      </c>
      <c r="B185" s="14" t="n">
        <f aca="false">0.0022+0.007</f>
        <v>0.0092</v>
      </c>
    </row>
    <row r="186" customFormat="false" ht="12.75" hidden="false" customHeight="false" outlineLevel="0" collapsed="false">
      <c r="A186" s="17" t="n">
        <v>0.0782</v>
      </c>
      <c r="B186" s="16" t="n">
        <f aca="false">(B3)/(1-A186)-B3</f>
        <v>0.429684313300066</v>
      </c>
    </row>
    <row r="187" customFormat="false" ht="12.75" hidden="false" customHeight="false" outlineLevel="0" collapsed="false">
      <c r="A187" s="385"/>
      <c r="B187" s="20" t="n">
        <f aca="false">SUM(B184:B186)</f>
        <v>1.12948431330007</v>
      </c>
      <c r="E187" s="342"/>
    </row>
    <row r="188" customFormat="false" ht="12.75" hidden="false" customHeight="false" outlineLevel="0" collapsed="false">
      <c r="A188" s="389" t="s">
        <v>471</v>
      </c>
      <c r="B188" s="432" t="s">
        <v>649</v>
      </c>
      <c r="E188" s="342"/>
    </row>
    <row r="189" customFormat="false" ht="12.75" hidden="false" customHeight="false" outlineLevel="0" collapsed="false">
      <c r="A189" s="385" t="s">
        <v>6</v>
      </c>
      <c r="B189" s="380" t="n">
        <v>0.3192</v>
      </c>
      <c r="E189" s="342"/>
    </row>
    <row r="190" customFormat="false" ht="12.75" hidden="false" customHeight="false" outlineLevel="0" collapsed="false">
      <c r="A190" s="385" t="s">
        <v>7</v>
      </c>
      <c r="B190" s="14" t="n">
        <f aca="false">0.0022+0.007</f>
        <v>0.0092</v>
      </c>
    </row>
    <row r="191" customFormat="false" ht="12.75" hidden="false" customHeight="false" outlineLevel="0" collapsed="false">
      <c r="A191" s="17" t="n">
        <v>0.0217</v>
      </c>
      <c r="B191" s="16" t="n">
        <f aca="false">(B5)/(1-A191)-B5</f>
        <v>0.123993662475724</v>
      </c>
      <c r="E191" s="342"/>
    </row>
    <row r="192" customFormat="false" ht="12.75" hidden="false" customHeight="false" outlineLevel="0" collapsed="false">
      <c r="A192" s="385"/>
      <c r="B192" s="20" t="n">
        <f aca="false">SUM(B189:B191)</f>
        <v>0.452393662475724</v>
      </c>
      <c r="E192" s="342"/>
    </row>
    <row r="193" customFormat="false" ht="12.75" hidden="false" customHeight="false" outlineLevel="0" collapsed="false">
      <c r="A193" s="389" t="s">
        <v>471</v>
      </c>
      <c r="B193" s="432" t="s">
        <v>650</v>
      </c>
      <c r="E193" s="342"/>
    </row>
    <row r="194" customFormat="false" ht="12.75" hidden="false" customHeight="false" outlineLevel="0" collapsed="false">
      <c r="A194" s="385" t="s">
        <v>6</v>
      </c>
      <c r="B194" s="380" t="n">
        <v>0.3699</v>
      </c>
    </row>
    <row r="195" customFormat="false" ht="12.75" hidden="false" customHeight="false" outlineLevel="0" collapsed="false">
      <c r="A195" s="385" t="s">
        <v>7</v>
      </c>
      <c r="B195" s="14" t="n">
        <f aca="false">0.0022+0.007</f>
        <v>0.0092</v>
      </c>
    </row>
    <row r="196" customFormat="false" ht="12.75" hidden="false" customHeight="false" outlineLevel="0" collapsed="false">
      <c r="A196" s="17" t="n">
        <v>0.0314</v>
      </c>
      <c r="B196" s="16" t="e">
        <f aca="false">(#REF!)/(1-A196)-#REF!</f>
        <v>#REF!</v>
      </c>
    </row>
    <row r="197" customFormat="false" ht="12.75" hidden="false" customHeight="false" outlineLevel="0" collapsed="false">
      <c r="A197" s="385"/>
      <c r="B197" s="20" t="e">
        <f aca="false">SUM(B194:B196)</f>
        <v>#REF!</v>
      </c>
    </row>
    <row r="198" customFormat="false" ht="12.75" hidden="false" customHeight="false" outlineLevel="0" collapsed="false">
      <c r="A198" s="389" t="s">
        <v>471</v>
      </c>
      <c r="B198" s="432" t="s">
        <v>651</v>
      </c>
    </row>
    <row r="199" customFormat="false" ht="12.75" hidden="false" customHeight="false" outlineLevel="0" collapsed="false">
      <c r="A199" s="385" t="s">
        <v>6</v>
      </c>
      <c r="B199" s="380" t="n">
        <v>0.197</v>
      </c>
    </row>
    <row r="200" customFormat="false" ht="12.75" hidden="false" customHeight="false" outlineLevel="0" collapsed="false">
      <c r="A200" s="385" t="s">
        <v>7</v>
      </c>
      <c r="B200" s="14" t="n">
        <f aca="false">0.0022+0.007</f>
        <v>0.0092</v>
      </c>
      <c r="J200" s="471"/>
      <c r="K200" s="471"/>
    </row>
    <row r="201" customFormat="false" ht="12.75" hidden="false" customHeight="false" outlineLevel="0" collapsed="false">
      <c r="A201" s="17" t="n">
        <v>0.0116</v>
      </c>
      <c r="B201" s="16" t="n">
        <f aca="false">(B5)/(1-A201)-B5</f>
        <v>0.0656050182112509</v>
      </c>
    </row>
    <row r="202" customFormat="false" ht="12.75" hidden="false" customHeight="false" outlineLevel="0" collapsed="false">
      <c r="A202" s="385"/>
      <c r="B202" s="20" t="n">
        <f aca="false">SUM(B199:B201)</f>
        <v>0.271805018211251</v>
      </c>
    </row>
    <row r="203" customFormat="false" ht="12.75" hidden="false" customHeight="false" outlineLevel="0" collapsed="false">
      <c r="A203" s="389" t="s">
        <v>471</v>
      </c>
      <c r="B203" s="432" t="s">
        <v>652</v>
      </c>
    </row>
    <row r="204" customFormat="false" ht="12.75" hidden="false" customHeight="false" outlineLevel="0" collapsed="false">
      <c r="A204" s="385" t="s">
        <v>6</v>
      </c>
      <c r="B204" s="380" t="n">
        <f aca="false">0.1786-0.0022</f>
        <v>0.1764</v>
      </c>
    </row>
    <row r="205" customFormat="false" ht="12.75" hidden="false" customHeight="false" outlineLevel="0" collapsed="false">
      <c r="A205" s="385" t="s">
        <v>7</v>
      </c>
      <c r="B205" s="14" t="n">
        <f aca="false">0.0022+0.007</f>
        <v>0.0092</v>
      </c>
    </row>
    <row r="206" customFormat="false" ht="12.75" hidden="false" customHeight="false" outlineLevel="0" collapsed="false">
      <c r="A206" s="17" t="n">
        <v>0.0128</v>
      </c>
      <c r="B206" s="16" t="n">
        <f aca="false">(B5)/(1-A206)-B5</f>
        <v>0.0724797406807136</v>
      </c>
    </row>
    <row r="207" customFormat="false" ht="12.75" hidden="false" customHeight="false" outlineLevel="0" collapsed="false">
      <c r="A207" s="385"/>
      <c r="B207" s="20" t="n">
        <f aca="false">SUM(B204:B206)</f>
        <v>0.258079740680714</v>
      </c>
    </row>
    <row r="208" customFormat="false" ht="12.75" hidden="false" customHeight="false" outlineLevel="0" collapsed="false">
      <c r="A208" s="389" t="s">
        <v>471</v>
      </c>
      <c r="B208" s="432" t="s">
        <v>653</v>
      </c>
    </row>
    <row r="209" customFormat="false" ht="12.75" hidden="false" customHeight="false" outlineLevel="0" collapsed="false">
      <c r="A209" s="385" t="s">
        <v>6</v>
      </c>
      <c r="B209" s="380" t="n">
        <v>0.2808</v>
      </c>
    </row>
    <row r="210" customFormat="false" ht="12.75" hidden="false" customHeight="false" outlineLevel="0" collapsed="false">
      <c r="A210" s="385" t="s">
        <v>7</v>
      </c>
      <c r="B210" s="14" t="n">
        <f aca="false">0.0022+0.007</f>
        <v>0.0092</v>
      </c>
    </row>
    <row r="211" customFormat="false" ht="12.75" hidden="false" customHeight="false" outlineLevel="0" collapsed="false">
      <c r="A211" s="17" t="n">
        <v>0.0209</v>
      </c>
      <c r="B211" s="16" t="n">
        <f aca="false">(B5)/(1-A211)-B5</f>
        <v>0.119324890205291</v>
      </c>
    </row>
    <row r="212" customFormat="false" ht="12.75" hidden="false" customHeight="false" outlineLevel="0" collapsed="false">
      <c r="A212" s="385"/>
      <c r="B212" s="20" t="n">
        <f aca="false">SUM(B209:B211)</f>
        <v>0.409324890205291</v>
      </c>
    </row>
    <row r="213" customFormat="false" ht="12.75" hidden="false" customHeight="false" outlineLevel="0" collapsed="false">
      <c r="A213" s="389" t="s">
        <v>471</v>
      </c>
      <c r="B213" s="432" t="s">
        <v>654</v>
      </c>
    </row>
    <row r="214" customFormat="false" ht="12.75" hidden="false" customHeight="false" outlineLevel="0" collapsed="false">
      <c r="A214" s="385" t="s">
        <v>6</v>
      </c>
      <c r="B214" s="380" t="n">
        <v>0.4898</v>
      </c>
    </row>
    <row r="215" customFormat="false" ht="12.75" hidden="false" customHeight="false" outlineLevel="0" collapsed="false">
      <c r="A215" s="385" t="s">
        <v>7</v>
      </c>
      <c r="B215" s="14" t="n">
        <f aca="false">0.0022+0.007</f>
        <v>0.0092</v>
      </c>
    </row>
    <row r="216" customFormat="false" ht="12.75" hidden="false" customHeight="false" outlineLevel="0" collapsed="false">
      <c r="A216" s="17" t="n">
        <v>0.0456</v>
      </c>
      <c r="B216" s="16" t="n">
        <f aca="false">(B5)/(1-A216)-B5</f>
        <v>0.267082984073763</v>
      </c>
    </row>
    <row r="217" customFormat="false" ht="12.75" hidden="false" customHeight="false" outlineLevel="0" collapsed="false">
      <c r="A217" s="385"/>
      <c r="B217" s="20" t="n">
        <f aca="false">SUM(B214:B216)</f>
        <v>0.766082984073763</v>
      </c>
    </row>
    <row r="218" customFormat="false" ht="12.75" hidden="false" customHeight="false" outlineLevel="0" collapsed="false">
      <c r="A218" s="389" t="s">
        <v>471</v>
      </c>
      <c r="B218" s="432" t="s">
        <v>655</v>
      </c>
    </row>
    <row r="219" customFormat="false" ht="12.75" hidden="false" customHeight="false" outlineLevel="0" collapsed="false">
      <c r="A219" s="385" t="s">
        <v>6</v>
      </c>
      <c r="B219" s="380" t="n">
        <v>0.3192</v>
      </c>
    </row>
    <row r="220" customFormat="false" ht="12.75" hidden="false" customHeight="false" outlineLevel="0" collapsed="false">
      <c r="A220" s="385" t="s">
        <v>7</v>
      </c>
      <c r="B220" s="14" t="n">
        <f aca="false">0.0022+0.007</f>
        <v>0.0092</v>
      </c>
    </row>
    <row r="221" customFormat="false" ht="12.75" hidden="false" customHeight="false" outlineLevel="0" collapsed="false">
      <c r="A221" s="17" t="n">
        <v>0.025</v>
      </c>
      <c r="B221" s="16" t="n">
        <f aca="false">(B5)/(1-A221)-B5</f>
        <v>0.143333333333334</v>
      </c>
    </row>
    <row r="222" customFormat="false" ht="12.75" hidden="false" customHeight="false" outlineLevel="0" collapsed="false">
      <c r="A222" s="385"/>
      <c r="B222" s="20" t="n">
        <f aca="false">SUM(B219:B221)</f>
        <v>0.471733333333334</v>
      </c>
    </row>
    <row r="223" customFormat="false" ht="12.75" hidden="false" customHeight="false" outlineLevel="0" collapsed="false">
      <c r="A223" s="389" t="s">
        <v>471</v>
      </c>
      <c r="B223" s="432" t="s">
        <v>656</v>
      </c>
    </row>
    <row r="224" customFormat="false" ht="12.75" hidden="false" customHeight="false" outlineLevel="0" collapsed="false">
      <c r="A224" s="385" t="s">
        <v>6</v>
      </c>
      <c r="B224" s="380" t="n">
        <v>0.2808</v>
      </c>
    </row>
    <row r="225" customFormat="false" ht="12.75" hidden="false" customHeight="false" outlineLevel="0" collapsed="false">
      <c r="A225" s="385" t="s">
        <v>7</v>
      </c>
      <c r="B225" s="14" t="n">
        <f aca="false">0.0022+0.007</f>
        <v>0.0092</v>
      </c>
    </row>
    <row r="226" customFormat="false" ht="12.75" hidden="false" customHeight="false" outlineLevel="0" collapsed="false">
      <c r="A226" s="17" t="n">
        <v>0.014</v>
      </c>
      <c r="B226" s="16" t="n">
        <f aca="false">(B5)/(1-A226)-B5</f>
        <v>0.0793711967545638</v>
      </c>
    </row>
    <row r="227" customFormat="false" ht="12.75" hidden="false" customHeight="false" outlineLevel="0" collapsed="false">
      <c r="A227" s="385"/>
      <c r="B227" s="20" t="n">
        <f aca="false">SUM(B224:B226)</f>
        <v>0.369371196754564</v>
      </c>
    </row>
    <row r="228" customFormat="false" ht="12.75" hidden="false" customHeight="false" outlineLevel="0" collapsed="false">
      <c r="A228" s="389" t="s">
        <v>471</v>
      </c>
      <c r="B228" s="432" t="s">
        <v>657</v>
      </c>
      <c r="D228" s="472" t="n">
        <f aca="false">+E228/(1-A243)</f>
        <v>20574.015019031</v>
      </c>
      <c r="E228" s="8" t="n">
        <v>20000</v>
      </c>
    </row>
    <row r="229" customFormat="false" ht="12.75" hidden="false" customHeight="false" outlineLevel="0" collapsed="false">
      <c r="A229" s="385" t="s">
        <v>6</v>
      </c>
      <c r="B229" s="380" t="n">
        <v>0.2103</v>
      </c>
    </row>
    <row r="230" customFormat="false" ht="12.75" hidden="false" customHeight="false" outlineLevel="0" collapsed="false">
      <c r="A230" s="385" t="s">
        <v>7</v>
      </c>
      <c r="B230" s="14" t="n">
        <f aca="false">0.0022+0.007</f>
        <v>0.0092</v>
      </c>
    </row>
    <row r="231" customFormat="false" ht="12.75" hidden="false" customHeight="false" outlineLevel="0" collapsed="false">
      <c r="A231" s="17" t="n">
        <v>0.0089</v>
      </c>
      <c r="B231" s="16" t="n">
        <f aca="false">(B5)/(1-A231)-B5</f>
        <v>0.0501977600645747</v>
      </c>
    </row>
    <row r="232" customFormat="false" ht="12.75" hidden="false" customHeight="false" outlineLevel="0" collapsed="false">
      <c r="A232" s="385"/>
      <c r="B232" s="20" t="n">
        <f aca="false">SUM(B229:B231)</f>
        <v>0.269697760064575</v>
      </c>
    </row>
    <row r="233" customFormat="false" ht="12.75" hidden="false" customHeight="false" outlineLevel="0" collapsed="false">
      <c r="A233" s="92" t="s">
        <v>658</v>
      </c>
      <c r="B233" s="92"/>
    </row>
    <row r="234" customFormat="false" ht="12.75" hidden="false" customHeight="false" outlineLevel="0" collapsed="false">
      <c r="A234" s="434" t="s">
        <v>471</v>
      </c>
      <c r="B234" s="435" t="s">
        <v>659</v>
      </c>
      <c r="C234" s="337"/>
    </row>
    <row r="235" customFormat="false" ht="12.75" hidden="false" customHeight="false" outlineLevel="0" collapsed="false">
      <c r="A235" s="436" t="s">
        <v>6</v>
      </c>
      <c r="B235" s="437" t="n">
        <v>0.0213</v>
      </c>
      <c r="C235" s="337"/>
    </row>
    <row r="236" customFormat="false" ht="12.75" hidden="false" customHeight="false" outlineLevel="0" collapsed="false">
      <c r="A236" s="436" t="s">
        <v>7</v>
      </c>
      <c r="B236" s="438" t="n">
        <v>0</v>
      </c>
      <c r="C236" s="337"/>
    </row>
    <row r="237" customFormat="false" ht="12.75" hidden="false" customHeight="false" outlineLevel="0" collapsed="false">
      <c r="A237" s="439" t="n">
        <v>0.0089</v>
      </c>
      <c r="B237" s="440" t="n">
        <f aca="false">(B$3)/(1-A237)-B$3</f>
        <v>0.0454833013823022</v>
      </c>
      <c r="C237" s="337"/>
    </row>
    <row r="238" customFormat="false" ht="12.75" hidden="false" customHeight="false" outlineLevel="0" collapsed="false">
      <c r="A238" s="436"/>
      <c r="B238" s="441" t="n">
        <f aca="false">SUM(B235:B237)</f>
        <v>0.0667833013823022</v>
      </c>
      <c r="C238" s="337"/>
    </row>
    <row r="239" customFormat="false" ht="12.75" hidden="false" customHeight="false" outlineLevel="0" collapsed="false">
      <c r="A239" s="442"/>
      <c r="B239" s="442"/>
      <c r="C239" s="337"/>
    </row>
    <row r="240" customFormat="false" ht="12.75" hidden="false" customHeight="false" outlineLevel="0" collapsed="false">
      <c r="A240" s="434" t="s">
        <v>471</v>
      </c>
      <c r="B240" s="435" t="s">
        <v>660</v>
      </c>
      <c r="C240" s="337"/>
      <c r="D240" s="472" t="n">
        <f aca="false">+E240/(1-A255)</f>
        <v>10624.7343816405</v>
      </c>
      <c r="E240" s="8" t="n">
        <v>10000</v>
      </c>
    </row>
    <row r="241" customFormat="false" ht="12.75" hidden="false" customHeight="false" outlineLevel="0" collapsed="false">
      <c r="A241" s="436" t="s">
        <v>6</v>
      </c>
      <c r="B241" s="437" t="n">
        <v>0.025</v>
      </c>
      <c r="C241" s="337"/>
      <c r="D241" s="399" t="n">
        <f aca="false">+B256+B3</f>
        <v>5.40642796430089</v>
      </c>
    </row>
    <row r="242" customFormat="false" ht="12.75" hidden="false" customHeight="false" outlineLevel="0" collapsed="false">
      <c r="A242" s="436" t="s">
        <v>7</v>
      </c>
      <c r="B242" s="438" t="n">
        <v>0</v>
      </c>
      <c r="C242" s="337"/>
    </row>
    <row r="243" customFormat="false" ht="12.75" hidden="false" customHeight="false" outlineLevel="0" collapsed="false">
      <c r="A243" s="439" t="n">
        <v>0.0279</v>
      </c>
      <c r="B243" s="440" t="n">
        <f aca="false">(B$3)/(1-A243)-B$3</f>
        <v>0.145369303569592</v>
      </c>
      <c r="C243" s="337"/>
    </row>
    <row r="244" customFormat="false" ht="12.75" hidden="false" customHeight="false" outlineLevel="0" collapsed="false">
      <c r="A244" s="436"/>
      <c r="B244" s="441" t="n">
        <f aca="false">SUM(B241:B243)</f>
        <v>0.170369303569592</v>
      </c>
      <c r="C244" s="337"/>
    </row>
    <row r="245" customFormat="false" ht="12.75" hidden="false" customHeight="false" outlineLevel="0" collapsed="false">
      <c r="A245" s="443"/>
      <c r="B245" s="443"/>
      <c r="C245" s="337"/>
    </row>
    <row r="246" customFormat="false" ht="12.75" hidden="false" customHeight="false" outlineLevel="0" collapsed="false">
      <c r="A246" s="434" t="s">
        <v>471</v>
      </c>
      <c r="B246" s="435" t="s">
        <v>661</v>
      </c>
      <c r="C246" s="337"/>
    </row>
    <row r="247" customFormat="false" ht="12.75" hidden="false" customHeight="false" outlineLevel="0" collapsed="false">
      <c r="A247" s="436" t="s">
        <v>6</v>
      </c>
      <c r="B247" s="437" t="n">
        <v>0.025</v>
      </c>
      <c r="C247" s="337"/>
    </row>
    <row r="248" customFormat="false" ht="12.75" hidden="false" customHeight="false" outlineLevel="0" collapsed="false">
      <c r="A248" s="436" t="s">
        <v>7</v>
      </c>
      <c r="B248" s="438" t="n">
        <v>0</v>
      </c>
      <c r="C248" s="337"/>
    </row>
    <row r="249" customFormat="false" ht="12.75" hidden="false" customHeight="false" outlineLevel="0" collapsed="false">
      <c r="A249" s="439" t="n">
        <v>0.0516</v>
      </c>
      <c r="B249" s="440" t="n">
        <f aca="false">(B$3)/(1-A249)-B$3</f>
        <v>0.275573597638127</v>
      </c>
      <c r="C249" s="337"/>
    </row>
    <row r="250" customFormat="false" ht="12.75" hidden="false" customHeight="false" outlineLevel="0" collapsed="false">
      <c r="A250" s="436"/>
      <c r="B250" s="441" t="n">
        <f aca="false">SUM(B247:B249)</f>
        <v>0.300573597638127</v>
      </c>
      <c r="C250" s="337"/>
    </row>
    <row r="251" customFormat="false" ht="12.75" hidden="false" customHeight="false" outlineLevel="0" collapsed="false">
      <c r="A251" s="443"/>
      <c r="B251" s="443"/>
      <c r="C251" s="337"/>
    </row>
    <row r="252" customFormat="false" ht="12.75" hidden="false" customHeight="false" outlineLevel="0" collapsed="false">
      <c r="A252" s="434" t="s">
        <v>471</v>
      </c>
      <c r="B252" s="435" t="s">
        <v>662</v>
      </c>
      <c r="C252" s="337"/>
    </row>
    <row r="253" customFormat="false" ht="12.75" hidden="false" customHeight="false" outlineLevel="0" collapsed="false">
      <c r="A253" s="436" t="s">
        <v>6</v>
      </c>
      <c r="B253" s="437" t="n">
        <v>0.025</v>
      </c>
      <c r="C253" s="337"/>
    </row>
    <row r="254" customFormat="false" ht="12.75" hidden="false" customHeight="false" outlineLevel="0" collapsed="false">
      <c r="A254" s="436" t="s">
        <v>7</v>
      </c>
      <c r="B254" s="438" t="n">
        <v>0</v>
      </c>
      <c r="C254" s="337"/>
    </row>
    <row r="255" customFormat="false" ht="12.75" hidden="false" customHeight="false" outlineLevel="0" collapsed="false">
      <c r="A255" s="439" t="n">
        <v>0.0588</v>
      </c>
      <c r="B255" s="440" t="n">
        <f aca="false">(B$3)/(1-A255)-B$3</f>
        <v>0.316427964300893</v>
      </c>
      <c r="C255" s="337"/>
    </row>
    <row r="256" customFormat="false" ht="12.75" hidden="false" customHeight="false" outlineLevel="0" collapsed="false">
      <c r="A256" s="436"/>
      <c r="B256" s="441" t="n">
        <f aca="false">SUM(B253:B255)</f>
        <v>0.341427964300893</v>
      </c>
      <c r="C256" s="337"/>
    </row>
    <row r="257" customFormat="false" ht="12.75" hidden="false" customHeight="false" outlineLevel="0" collapsed="false">
      <c r="A257" s="443"/>
      <c r="B257" s="443"/>
      <c r="C257" s="337"/>
    </row>
    <row r="258" customFormat="false" ht="12.75" hidden="false" customHeight="false" outlineLevel="0" collapsed="false">
      <c r="A258" s="434" t="s">
        <v>471</v>
      </c>
      <c r="B258" s="435" t="s">
        <v>663</v>
      </c>
      <c r="C258" s="337"/>
    </row>
    <row r="259" customFormat="false" ht="12.75" hidden="false" customHeight="false" outlineLevel="0" collapsed="false">
      <c r="A259" s="436" t="s">
        <v>6</v>
      </c>
      <c r="B259" s="437" t="n">
        <v>0.025</v>
      </c>
      <c r="C259" s="337"/>
    </row>
    <row r="260" customFormat="false" ht="12.75" hidden="false" customHeight="false" outlineLevel="0" collapsed="false">
      <c r="A260" s="436" t="s">
        <v>7</v>
      </c>
      <c r="B260" s="438" t="n">
        <v>0</v>
      </c>
      <c r="C260" s="337"/>
    </row>
    <row r="261" customFormat="false" ht="12.75" hidden="false" customHeight="false" outlineLevel="0" collapsed="false">
      <c r="A261" s="439" t="n">
        <v>0.0101</v>
      </c>
      <c r="B261" s="440" t="n">
        <f aca="false">(B$4)/(1-A261)-B$4</f>
        <v>0.052137589655521</v>
      </c>
      <c r="C261" s="337"/>
    </row>
    <row r="262" customFormat="false" ht="12.75" hidden="false" customHeight="false" outlineLevel="0" collapsed="false">
      <c r="A262" s="436"/>
      <c r="B262" s="441" t="n">
        <f aca="false">SUM(B259:B261)</f>
        <v>0.077137589655521</v>
      </c>
      <c r="C262" s="337"/>
    </row>
    <row r="263" customFormat="false" ht="12.75" hidden="false" customHeight="false" outlineLevel="0" collapsed="false">
      <c r="A263" s="443"/>
      <c r="B263" s="443"/>
      <c r="C263" s="337"/>
    </row>
    <row r="264" customFormat="false" ht="12.75" hidden="false" customHeight="false" outlineLevel="0" collapsed="false">
      <c r="A264" s="434" t="s">
        <v>471</v>
      </c>
      <c r="B264" s="435" t="s">
        <v>664</v>
      </c>
      <c r="C264" s="337"/>
    </row>
    <row r="265" customFormat="false" ht="12.75" hidden="false" customHeight="false" outlineLevel="0" collapsed="false">
      <c r="A265" s="436" t="s">
        <v>6</v>
      </c>
      <c r="B265" s="437" t="n">
        <v>0.025</v>
      </c>
      <c r="C265" s="337"/>
      <c r="D265" s="473" t="n">
        <f aca="false">+B280+B4</f>
        <v>5.40338122302916</v>
      </c>
    </row>
    <row r="266" customFormat="false" ht="12.75" hidden="false" customHeight="false" outlineLevel="0" collapsed="false">
      <c r="A266" s="436" t="s">
        <v>7</v>
      </c>
      <c r="B266" s="438" t="n">
        <v>0</v>
      </c>
      <c r="C266" s="337"/>
    </row>
    <row r="267" customFormat="false" ht="12.75" hidden="false" customHeight="false" outlineLevel="0" collapsed="false">
      <c r="A267" s="439" t="n">
        <v>0.0191</v>
      </c>
      <c r="B267" s="440" t="n">
        <f aca="false">(B$4)/(1-A267)-B$4</f>
        <v>0.0995014782342745</v>
      </c>
      <c r="C267" s="337"/>
    </row>
    <row r="268" customFormat="false" ht="12.75" hidden="false" customHeight="false" outlineLevel="0" collapsed="false">
      <c r="A268" s="436"/>
      <c r="B268" s="441" t="n">
        <f aca="false">SUM(B265:B267)</f>
        <v>0.124501478234274</v>
      </c>
      <c r="C268" s="337"/>
    </row>
    <row r="269" customFormat="false" ht="12.75" hidden="false" customHeight="false" outlineLevel="0" collapsed="false">
      <c r="A269" s="443"/>
      <c r="B269" s="443"/>
      <c r="C269" s="337"/>
    </row>
    <row r="270" customFormat="false" ht="12.75" hidden="false" customHeight="false" outlineLevel="0" collapsed="false">
      <c r="A270" s="434" t="s">
        <v>471</v>
      </c>
      <c r="B270" s="435" t="s">
        <v>665</v>
      </c>
      <c r="C270" s="337"/>
    </row>
    <row r="271" customFormat="false" ht="12.75" hidden="false" customHeight="false" outlineLevel="0" collapsed="false">
      <c r="A271" s="436" t="s">
        <v>6</v>
      </c>
      <c r="B271" s="437" t="n">
        <v>0.025</v>
      </c>
      <c r="C271" s="337"/>
    </row>
    <row r="272" customFormat="false" ht="12.75" hidden="false" customHeight="false" outlineLevel="0" collapsed="false">
      <c r="A272" s="436" t="s">
        <v>7</v>
      </c>
      <c r="B272" s="438" t="n">
        <v>0</v>
      </c>
      <c r="C272" s="337"/>
    </row>
    <row r="273" customFormat="false" ht="12.75" hidden="false" customHeight="false" outlineLevel="0" collapsed="false">
      <c r="A273" s="439" t="n">
        <v>0.0428</v>
      </c>
      <c r="B273" s="440" t="n">
        <f aca="false">(B$4)/(1-A273)-B$4</f>
        <v>0.228487254492268</v>
      </c>
      <c r="C273" s="337"/>
    </row>
    <row r="274" customFormat="false" ht="12.75" hidden="false" customHeight="false" outlineLevel="0" collapsed="false">
      <c r="A274" s="436"/>
      <c r="B274" s="441" t="n">
        <f aca="false">SUM(B271:B273)</f>
        <v>0.253487254492269</v>
      </c>
      <c r="C274" s="337"/>
    </row>
    <row r="275" customFormat="false" ht="12.75" hidden="false" customHeight="false" outlineLevel="0" collapsed="false">
      <c r="A275" s="443"/>
      <c r="B275" s="443"/>
      <c r="C275" s="337"/>
    </row>
    <row r="276" customFormat="false" ht="12.75" hidden="false" customHeight="false" outlineLevel="0" collapsed="false">
      <c r="A276" s="434" t="s">
        <v>471</v>
      </c>
      <c r="B276" s="435" t="s">
        <v>666</v>
      </c>
      <c r="C276" s="337"/>
    </row>
    <row r="277" customFormat="false" ht="12.75" hidden="false" customHeight="false" outlineLevel="0" collapsed="false">
      <c r="A277" s="436" t="s">
        <v>6</v>
      </c>
      <c r="B277" s="437" t="n">
        <v>0.025</v>
      </c>
      <c r="C277" s="337"/>
    </row>
    <row r="278" customFormat="false" ht="12.75" hidden="false" customHeight="false" outlineLevel="0" collapsed="false">
      <c r="A278" s="436" t="s">
        <v>7</v>
      </c>
      <c r="B278" s="438" t="n">
        <v>0</v>
      </c>
      <c r="C278" s="337"/>
    </row>
    <row r="279" customFormat="false" ht="12.75" hidden="false" customHeight="false" outlineLevel="0" collapsed="false">
      <c r="A279" s="439" t="n">
        <v>0.0499</v>
      </c>
      <c r="B279" s="440" t="n">
        <f aca="false">(B$4)/(1-A279)-B$4</f>
        <v>0.268381223029155</v>
      </c>
      <c r="C279" s="337"/>
    </row>
    <row r="280" customFormat="false" ht="12.75" hidden="false" customHeight="false" outlineLevel="0" collapsed="false">
      <c r="A280" s="436"/>
      <c r="B280" s="441" t="n">
        <f aca="false">SUM(B277:B279)</f>
        <v>0.293381223029155</v>
      </c>
      <c r="C280" s="337"/>
    </row>
  </sheetData>
  <mergeCells count="1"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67"/>
  <sheetViews>
    <sheetView showFormulas="false" showGridLines="true" showRowColHeaders="true" showZeros="true" rightToLeft="false" tabSelected="false" showOutlineSymbols="true" defaultGridColor="true" view="normal" topLeftCell="A125" colorId="64" zoomScale="100" zoomScaleNormal="100" zoomScalePageLayoutView="100" workbookViewId="0">
      <selection pane="topLeft" activeCell="G37" activeCellId="0" sqref="G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4.85"/>
    <col collapsed="false" customWidth="true" hidden="false" outlineLevel="0" max="6" min="6" style="0" width="11.85"/>
  </cols>
  <sheetData>
    <row r="1" customFormat="false" ht="12.75" hidden="false" customHeight="false" outlineLevel="0" collapsed="false">
      <c r="A1" s="474" t="s">
        <v>2</v>
      </c>
      <c r="C1" s="474"/>
    </row>
    <row r="3" customFormat="false" ht="12.75" hidden="false" customHeight="false" outlineLevel="0" collapsed="false">
      <c r="B3" s="0" t="s">
        <v>13</v>
      </c>
      <c r="G3" s="475"/>
    </row>
    <row r="5" customFormat="false" ht="12.75" hidden="false" customHeight="false" outlineLevel="0" collapsed="false">
      <c r="B5" s="0" t="s">
        <v>694</v>
      </c>
    </row>
    <row r="7" customFormat="false" ht="12.75" hidden="false" customHeight="false" outlineLevel="0" collapsed="false">
      <c r="C7" s="0" t="s">
        <v>695</v>
      </c>
    </row>
    <row r="8" customFormat="false" ht="12.75" hidden="false" customHeight="false" outlineLevel="0" collapsed="false">
      <c r="D8" s="0" t="s">
        <v>696</v>
      </c>
      <c r="E8" s="0" t="s">
        <v>697</v>
      </c>
      <c r="F8" s="2" t="n">
        <v>3.88</v>
      </c>
    </row>
    <row r="9" customFormat="false" ht="12.75" hidden="false" customHeight="false" outlineLevel="0" collapsed="false">
      <c r="D9" s="0" t="s">
        <v>695</v>
      </c>
      <c r="F9" s="476" t="n">
        <v>0.0333</v>
      </c>
    </row>
    <row r="10" customFormat="false" ht="12.75" hidden="false" customHeight="false" outlineLevel="0" collapsed="false">
      <c r="D10" s="0" t="s">
        <v>698</v>
      </c>
      <c r="F10" s="477" t="n">
        <v>0.0474045</v>
      </c>
      <c r="G10" s="0" t="s">
        <v>699</v>
      </c>
    </row>
    <row r="11" customFormat="false" ht="12.75" hidden="false" customHeight="false" outlineLevel="0" collapsed="false">
      <c r="D11" s="0" t="s">
        <v>700</v>
      </c>
      <c r="F11" s="391" t="n">
        <f aca="false">+F8/(1-F10)-F8</f>
        <v>0.193082436354151</v>
      </c>
    </row>
    <row r="12" customFormat="false" ht="13.5" hidden="false" customHeight="false" outlineLevel="0" collapsed="false">
      <c r="D12" s="0" t="s">
        <v>701</v>
      </c>
      <c r="F12" s="392" t="n">
        <f aca="false">+F11+F9</f>
        <v>0.226382436354151</v>
      </c>
    </row>
    <row r="13" customFormat="false" ht="13.5" hidden="false" customHeight="false" outlineLevel="0" collapsed="false"/>
    <row r="14" customFormat="false" ht="12.75" hidden="false" customHeight="false" outlineLevel="0" collapsed="false">
      <c r="C14" s="0" t="s">
        <v>702</v>
      </c>
    </row>
    <row r="15" customFormat="false" ht="12.75" hidden="false" customHeight="false" outlineLevel="0" collapsed="false">
      <c r="D15" s="0" t="s">
        <v>696</v>
      </c>
      <c r="E15" s="0" t="s">
        <v>697</v>
      </c>
      <c r="F15" s="2" t="n">
        <v>3.88</v>
      </c>
    </row>
    <row r="16" customFormat="false" ht="12.75" hidden="false" customHeight="false" outlineLevel="0" collapsed="false">
      <c r="D16" s="0" t="s">
        <v>702</v>
      </c>
      <c r="F16" s="476" t="n">
        <v>0.0325</v>
      </c>
    </row>
    <row r="17" customFormat="false" ht="12.75" hidden="false" customHeight="false" outlineLevel="0" collapsed="false">
      <c r="D17" s="0" t="s">
        <v>703</v>
      </c>
      <c r="F17" s="477" t="n">
        <v>0</v>
      </c>
    </row>
    <row r="18" customFormat="false" ht="12.75" hidden="false" customHeight="false" outlineLevel="0" collapsed="false">
      <c r="D18" s="0" t="s">
        <v>700</v>
      </c>
      <c r="F18" s="391" t="n">
        <f aca="false">+F15/(1-F17)-F15</f>
        <v>0</v>
      </c>
    </row>
    <row r="19" customFormat="false" ht="13.5" hidden="false" customHeight="false" outlineLevel="0" collapsed="false">
      <c r="D19" s="0" t="s">
        <v>701</v>
      </c>
      <c r="F19" s="392" t="n">
        <f aca="false">+F18+F16</f>
        <v>0.0325</v>
      </c>
    </row>
    <row r="20" customFormat="false" ht="13.5" hidden="false" customHeight="false" outlineLevel="0" collapsed="false"/>
    <row r="22" customFormat="false" ht="12.75" hidden="false" customHeight="false" outlineLevel="0" collapsed="false">
      <c r="B22" s="0" t="s">
        <v>704</v>
      </c>
    </row>
    <row r="24" customFormat="false" ht="12.75" hidden="false" customHeight="false" outlineLevel="0" collapsed="false">
      <c r="C24" s="0" t="s">
        <v>695</v>
      </c>
    </row>
    <row r="25" customFormat="false" ht="12.75" hidden="false" customHeight="false" outlineLevel="0" collapsed="false">
      <c r="D25" s="0" t="s">
        <v>696</v>
      </c>
      <c r="E25" s="0" t="s">
        <v>697</v>
      </c>
      <c r="F25" s="2" t="n">
        <v>2.2</v>
      </c>
    </row>
    <row r="26" customFormat="false" ht="12.75" hidden="false" customHeight="false" outlineLevel="0" collapsed="false">
      <c r="D26" s="0" t="s">
        <v>695</v>
      </c>
      <c r="F26" s="476" t="n">
        <v>0.0054</v>
      </c>
    </row>
    <row r="27" customFormat="false" ht="12.75" hidden="false" customHeight="false" outlineLevel="0" collapsed="false">
      <c r="D27" s="0" t="s">
        <v>698</v>
      </c>
      <c r="F27" s="477" t="n">
        <v>0.0198</v>
      </c>
    </row>
    <row r="28" customFormat="false" ht="12.75" hidden="false" customHeight="false" outlineLevel="0" collapsed="false">
      <c r="D28" s="0" t="s">
        <v>700</v>
      </c>
      <c r="F28" s="391" t="n">
        <f aca="false">+F25/(1-F27)-F25</f>
        <v>0.0444399102224038</v>
      </c>
    </row>
    <row r="29" customFormat="false" ht="13.5" hidden="false" customHeight="false" outlineLevel="0" collapsed="false">
      <c r="D29" s="0" t="s">
        <v>701</v>
      </c>
      <c r="F29" s="392" t="n">
        <f aca="false">+F28+F26</f>
        <v>0.0498399102224038</v>
      </c>
    </row>
    <row r="30" customFormat="false" ht="13.5" hidden="false" customHeight="false" outlineLevel="0" collapsed="false"/>
    <row r="31" customFormat="false" ht="12.75" hidden="false" customHeight="false" outlineLevel="0" collapsed="false">
      <c r="C31" s="0" t="s">
        <v>702</v>
      </c>
    </row>
    <row r="32" customFormat="false" ht="12.75" hidden="false" customHeight="false" outlineLevel="0" collapsed="false">
      <c r="D32" s="0" t="s">
        <v>696</v>
      </c>
      <c r="E32" s="0" t="s">
        <v>697</v>
      </c>
      <c r="F32" s="2" t="n">
        <v>1.95</v>
      </c>
    </row>
    <row r="33" customFormat="false" ht="12.75" hidden="false" customHeight="false" outlineLevel="0" collapsed="false">
      <c r="D33" s="0" t="s">
        <v>702</v>
      </c>
      <c r="F33" s="476" t="n">
        <v>0.0054</v>
      </c>
    </row>
    <row r="34" customFormat="false" ht="12.75" hidden="false" customHeight="false" outlineLevel="0" collapsed="false">
      <c r="D34" s="0" t="s">
        <v>703</v>
      </c>
      <c r="F34" s="477" t="n">
        <v>0</v>
      </c>
    </row>
    <row r="35" customFormat="false" ht="12.75" hidden="false" customHeight="false" outlineLevel="0" collapsed="false">
      <c r="D35" s="0" t="s">
        <v>700</v>
      </c>
      <c r="F35" s="391" t="n">
        <f aca="false">+F32/(1-F34)-F32</f>
        <v>0</v>
      </c>
    </row>
    <row r="36" customFormat="false" ht="13.5" hidden="false" customHeight="false" outlineLevel="0" collapsed="false">
      <c r="D36" s="0" t="s">
        <v>701</v>
      </c>
      <c r="F36" s="392" t="n">
        <f aca="false">+F35+F33</f>
        <v>0.0054</v>
      </c>
    </row>
    <row r="37" customFormat="false" ht="13.5" hidden="false" customHeight="false" outlineLevel="0" collapsed="false"/>
    <row r="39" customFormat="false" ht="12.75" hidden="false" customHeight="false" outlineLevel="0" collapsed="false">
      <c r="B39" s="0" t="s">
        <v>705</v>
      </c>
    </row>
    <row r="41" customFormat="false" ht="12.75" hidden="false" customHeight="false" outlineLevel="0" collapsed="false">
      <c r="C41" s="0" t="s">
        <v>695</v>
      </c>
    </row>
    <row r="42" customFormat="false" ht="12.75" hidden="false" customHeight="false" outlineLevel="0" collapsed="false">
      <c r="D42" s="0" t="s">
        <v>696</v>
      </c>
      <c r="E42" s="0" t="s">
        <v>697</v>
      </c>
      <c r="F42" s="2" t="n">
        <v>2.2</v>
      </c>
    </row>
    <row r="43" customFormat="false" ht="12.75" hidden="false" customHeight="false" outlineLevel="0" collapsed="false">
      <c r="D43" s="0" t="s">
        <v>695</v>
      </c>
      <c r="F43" s="476" t="n">
        <v>0.0219</v>
      </c>
    </row>
    <row r="44" customFormat="false" ht="12.75" hidden="false" customHeight="false" outlineLevel="0" collapsed="false">
      <c r="D44" s="0" t="s">
        <v>698</v>
      </c>
      <c r="F44" s="477" t="n">
        <v>0.02375</v>
      </c>
      <c r="G44" s="0" t="s">
        <v>706</v>
      </c>
    </row>
    <row r="45" customFormat="false" ht="12.75" hidden="false" customHeight="false" outlineLevel="0" collapsed="false">
      <c r="D45" s="0" t="s">
        <v>700</v>
      </c>
      <c r="F45" s="391" t="n">
        <f aca="false">+F42/(1-F44)-F42</f>
        <v>0.0535211267605633</v>
      </c>
    </row>
    <row r="46" customFormat="false" ht="13.5" hidden="false" customHeight="false" outlineLevel="0" collapsed="false">
      <c r="D46" s="0" t="s">
        <v>701</v>
      </c>
      <c r="F46" s="392" t="n">
        <f aca="false">+F45+F43</f>
        <v>0.0754211267605633</v>
      </c>
    </row>
    <row r="47" customFormat="false" ht="13.5" hidden="false" customHeight="false" outlineLevel="0" collapsed="false"/>
    <row r="48" customFormat="false" ht="12.75" hidden="false" customHeight="false" outlineLevel="0" collapsed="false">
      <c r="C48" s="0" t="s">
        <v>702</v>
      </c>
    </row>
    <row r="49" customFormat="false" ht="12.75" hidden="false" customHeight="false" outlineLevel="0" collapsed="false">
      <c r="D49" s="0" t="s">
        <v>696</v>
      </c>
      <c r="E49" s="0" t="s">
        <v>697</v>
      </c>
      <c r="F49" s="2" t="n">
        <v>1.95</v>
      </c>
    </row>
    <row r="50" customFormat="false" ht="12.75" hidden="false" customHeight="false" outlineLevel="0" collapsed="false">
      <c r="D50" s="0" t="s">
        <v>702</v>
      </c>
      <c r="F50" s="476" t="n">
        <v>0.0209</v>
      </c>
    </row>
    <row r="51" customFormat="false" ht="12.75" hidden="false" customHeight="false" outlineLevel="0" collapsed="false">
      <c r="D51" s="0" t="s">
        <v>703</v>
      </c>
      <c r="F51" s="477" t="n">
        <v>0.0047</v>
      </c>
    </row>
    <row r="52" customFormat="false" ht="12.75" hidden="false" customHeight="false" outlineLevel="0" collapsed="false">
      <c r="D52" s="0" t="s">
        <v>700</v>
      </c>
      <c r="F52" s="391" t="n">
        <f aca="false">+F49/(1-F51)-F49</f>
        <v>0.00920827891088116</v>
      </c>
    </row>
    <row r="53" customFormat="false" ht="13.5" hidden="false" customHeight="false" outlineLevel="0" collapsed="false">
      <c r="D53" s="0" t="s">
        <v>701</v>
      </c>
      <c r="F53" s="392" t="n">
        <f aca="false">+F52+F50</f>
        <v>0.0301082789108812</v>
      </c>
    </row>
    <row r="54" customFormat="false" ht="13.5" hidden="false" customHeight="false" outlineLevel="0" collapsed="false"/>
    <row r="55" customFormat="false" ht="12.75" hidden="false" customHeight="false" outlineLevel="0" collapsed="false">
      <c r="B55" s="0" t="s">
        <v>707</v>
      </c>
    </row>
    <row r="57" customFormat="false" ht="12.75" hidden="false" customHeight="false" outlineLevel="0" collapsed="false">
      <c r="C57" s="0" t="s">
        <v>695</v>
      </c>
    </row>
    <row r="58" customFormat="false" ht="12.75" hidden="false" customHeight="false" outlineLevel="0" collapsed="false">
      <c r="D58" s="0" t="s">
        <v>696</v>
      </c>
      <c r="E58" s="0" t="s">
        <v>697</v>
      </c>
      <c r="F58" s="2" t="n">
        <v>2.2</v>
      </c>
    </row>
    <row r="59" customFormat="false" ht="12.75" hidden="false" customHeight="false" outlineLevel="0" collapsed="false">
      <c r="D59" s="0" t="s">
        <v>695</v>
      </c>
      <c r="F59" s="476" t="n">
        <v>0.0334</v>
      </c>
      <c r="G59" s="0" t="s">
        <v>708</v>
      </c>
    </row>
    <row r="60" customFormat="false" ht="12.75" hidden="false" customHeight="false" outlineLevel="0" collapsed="false">
      <c r="D60" s="0" t="s">
        <v>709</v>
      </c>
      <c r="F60" s="476" t="n">
        <v>0.0727</v>
      </c>
      <c r="G60" s="0" t="s">
        <v>710</v>
      </c>
    </row>
    <row r="61" customFormat="false" ht="12.75" hidden="false" customHeight="false" outlineLevel="0" collapsed="false">
      <c r="D61" s="0" t="s">
        <v>698</v>
      </c>
      <c r="F61" s="477" t="n">
        <v>0</v>
      </c>
    </row>
    <row r="62" customFormat="false" ht="12.75" hidden="false" customHeight="false" outlineLevel="0" collapsed="false">
      <c r="D62" s="0" t="s">
        <v>700</v>
      </c>
      <c r="F62" s="391" t="n">
        <f aca="false">+F58/(1-F61)-F58</f>
        <v>0</v>
      </c>
    </row>
    <row r="63" customFormat="false" ht="13.5" hidden="false" customHeight="false" outlineLevel="0" collapsed="false">
      <c r="D63" s="0" t="s">
        <v>701</v>
      </c>
      <c r="F63" s="392" t="n">
        <f aca="false">SUM(F59:F60,F62)</f>
        <v>0.1061</v>
      </c>
    </row>
    <row r="64" customFormat="false" ht="13.5" hidden="false" customHeight="false" outlineLevel="0" collapsed="false"/>
    <row r="65" customFormat="false" ht="12.75" hidden="false" customHeight="false" outlineLevel="0" collapsed="false">
      <c r="C65" s="0" t="s">
        <v>702</v>
      </c>
    </row>
    <row r="66" customFormat="false" ht="12.75" hidden="false" customHeight="false" outlineLevel="0" collapsed="false">
      <c r="D66" s="0" t="s">
        <v>696</v>
      </c>
      <c r="E66" s="0" t="s">
        <v>697</v>
      </c>
      <c r="F66" s="2" t="n">
        <v>1.95</v>
      </c>
    </row>
    <row r="67" customFormat="false" ht="12.75" hidden="false" customHeight="false" outlineLevel="0" collapsed="false">
      <c r="D67" s="0" t="s">
        <v>709</v>
      </c>
      <c r="F67" s="476" t="n">
        <v>0.0727</v>
      </c>
      <c r="G67" s="0" t="s">
        <v>711</v>
      </c>
    </row>
    <row r="68" customFormat="false" ht="12.75" hidden="false" customHeight="false" outlineLevel="0" collapsed="false">
      <c r="D68" s="0" t="s">
        <v>702</v>
      </c>
      <c r="F68" s="476" t="n">
        <v>0.0264</v>
      </c>
      <c r="G68" s="0" t="s">
        <v>712</v>
      </c>
    </row>
    <row r="69" customFormat="false" ht="12.75" hidden="false" customHeight="false" outlineLevel="0" collapsed="false">
      <c r="D69" s="0" t="s">
        <v>703</v>
      </c>
      <c r="F69" s="477" t="n">
        <v>0</v>
      </c>
    </row>
    <row r="70" customFormat="false" ht="12.75" hidden="false" customHeight="false" outlineLevel="0" collapsed="false">
      <c r="D70" s="0" t="s">
        <v>700</v>
      </c>
      <c r="F70" s="391" t="n">
        <f aca="false">+F66/(1-F69)-F66</f>
        <v>0</v>
      </c>
    </row>
    <row r="71" customFormat="false" ht="13.5" hidden="false" customHeight="false" outlineLevel="0" collapsed="false">
      <c r="D71" s="0" t="s">
        <v>701</v>
      </c>
      <c r="F71" s="392" t="n">
        <f aca="false">SUM(F67:F68,F70)</f>
        <v>0.0991</v>
      </c>
    </row>
    <row r="72" customFormat="false" ht="13.5" hidden="false" customHeight="false" outlineLevel="0" collapsed="false"/>
    <row r="74" customFormat="false" ht="12.75" hidden="false" customHeight="false" outlineLevel="0" collapsed="false">
      <c r="B74" s="474" t="s">
        <v>713</v>
      </c>
    </row>
    <row r="76" customFormat="false" ht="12.75" hidden="false" customHeight="false" outlineLevel="0" collapsed="false">
      <c r="D76" s="0" t="s">
        <v>696</v>
      </c>
      <c r="E76" s="0" t="s">
        <v>697</v>
      </c>
      <c r="F76" s="2" t="n">
        <v>2.8</v>
      </c>
    </row>
    <row r="77" customFormat="false" ht="12.75" hidden="false" customHeight="false" outlineLevel="0" collapsed="false">
      <c r="D77" s="0" t="s">
        <v>489</v>
      </c>
      <c r="F77" s="476" t="n">
        <v>0.0057</v>
      </c>
    </row>
    <row r="78" customFormat="false" ht="12.75" hidden="false" customHeight="false" outlineLevel="0" collapsed="false">
      <c r="D78" s="0" t="s">
        <v>714</v>
      </c>
      <c r="F78" s="476" t="n">
        <f aca="false">0.0022+0.0075</f>
        <v>0.0097</v>
      </c>
      <c r="G78" s="0" t="s">
        <v>715</v>
      </c>
    </row>
    <row r="79" customFormat="false" ht="12.75" hidden="false" customHeight="false" outlineLevel="0" collapsed="false">
      <c r="D79" s="0" t="s">
        <v>344</v>
      </c>
      <c r="F79" s="477" t="n">
        <v>0.0072</v>
      </c>
    </row>
    <row r="80" customFormat="false" ht="12.75" hidden="false" customHeight="false" outlineLevel="0" collapsed="false">
      <c r="D80" s="0" t="s">
        <v>700</v>
      </c>
      <c r="F80" s="391" t="n">
        <f aca="false">+F76/(1-F79)-F76</f>
        <v>0.0203062046736502</v>
      </c>
    </row>
    <row r="81" customFormat="false" ht="13.5" hidden="false" customHeight="false" outlineLevel="0" collapsed="false">
      <c r="D81" s="0" t="s">
        <v>701</v>
      </c>
      <c r="F81" s="392" t="n">
        <f aca="false">SUM(F80,F78,F77)</f>
        <v>0.0357062046736502</v>
      </c>
    </row>
    <row r="82" customFormat="false" ht="13.5" hidden="false" customHeight="false" outlineLevel="0" collapsed="false"/>
    <row r="96" customFormat="false" ht="12.75" hidden="false" customHeight="false" outlineLevel="0" collapsed="false">
      <c r="A96" s="474" t="s">
        <v>58</v>
      </c>
    </row>
    <row r="98" customFormat="false" ht="12.75" hidden="false" customHeight="false" outlineLevel="0" collapsed="false">
      <c r="B98" s="0" t="s">
        <v>13</v>
      </c>
    </row>
    <row r="100" customFormat="false" ht="12.75" hidden="false" customHeight="false" outlineLevel="0" collapsed="false">
      <c r="B100" s="0" t="s">
        <v>716</v>
      </c>
    </row>
    <row r="101" customFormat="false" ht="12.75" hidden="false" customHeight="false" outlineLevel="0" collapsed="false">
      <c r="C101" s="0" t="s">
        <v>695</v>
      </c>
    </row>
    <row r="102" customFormat="false" ht="12.75" hidden="false" customHeight="false" outlineLevel="0" collapsed="false">
      <c r="D102" s="0" t="s">
        <v>696</v>
      </c>
      <c r="E102" s="0" t="s">
        <v>717</v>
      </c>
      <c r="F102" s="2" t="n">
        <f aca="false">0.18+2.27</f>
        <v>2.45</v>
      </c>
    </row>
    <row r="103" customFormat="false" ht="12.75" hidden="false" customHeight="false" outlineLevel="0" collapsed="false">
      <c r="D103" s="0" t="s">
        <v>695</v>
      </c>
      <c r="F103" s="476" t="n">
        <v>0.0162</v>
      </c>
    </row>
    <row r="104" customFormat="false" ht="12.75" hidden="false" customHeight="false" outlineLevel="0" collapsed="false">
      <c r="D104" s="0" t="s">
        <v>698</v>
      </c>
      <c r="F104" s="477" t="n">
        <v>0.0278</v>
      </c>
    </row>
    <row r="105" customFormat="false" ht="12.75" hidden="false" customHeight="false" outlineLevel="0" collapsed="false">
      <c r="D105" s="0" t="s">
        <v>700</v>
      </c>
      <c r="F105" s="391" t="n">
        <f aca="false">+F102/(1-F104)-F102</f>
        <v>0.0700576013166017</v>
      </c>
    </row>
    <row r="106" customFormat="false" ht="13.5" hidden="false" customHeight="false" outlineLevel="0" collapsed="false">
      <c r="D106" s="0" t="s">
        <v>701</v>
      </c>
      <c r="F106" s="392" t="n">
        <f aca="false">+F105+F103</f>
        <v>0.0862576013166017</v>
      </c>
    </row>
    <row r="107" customFormat="false" ht="13.5" hidden="false" customHeight="false" outlineLevel="0" collapsed="false"/>
    <row r="108" customFormat="false" ht="12.75" hidden="false" customHeight="false" outlineLevel="0" collapsed="false">
      <c r="C108" s="0" t="s">
        <v>702</v>
      </c>
    </row>
    <row r="109" customFormat="false" ht="12.75" hidden="false" customHeight="false" outlineLevel="0" collapsed="false">
      <c r="D109" s="0" t="s">
        <v>696</v>
      </c>
      <c r="E109" s="0" t="s">
        <v>717</v>
      </c>
      <c r="F109" s="2" t="n">
        <v>1.95</v>
      </c>
    </row>
    <row r="110" customFormat="false" ht="12.75" hidden="false" customHeight="false" outlineLevel="0" collapsed="false">
      <c r="D110" s="0" t="s">
        <v>702</v>
      </c>
      <c r="F110" s="476" t="n">
        <v>0.0147</v>
      </c>
    </row>
    <row r="111" customFormat="false" ht="12.75" hidden="false" customHeight="false" outlineLevel="0" collapsed="false">
      <c r="D111" s="0" t="s">
        <v>718</v>
      </c>
      <c r="F111" s="476" t="n">
        <v>-0.0006</v>
      </c>
    </row>
    <row r="112" customFormat="false" ht="12.75" hidden="false" customHeight="false" outlineLevel="0" collapsed="false">
      <c r="D112" s="0" t="s">
        <v>703</v>
      </c>
      <c r="F112" s="477" t="n">
        <v>0</v>
      </c>
    </row>
    <row r="113" customFormat="false" ht="12.75" hidden="false" customHeight="false" outlineLevel="0" collapsed="false">
      <c r="D113" s="0" t="s">
        <v>700</v>
      </c>
      <c r="F113" s="391" t="n">
        <f aca="false">+F109/(1-F112)-F109</f>
        <v>0</v>
      </c>
    </row>
    <row r="114" customFormat="false" ht="13.5" hidden="false" customHeight="false" outlineLevel="0" collapsed="false">
      <c r="D114" s="0" t="s">
        <v>701</v>
      </c>
      <c r="F114" s="392" t="n">
        <f aca="false">SUM(F110:F111,F113)</f>
        <v>0.0141</v>
      </c>
    </row>
    <row r="115" customFormat="false" ht="13.5" hidden="false" customHeight="false" outlineLevel="0" collapsed="false"/>
    <row r="116" customFormat="false" ht="12.75" hidden="false" customHeight="false" outlineLevel="0" collapsed="false">
      <c r="C116" s="0" t="s">
        <v>719</v>
      </c>
    </row>
    <row r="117" customFormat="false" ht="12.75" hidden="false" customHeight="false" outlineLevel="0" collapsed="false">
      <c r="C117" s="0" t="s">
        <v>720</v>
      </c>
    </row>
    <row r="121" customFormat="false" ht="12.75" hidden="false" customHeight="false" outlineLevel="0" collapsed="false">
      <c r="B121" s="474" t="s">
        <v>139</v>
      </c>
    </row>
    <row r="123" customFormat="false" ht="12.75" hidden="false" customHeight="false" outlineLevel="0" collapsed="false">
      <c r="B123" s="0" t="s">
        <v>13</v>
      </c>
    </row>
    <row r="125" customFormat="false" ht="12.75" hidden="false" customHeight="false" outlineLevel="0" collapsed="false">
      <c r="B125" s="0" t="s">
        <v>721</v>
      </c>
    </row>
    <row r="126" customFormat="false" ht="12.75" hidden="false" customHeight="false" outlineLevel="0" collapsed="false">
      <c r="C126" s="0" t="s">
        <v>695</v>
      </c>
    </row>
    <row r="127" customFormat="false" ht="12.75" hidden="false" customHeight="false" outlineLevel="0" collapsed="false">
      <c r="D127" s="0" t="s">
        <v>696</v>
      </c>
      <c r="E127" s="0" t="s">
        <v>717</v>
      </c>
      <c r="F127" s="2" t="n">
        <v>2.48</v>
      </c>
    </row>
    <row r="128" customFormat="false" ht="12.75" hidden="false" customHeight="false" outlineLevel="0" collapsed="false">
      <c r="D128" s="0" t="s">
        <v>695</v>
      </c>
      <c r="F128" s="476" t="n">
        <v>0.0089</v>
      </c>
    </row>
    <row r="129" customFormat="false" ht="12.75" hidden="false" customHeight="false" outlineLevel="0" collapsed="false">
      <c r="D129" s="0" t="s">
        <v>698</v>
      </c>
      <c r="F129" s="477" t="n">
        <v>0.0065</v>
      </c>
    </row>
    <row r="130" customFormat="false" ht="12.75" hidden="false" customHeight="false" outlineLevel="0" collapsed="false">
      <c r="D130" s="0" t="s">
        <v>700</v>
      </c>
      <c r="F130" s="391" t="n">
        <f aca="false">+F127/(1-F129)-F127</f>
        <v>0.0162254655259182</v>
      </c>
    </row>
    <row r="131" customFormat="false" ht="13.5" hidden="false" customHeight="false" outlineLevel="0" collapsed="false">
      <c r="D131" s="0" t="s">
        <v>701</v>
      </c>
      <c r="F131" s="392" t="n">
        <f aca="false">+F130+F128</f>
        <v>0.0251254655259182</v>
      </c>
    </row>
    <row r="132" customFormat="false" ht="13.5" hidden="false" customHeight="false" outlineLevel="0" collapsed="false"/>
    <row r="133" customFormat="false" ht="12.75" hidden="false" customHeight="false" outlineLevel="0" collapsed="false">
      <c r="B133" s="0" t="s">
        <v>722</v>
      </c>
    </row>
    <row r="134" customFormat="false" ht="12.75" hidden="false" customHeight="false" outlineLevel="0" collapsed="false">
      <c r="C134" s="0" t="s">
        <v>695</v>
      </c>
    </row>
    <row r="135" customFormat="false" ht="12.75" hidden="false" customHeight="false" outlineLevel="0" collapsed="false">
      <c r="D135" s="0" t="s">
        <v>696</v>
      </c>
      <c r="E135" s="0" t="s">
        <v>717</v>
      </c>
      <c r="F135" s="2" t="n">
        <v>2.48</v>
      </c>
    </row>
    <row r="136" customFormat="false" ht="12.75" hidden="false" customHeight="false" outlineLevel="0" collapsed="false">
      <c r="D136" s="0" t="s">
        <v>398</v>
      </c>
      <c r="F136" s="476" t="n">
        <v>0.0079</v>
      </c>
    </row>
    <row r="137" customFormat="false" ht="12.75" hidden="false" customHeight="false" outlineLevel="0" collapsed="false">
      <c r="D137" s="0" t="s">
        <v>491</v>
      </c>
      <c r="F137" s="476" t="n">
        <v>0.0022</v>
      </c>
    </row>
    <row r="138" customFormat="false" ht="12.75" hidden="false" customHeight="false" outlineLevel="0" collapsed="false">
      <c r="D138" s="0" t="s">
        <v>698</v>
      </c>
      <c r="F138" s="477" t="n">
        <v>0.0325</v>
      </c>
    </row>
    <row r="139" customFormat="false" ht="12.75" hidden="false" customHeight="false" outlineLevel="0" collapsed="false">
      <c r="D139" s="0" t="s">
        <v>700</v>
      </c>
      <c r="F139" s="478" t="n">
        <f aca="false">+F135/(1-F138)-F135</f>
        <v>0.0833074935400515</v>
      </c>
    </row>
    <row r="140" customFormat="false" ht="13.5" hidden="false" customHeight="false" outlineLevel="0" collapsed="false">
      <c r="D140" s="0" t="s">
        <v>701</v>
      </c>
      <c r="F140" s="392" t="n">
        <f aca="false">SUM(F136:F137,F139)</f>
        <v>0.0934074935400515</v>
      </c>
    </row>
    <row r="141" customFormat="false" ht="13.5" hidden="false" customHeight="false" outlineLevel="0" collapsed="false">
      <c r="F141" s="2"/>
    </row>
    <row r="142" customFormat="false" ht="12.75" hidden="false" customHeight="false" outlineLevel="0" collapsed="false">
      <c r="F142" s="2"/>
    </row>
    <row r="143" customFormat="false" ht="12.75" hidden="false" customHeight="false" outlineLevel="0" collapsed="false">
      <c r="B143" s="0" t="s">
        <v>721</v>
      </c>
    </row>
    <row r="144" customFormat="false" ht="12.75" hidden="false" customHeight="false" outlineLevel="0" collapsed="false">
      <c r="C144" s="0" t="s">
        <v>702</v>
      </c>
    </row>
    <row r="145" customFormat="false" ht="12.75" hidden="false" customHeight="false" outlineLevel="0" collapsed="false">
      <c r="D145" s="0" t="s">
        <v>696</v>
      </c>
      <c r="E145" s="0" t="s">
        <v>717</v>
      </c>
      <c r="F145" s="2" t="n">
        <v>1.95</v>
      </c>
    </row>
    <row r="146" customFormat="false" ht="12.75" hidden="false" customHeight="false" outlineLevel="0" collapsed="false">
      <c r="D146" s="0" t="s">
        <v>702</v>
      </c>
      <c r="F146" s="476" t="n">
        <v>0.0089</v>
      </c>
    </row>
    <row r="147" customFormat="false" ht="12.75" hidden="false" customHeight="false" outlineLevel="0" collapsed="false">
      <c r="D147" s="0" t="s">
        <v>703</v>
      </c>
      <c r="F147" s="477" t="n">
        <v>0</v>
      </c>
    </row>
    <row r="148" customFormat="false" ht="12.75" hidden="false" customHeight="false" outlineLevel="0" collapsed="false">
      <c r="D148" s="0" t="s">
        <v>700</v>
      </c>
      <c r="F148" s="391" t="n">
        <f aca="false">+F145/(1-F147)-F145</f>
        <v>0</v>
      </c>
    </row>
    <row r="149" customFormat="false" ht="13.5" hidden="false" customHeight="false" outlineLevel="0" collapsed="false">
      <c r="D149" s="0" t="s">
        <v>701</v>
      </c>
      <c r="F149" s="392" t="n">
        <f aca="false">SUM(F146,F148)</f>
        <v>0.0089</v>
      </c>
    </row>
    <row r="150" customFormat="false" ht="13.5" hidden="false" customHeight="false" outlineLevel="0" collapsed="false"/>
    <row r="151" customFormat="false" ht="12.75" hidden="false" customHeight="false" outlineLevel="0" collapsed="false">
      <c r="B151" s="0" t="s">
        <v>722</v>
      </c>
    </row>
    <row r="152" customFormat="false" ht="12.75" hidden="false" customHeight="false" outlineLevel="0" collapsed="false">
      <c r="C152" s="0" t="s">
        <v>702</v>
      </c>
    </row>
    <row r="153" customFormat="false" ht="12.75" hidden="false" customHeight="false" outlineLevel="0" collapsed="false">
      <c r="D153" s="0" t="s">
        <v>696</v>
      </c>
      <c r="E153" s="0" t="s">
        <v>717</v>
      </c>
      <c r="F153" s="2" t="n">
        <v>2.48</v>
      </c>
    </row>
    <row r="154" customFormat="false" ht="12.75" hidden="false" customHeight="false" outlineLevel="0" collapsed="false">
      <c r="D154" s="0" t="s">
        <v>398</v>
      </c>
      <c r="F154" s="476" t="n">
        <v>0.0079</v>
      </c>
    </row>
    <row r="155" customFormat="false" ht="12.75" hidden="false" customHeight="false" outlineLevel="0" collapsed="false">
      <c r="D155" s="0" t="s">
        <v>491</v>
      </c>
      <c r="F155" s="476" t="n">
        <v>0.0022</v>
      </c>
    </row>
    <row r="156" customFormat="false" ht="12.75" hidden="false" customHeight="false" outlineLevel="0" collapsed="false">
      <c r="D156" s="0" t="s">
        <v>703</v>
      </c>
      <c r="F156" s="477" t="n">
        <v>0</v>
      </c>
    </row>
    <row r="157" customFormat="false" ht="12.75" hidden="false" customHeight="false" outlineLevel="0" collapsed="false">
      <c r="D157" s="0" t="s">
        <v>700</v>
      </c>
      <c r="F157" s="478" t="n">
        <f aca="false">+F153/(1-F156)-F153</f>
        <v>0</v>
      </c>
    </row>
    <row r="158" customFormat="false" ht="13.5" hidden="false" customHeight="false" outlineLevel="0" collapsed="false">
      <c r="D158" s="0" t="s">
        <v>701</v>
      </c>
      <c r="F158" s="392" t="n">
        <f aca="false">SUM(F154:F155,F157)</f>
        <v>0.0101</v>
      </c>
    </row>
    <row r="159" customFormat="false" ht="13.5" hidden="false" customHeight="false" outlineLevel="0" collapsed="false"/>
    <row r="161" customFormat="false" ht="12.75" hidden="false" customHeight="false" outlineLevel="0" collapsed="false">
      <c r="C161" s="479"/>
      <c r="D161" s="479"/>
      <c r="E161" s="479"/>
      <c r="F161" s="479"/>
      <c r="G161" s="479"/>
    </row>
    <row r="162" customFormat="false" ht="12.75" hidden="false" customHeight="false" outlineLevel="0" collapsed="false">
      <c r="C162" s="479"/>
      <c r="D162" s="479"/>
      <c r="E162" s="479"/>
      <c r="F162" s="2"/>
      <c r="G162" s="479"/>
    </row>
    <row r="163" customFormat="false" ht="12.75" hidden="false" customHeight="false" outlineLevel="0" collapsed="false">
      <c r="C163" s="479"/>
      <c r="D163" s="479"/>
      <c r="E163" s="479"/>
      <c r="F163" s="476"/>
      <c r="G163" s="479"/>
    </row>
    <row r="164" customFormat="false" ht="12.75" hidden="false" customHeight="false" outlineLevel="0" collapsed="false">
      <c r="C164" s="479"/>
      <c r="D164" s="479"/>
      <c r="E164" s="479"/>
      <c r="F164" s="477"/>
      <c r="G164" s="479"/>
    </row>
    <row r="165" customFormat="false" ht="12.75" hidden="false" customHeight="false" outlineLevel="0" collapsed="false">
      <c r="C165" s="479"/>
      <c r="D165" s="479"/>
      <c r="E165" s="479"/>
      <c r="F165" s="2"/>
      <c r="G165" s="479"/>
    </row>
    <row r="166" customFormat="false" ht="12.75" hidden="false" customHeight="false" outlineLevel="0" collapsed="false">
      <c r="C166" s="479"/>
      <c r="D166" s="479"/>
      <c r="E166" s="479"/>
      <c r="F166" s="2"/>
      <c r="G166" s="479"/>
    </row>
    <row r="167" customFormat="false" ht="12.75" hidden="false" customHeight="false" outlineLevel="0" collapsed="false">
      <c r="C167" s="479"/>
      <c r="D167" s="479"/>
      <c r="E167" s="479"/>
      <c r="F167" s="479"/>
      <c r="G167" s="4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2001-05-17T10:30:52Z</cp:lastPrinted>
  <dcterms:modified xsi:type="dcterms:W3CDTF">2001-05-18T13:00:04Z</dcterms:modified>
  <cp:revision>0</cp:revision>
  <dc:subject/>
  <dc:title/>
</cp:coreProperties>
</file>