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NG Parking" sheetId="1" state="visible" r:id="rId3"/>
    <sheet name="IT &amp; Pooling" sheetId="2" state="visible" r:id="rId4"/>
    <sheet name="CES IT" sheetId="3" state="visible" r:id="rId5"/>
    <sheet name="East Capacity" sheetId="4" state="visible" r:id="rId6"/>
    <sheet name="Apr Matrix" sheetId="5" state="visible" r:id="rId7"/>
    <sheet name="Rates" sheetId="6" state="visible" r:id="rId8"/>
    <sheet name="Notes" sheetId="7" state="visible" r:id="rId9"/>
    <sheet name="Offseason Rate" sheetId="8" state="visible" r:id="rId10"/>
    <sheet name="Special Rates" sheetId="9" state="visible" r:id="rId11"/>
    <sheet name="Basis" sheetId="10" state="visible" r:id="rId12"/>
  </sheets>
  <definedNames>
    <definedName function="false" hidden="false" localSheetId="4" name="_xlnm.Print_Area" vbProcedure="false">'Apr Matrix'!$A$3:$L$74</definedName>
    <definedName function="false" hidden="false" localSheetId="9" name="_xlnm.Print_Area" vbProcedure="false">Basis!$A$33:$I$42</definedName>
    <definedName function="false" hidden="false" localSheetId="3" name="_xlnm.Print_Area" vbProcedure="false">'East Capacity'!$A$1:$V$166</definedName>
    <definedName function="false" hidden="false" localSheetId="5" name="_xlnm.Print_Area" vbProcedure="false">Rates!$S$1:$X$72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Backhaul from Z6 to Z4, forward haul in Z4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126</xdr:row>
                <xdr:rowOff>7</xdr:rowOff>
              </xdr:from>
              <xdr:to>
                <xdr:col>7</xdr:col>
                <xdr:colOff>43</xdr:colOff>
                <xdr:row>132</xdr:row>
                <xdr:rowOff>5</xdr:rowOff>
              </xdr:to>
            </anchor>
          </commentPr>
        </mc:Choice>
        <mc:Fallback/>
      </mc:AlternateContent>
    </comment>
    <comment ref="B133" authorId="0">
      <text>
        <r>
          <rPr>
            <b val="true"/>
            <sz val="8"/>
            <color rgb="FF000000"/>
            <rFont val="Tahoma"/>
            <family val="0"/>
          </rPr>
          <t xml:space="preserve">cgerman</t>
        </r>
        <r>
          <rPr>
            <sz val="8"/>
            <color rgb="FF000000"/>
            <rFont val="Tahoma"/>
            <family val="0"/>
          </rPr>
          <t xml:space="preserve">l 
Forward haul Z6-Z6, Backhaul Z6-Z4, forward haul in Z4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128</xdr:row>
                <xdr:rowOff>16</xdr:rowOff>
              </xdr:from>
              <xdr:to>
                <xdr:col>7</xdr:col>
                <xdr:colOff>39</xdr:colOff>
                <xdr:row>134</xdr:row>
                <xdr:rowOff>14</xdr:rowOff>
              </xdr:to>
            </anchor>
          </commentPr>
        </mc:Choice>
        <mc:Fallback/>
      </mc:AlternateContent>
    </comment>
    <comment ref="E8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Emporia Zone 5, Meter 941
Fuel includes forward hauls in Zone 5 &amp; Zone 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81</xdr:row>
                <xdr:rowOff>7</xdr:rowOff>
              </xdr:from>
              <xdr:to>
                <xdr:col>12</xdr:col>
                <xdr:colOff>25</xdr:colOff>
                <xdr:row>87</xdr:row>
                <xdr:rowOff>16</xdr:rowOff>
              </xdr:to>
            </anchor>
          </commentPr>
        </mc:Choice>
        <mc:Fallback/>
      </mc:AlternateContent>
    </comment>
    <comment ref="E8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86</xdr:row>
                <xdr:rowOff>7</xdr:rowOff>
              </xdr:from>
              <xdr:to>
                <xdr:col>12</xdr:col>
                <xdr:colOff>25</xdr:colOff>
                <xdr:row>92</xdr:row>
                <xdr:rowOff>17</xdr:rowOff>
              </xdr:to>
            </anchor>
          </commentPr>
        </mc:Choice>
        <mc:Fallback/>
      </mc:AlternateContent>
    </comment>
    <comment ref="E9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91</xdr:row>
                <xdr:rowOff>7</xdr:rowOff>
              </xdr:from>
              <xdr:to>
                <xdr:col>12</xdr:col>
                <xdr:colOff>25</xdr:colOff>
                <xdr:row>97</xdr:row>
                <xdr:rowOff>17</xdr:rowOff>
              </xdr:to>
            </anchor>
          </commentPr>
        </mc:Choice>
        <mc:Fallback/>
      </mc:AlternateContent>
    </comment>
    <comment ref="E9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FT St 210 meter 9170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96</xdr:row>
                <xdr:rowOff>7</xdr:rowOff>
              </xdr:from>
              <xdr:to>
                <xdr:col>12</xdr:col>
                <xdr:colOff>25</xdr:colOff>
                <xdr:row>102</xdr:row>
                <xdr:rowOff>17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GSR Volumetric Surcharge:
$0.0004 per dth to zn 1,2,&amp;3
$0.0002 per dth to production area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10</xdr:row>
                <xdr:rowOff>7</xdr:rowOff>
              </xdr:from>
              <xdr:to>
                <xdr:col>19</xdr:col>
                <xdr:colOff>50</xdr:colOff>
                <xdr:row>14</xdr:row>
                <xdr:rowOff>13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Storage Cost Reconciliation Mechanism:
$0.004 per Dth transported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7</xdr:rowOff>
              </xdr:from>
              <xdr:to>
                <xdr:col>19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<sst xmlns="http://schemas.openxmlformats.org/spreadsheetml/2006/main" count="3106" uniqueCount="761">
  <si>
    <t xml:space="preserve">Date</t>
  </si>
  <si>
    <t xml:space="preserve">Park</t>
  </si>
  <si>
    <t xml:space="preserve">Takout</t>
  </si>
  <si>
    <t xml:space="preserve">Balance</t>
  </si>
  <si>
    <t xml:space="preserve">Rate</t>
  </si>
  <si>
    <t xml:space="preserve">Amount</t>
  </si>
  <si>
    <t xml:space="preserve">Borrow</t>
  </si>
  <si>
    <t xml:space="preserve">Payback</t>
  </si>
  <si>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</si>
  <si>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</si>
  <si>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</si>
  <si>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</si>
  <si>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</si>
  <si>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</si>
  <si>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</si>
  <si>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</si>
  <si>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</si>
  <si>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</si>
  <si>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</si>
  <si>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</si>
  <si>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</si>
  <si>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??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</si>
  <si>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</si>
  <si>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</si>
  <si>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</si>
  <si>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</si>
  <si>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</si>
  <si>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</si>
  <si>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</si>
  <si>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</si>
  <si>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Overrun</t>
  </si>
  <si>
    <t xml:space="preserve">Overrun contract</t>
  </si>
  <si>
    <t xml:space="preserve">Chandeleur</t>
  </si>
  <si>
    <t xml:space="preserve">CI-30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</si>
  <si>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</si>
  <si>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</si>
  <si>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</si>
  <si>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</si>
  <si>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</si>
  <si>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</si>
  <si>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</si>
  <si>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</si>
  <si>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</si>
  <si>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Texas Gas Transmission</t>
  </si>
  <si>
    <t xml:space="preserve">T006057</t>
  </si>
  <si>
    <t xml:space="preserve">FT</t>
  </si>
  <si>
    <t xml:space="preserve">Dayton does the scheduling and they will bill ENA for the transport usage.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</si>
  <si>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</si>
  <si>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</si>
  <si>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</si>
  <si>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</si>
  <si>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</si>
  <si>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</si>
  <si>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</si>
  <si>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</si>
  <si>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</si>
  <si>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</si>
  <si>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SST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</si>
  <si>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</si>
  <si>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</si>
  <si>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</si>
  <si>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</si>
  <si>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8T001N</t>
  </si>
  <si>
    <t xml:space="preserve">8T001S</t>
  </si>
  <si>
    <t xml:space="preserve">8G001N</t>
  </si>
  <si>
    <t xml:space="preserve">8G001S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</si>
  <si>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</si>
  <si>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</si>
  <si>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</si>
  <si>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</si>
  <si>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</si>
  <si>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</si>
  <si>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H02262</t>
  </si>
  <si>
    <t xml:space="preserve">ISS</t>
  </si>
  <si>
    <t xml:space="preserve">Use when parking gas first then withdrawing.</t>
  </si>
  <si>
    <t xml:space="preserve">A02353</t>
  </si>
  <si>
    <t xml:space="preserve"> 312309 / 362289</t>
  </si>
  <si>
    <t xml:space="preserve">IAS</t>
  </si>
  <si>
    <t xml:space="preserve">Use when borrowing gas then paying back.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</si>
  <si>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</si>
  <si>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</si>
  <si>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</si>
  <si>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</si>
  <si>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</si>
  <si>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</si>
  <si>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</si>
  <si>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</si>
  <si>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KO Transmission</t>
  </si>
  <si>
    <t xml:space="preserve">019</t>
  </si>
  <si>
    <t xml:space="preserve">Evergreen</t>
  </si>
  <si>
    <t xml:space="preserve">Acquired from CES</t>
  </si>
  <si>
    <t xml:space="preserve">CES/Agency</t>
  </si>
  <si>
    <t xml:space="preserve">Transco</t>
  </si>
  <si>
    <t xml:space="preserve">all</t>
  </si>
  <si>
    <t xml:space="preserve">1.1501</t>
  </si>
  <si>
    <t xml:space="preserve">CES IT Contract</t>
  </si>
  <si>
    <t xml:space="preserve">Egan Storage</t>
  </si>
  <si>
    <t xml:space="preserve">ENA-00001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</si>
  <si>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</si>
  <si>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</si>
  <si>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</si>
  <si>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</si>
  <si>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</si>
  <si>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</si>
  <si>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</si>
  <si>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</si>
  <si>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</si>
  <si>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</si>
  <si>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</si>
  <si>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</si>
  <si>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</si>
  <si>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</si>
  <si>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</si>
  <si>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</si>
  <si>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</si>
  <si>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</si>
  <si>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</si>
  <si>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</si>
  <si>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</si>
  <si>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</si>
  <si>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</si>
  <si>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</si>
  <si>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</si>
  <si>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</si>
  <si>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</si>
  <si>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</si>
  <si>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</si>
  <si>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</si>
  <si>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</si>
  <si>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</si>
  <si>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</si>
  <si>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</si>
  <si>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</si>
  <si>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</si>
  <si>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</si>
  <si>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</si>
  <si>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</si>
  <si>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</si>
  <si>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</si>
  <si>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</si>
  <si>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</si>
  <si>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</si>
  <si>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</si>
  <si>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</si>
  <si>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</si>
  <si>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</si>
  <si>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</si>
  <si>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East Desk Transportation Capacity for March , 2001</t>
  </si>
  <si>
    <t xml:space="preserve">Month</t>
  </si>
  <si>
    <t xml:space="preserve">New K#</t>
  </si>
  <si>
    <t xml:space="preserve">New Sitara</t>
  </si>
  <si>
    <t xml:space="preserve">Book</t>
  </si>
  <si>
    <t xml:space="preserve">ENA</t>
  </si>
  <si>
    <t xml:space="preserve">Onshore</t>
  </si>
  <si>
    <t xml:space="preserve">Mainline</t>
  </si>
  <si>
    <t xml:space="preserve">n</t>
  </si>
  <si>
    <t xml:space="preserve">Term=yr to yr, evergreen with 6 month termination notice.  ENA acquired this from Access Energy in 1993</t>
  </si>
  <si>
    <t xml:space="preserve">TP1</t>
  </si>
  <si>
    <t xml:space="preserve">Venice</t>
  </si>
  <si>
    <t xml:space="preserve">Onshore capacity - 20,000 day Venice receipt, CES has exclusive right of termination.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</si>
  <si>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</si>
  <si>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</si>
  <si>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</si>
  <si>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</si>
  <si>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#25471, Onshore capacity - 5,395 venice capacity.</t>
  </si>
  <si>
    <t xml:space="preserve">Onshore - authorized overrun</t>
  </si>
  <si>
    <t xml:space="preserve">FGT, Trco, &amp; Lig</t>
  </si>
  <si>
    <t xml:space="preserve">Tiered- FGT-.02/LIG .015/Tran .01</t>
  </si>
  <si>
    <t xml:space="preserve">Brazos 105</t>
  </si>
  <si>
    <t xml:space="preserve">Trco St 30</t>
  </si>
  <si>
    <t xml:space="preserve">Central Texas</t>
  </si>
  <si>
    <t xml:space="preserve">WC560</t>
  </si>
  <si>
    <t xml:space="preserve">WC537</t>
  </si>
  <si>
    <t xml:space="preserve">WC537/560 Discounted offshore FT transortation, reimbursed full IT rate by Pennzoil, volumetric demand charge.  CES pays $.0648 for all Pennzoil production from this block.</t>
  </si>
  <si>
    <t xml:space="preserve">3/24/2000 Veronica with CGLF will try to find the contract terms for this deal.</t>
  </si>
  <si>
    <t xml:space="preserve">Leach</t>
  </si>
  <si>
    <t xml:space="preserve">ENA acquired this from Access Energy in 1993</t>
  </si>
  <si>
    <t xml:space="preserve">Mainline capacity</t>
  </si>
  <si>
    <t xml:space="preserve">#24770, Mainline capacity</t>
  </si>
  <si>
    <t xml:space="preserve">Belfry</t>
  </si>
  <si>
    <t xml:space="preserve">#29788, Belfry</t>
  </si>
  <si>
    <t xml:space="preserve">Woodward</t>
  </si>
  <si>
    <t xml:space="preserve">N</t>
  </si>
  <si>
    <t xml:space="preserve">31424, released month to month</t>
  </si>
  <si>
    <t xml:space="preserve">released month to month</t>
  </si>
  <si>
    <t xml:space="preserve">Total Demand</t>
  </si>
  <si>
    <t xml:space="preserve">Reimbursements</t>
  </si>
  <si>
    <t xml:space="preserve">Net Demand</t>
  </si>
  <si>
    <t xml:space="preserve">801 - Leach</t>
  </si>
  <si>
    <t xml:space="preserve">4 BG&amp;E</t>
  </si>
  <si>
    <t xml:space="preserve">FTS</t>
  </si>
  <si>
    <t xml:space="preserve">ENA purchased from CES</t>
  </si>
  <si>
    <t xml:space="preserve">TCO</t>
  </si>
  <si>
    <t xml:space="preserve">Buy </t>
  </si>
  <si>
    <t xml:space="preserve">801 Leach</t>
  </si>
  <si>
    <t xml:space="preserve">23n-2</t>
  </si>
  <si>
    <t xml:space="preserve">Cap Auction</t>
  </si>
  <si>
    <t xml:space="preserve">19E</t>
  </si>
  <si>
    <t xml:space="preserve">CNR</t>
  </si>
  <si>
    <t xml:space="preserve">cnr02</t>
  </si>
  <si>
    <t xml:space="preserve">23-5</t>
  </si>
  <si>
    <t xml:space="preserve">A-To Pull Nelson's CNR Buy</t>
  </si>
  <si>
    <t xml:space="preserve">B-To Pull Nelson's CNR Buy</t>
  </si>
  <si>
    <t xml:space="preserve">C-To Pull Nelson's CNR Buy</t>
  </si>
  <si>
    <t xml:space="preserve">Agency</t>
  </si>
  <si>
    <t xml:space="preserve">CALP</t>
  </si>
  <si>
    <t xml:space="preserve">Broad run</t>
  </si>
  <si>
    <t xml:space="preserve">Reimbursements/CES</t>
  </si>
  <si>
    <t xml:space="preserve">Agency/St of FGT</t>
  </si>
  <si>
    <t xml:space="preserve">FGT</t>
  </si>
  <si>
    <t xml:space="preserve">???</t>
  </si>
  <si>
    <t xml:space="preserve">Gulf4</t>
  </si>
  <si>
    <t xml:space="preserve">Buy  </t>
  </si>
  <si>
    <t xml:space="preserve">Est demand</t>
  </si>
  <si>
    <t xml:space="preserve">Koch</t>
  </si>
  <si>
    <t xml:space="preserve">Entergy New Orleans</t>
  </si>
  <si>
    <t xml:space="preserve">All receipts</t>
  </si>
  <si>
    <t xml:space="preserve">Nopsi</t>
  </si>
  <si>
    <t xml:space="preserve">Seasonal MDQ, Nov-Mar 85,000 dth, April 42,500 dth, May-Sep 29,750 dth, Oct 42,500 dth</t>
  </si>
  <si>
    <t xml:space="preserve">145753 / 233132</t>
  </si>
  <si>
    <t xml:space="preserve">Ormet</t>
  </si>
  <si>
    <t xml:space="preserve">Reimbursement captured on sales ticket 548711</t>
  </si>
  <si>
    <t xml:space="preserve">Type</t>
  </si>
  <si>
    <t xml:space="preserve">buy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</si>
  <si>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</si>
  <si>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</si>
  <si>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</si>
  <si>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</si>
  <si>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</si>
  <si>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</si>
  <si>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</si>
  <si>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</si>
  <si>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Tp1</t>
  </si>
  <si>
    <t xml:space="preserve">Act demand</t>
  </si>
  <si>
    <t xml:space="preserve">Nat Fuel</t>
  </si>
  <si>
    <t xml:space="preserve">ECT</t>
  </si>
  <si>
    <t xml:space="preserve">Niagara</t>
  </si>
  <si>
    <t xml:space="preserve">Trco/Leidy</t>
  </si>
  <si>
    <t xml:space="preserve">F01978</t>
  </si>
  <si>
    <t xml:space="preserve">Demand charge billed on receipt volume of 117 DT's.  </t>
  </si>
  <si>
    <t xml:space="preserve">TP3</t>
  </si>
  <si>
    <t xml:space="preserve">B00693-033141</t>
  </si>
  <si>
    <t xml:space="preserve">Demand charge billed on receipt volume</t>
  </si>
  <si>
    <t xml:space="preserve">Sea Robin</t>
  </si>
  <si>
    <t xml:space="preserve">FSRP3</t>
  </si>
  <si>
    <t xml:space="preserve">Gulf2</t>
  </si>
  <si>
    <t xml:space="preserve">Stingray</t>
  </si>
  <si>
    <t xml:space="preserve">Gulf3</t>
  </si>
  <si>
    <t xml:space="preserve">tennessee</t>
  </si>
  <si>
    <t xml:space="preserve">Reliant - Entex</t>
  </si>
  <si>
    <t xml:space="preserve">zone 1</t>
  </si>
  <si>
    <t xml:space="preserve">reimbursed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</si>
  <si>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</si>
  <si>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</si>
  <si>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</si>
  <si>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</si>
  <si>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</si>
  <si>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Cap Rel</t>
  </si>
  <si>
    <t xml:space="preserve">CDC</t>
  </si>
  <si>
    <t xml:space="preserve">Zone 1</t>
  </si>
  <si>
    <t xml:space="preserve">Zone 3</t>
  </si>
  <si>
    <t xml:space="preserve">Purchase</t>
  </si>
  <si>
    <t xml:space="preserve">TGP</t>
  </si>
  <si>
    <t xml:space="preserve">Zone 0</t>
  </si>
  <si>
    <t xml:space="preserve">y</t>
  </si>
  <si>
    <t xml:space="preserve">707486/709458</t>
  </si>
  <si>
    <t xml:space="preserve">  </t>
  </si>
  <si>
    <t xml:space="preserve">Z5 - Wright</t>
  </si>
  <si>
    <t xml:space="preserve">Z6 - Various</t>
  </si>
  <si>
    <t xml:space="preserve">13.36, see deal 224102</t>
  </si>
  <si>
    <t xml:space="preserve">93036/229817</t>
  </si>
  <si>
    <t xml:space="preserve">Energynorth</t>
  </si>
  <si>
    <t xml:space="preserve">Fuel Waiver</t>
  </si>
  <si>
    <t xml:space="preserve">#12479 - Cook School</t>
  </si>
  <si>
    <t xml:space="preserve">Z4 Cambridge #020064, and Dungannon #020060</t>
  </si>
  <si>
    <t xml:space="preserve">Fuel discounted to .5%</t>
  </si>
  <si>
    <t xml:space="preserve">Tetco</t>
  </si>
  <si>
    <t xml:space="preserve">tetco</t>
  </si>
  <si>
    <t xml:space="preserve">Stx</t>
  </si>
  <si>
    <t xml:space="preserve">m3</t>
  </si>
  <si>
    <t xml:space="preserve">TP2</t>
  </si>
  <si>
    <t xml:space="preserve">ela</t>
  </si>
  <si>
    <t xml:space="preserve">stx</t>
  </si>
  <si>
    <t xml:space="preserve">Disc</t>
  </si>
  <si>
    <t xml:space="preserve">access</t>
  </si>
  <si>
    <t xml:space="preserve">M2</t>
  </si>
  <si>
    <t xml:space="preserve">Discounted IT commocity to $.1122</t>
  </si>
  <si>
    <t xml:space="preserve">Texas Gas</t>
  </si>
  <si>
    <t xml:space="preserve">IGS</t>
  </si>
  <si>
    <t xml:space="preserve">8107  Evangeline</t>
  </si>
  <si>
    <t xml:space="preserve">8046  mamou</t>
  </si>
  <si>
    <t xml:space="preserve">Y</t>
  </si>
  <si>
    <t xml:space="preserve">T016937</t>
  </si>
  <si>
    <t xml:space="preserve">#200010000072,  1/17/2001 - IGS recalled 4,000 per day for the Jan 18th-31st.</t>
  </si>
  <si>
    <t xml:space="preserve">T0170750000</t>
  </si>
  <si>
    <t xml:space="preserve">#2000110000068. Volumetric.</t>
  </si>
  <si>
    <t xml:space="preserve">fuel $</t>
  </si>
  <si>
    <t xml:space="preserve">Trco</t>
  </si>
  <si>
    <t xml:space="preserve">Utos</t>
  </si>
  <si>
    <t xml:space="preserve">St 65</t>
  </si>
  <si>
    <t xml:space="preserve">#23156</t>
  </si>
  <si>
    <t xml:space="preserve">Transco FT Commodity</t>
  </si>
  <si>
    <t xml:space="preserve">CGAS FT</t>
  </si>
  <si>
    <t xml:space="preserve">4A</t>
  </si>
  <si>
    <t xml:space="preserve">CGAS Fuel</t>
  </si>
  <si>
    <t xml:space="preserve">CNG FT</t>
  </si>
  <si>
    <t xml:space="preserve">CNG Fuel</t>
  </si>
  <si>
    <t xml:space="preserve">Tenn Net 284</t>
  </si>
  <si>
    <t xml:space="preserve">INCLUDES GRI ($0.0070) and Great Plains Surcharge ($0.0097)</t>
  </si>
  <si>
    <t xml:space="preserve">Iroq -GRI</t>
  </si>
  <si>
    <t xml:space="preserve">   TETCO </t>
  </si>
  <si>
    <t xml:space="preserve">to:  St. 65</t>
  </si>
  <si>
    <t xml:space="preserve">STX</t>
  </si>
  <si>
    <t xml:space="preserve">WLA</t>
  </si>
  <si>
    <t xml:space="preserve">ELA</t>
  </si>
  <si>
    <t xml:space="preserve">Tenn +GRI</t>
  </si>
  <si>
    <t xml:space="preserve">Zn 3 - 65</t>
  </si>
  <si>
    <t xml:space="preserve">    "ELA Rate Assumes $0.0622 'IT'"</t>
  </si>
  <si>
    <t xml:space="preserve">Total</t>
  </si>
  <si>
    <t xml:space="preserve">Ela</t>
  </si>
  <si>
    <t xml:space="preserve">TRCO IT Rates</t>
  </si>
  <si>
    <t xml:space="preserve">Note:  2-2, 2-3, and 3-3 rates do not include surcharges.</t>
  </si>
  <si>
    <t xml:space="preserve">Tenn FT Commodity</t>
  </si>
  <si>
    <t xml:space="preserve">Toca/Patt</t>
  </si>
  <si>
    <t xml:space="preserve">Wla</t>
  </si>
  <si>
    <t xml:space="preserve">Kinder</t>
  </si>
  <si>
    <t xml:space="preserve">Hiedelburg</t>
  </si>
  <si>
    <t xml:space="preserve">Chicago</t>
  </si>
  <si>
    <t xml:space="preserve">Carnes</t>
  </si>
  <si>
    <t xml:space="preserve">Rosehill</t>
  </si>
  <si>
    <t xml:space="preserve">Pugh</t>
  </si>
  <si>
    <t xml:space="preserve">Varibus</t>
  </si>
  <si>
    <t xml:space="preserve">Zone 2 </t>
  </si>
  <si>
    <t xml:space="preserve">Zone 4</t>
  </si>
  <si>
    <t xml:space="preserve">Zone 5</t>
  </si>
  <si>
    <t xml:space="preserve">Zone 6</t>
  </si>
  <si>
    <t xml:space="preserve">0</t>
  </si>
  <si>
    <t xml:space="preserve">L</t>
  </si>
  <si>
    <t xml:space="preserve">MGT Rate </t>
  </si>
  <si>
    <t xml:space="preserve">Z2-Z6 include GRI of $0.0075</t>
  </si>
  <si>
    <t xml:space="preserve">Fuel</t>
  </si>
  <si>
    <t xml:space="preserve">Z0-Niagara difference:</t>
  </si>
  <si>
    <t xml:space="preserve">Z1-Niagara difference:</t>
  </si>
  <si>
    <t xml:space="preserve">TETCO FT Commodity using April - November Fuels</t>
  </si>
  <si>
    <t xml:space="preserve">LRC</t>
  </si>
  <si>
    <t xml:space="preserve">Ragley</t>
  </si>
  <si>
    <t xml:space="preserve">M-1</t>
  </si>
  <si>
    <t xml:space="preserve">M-2</t>
  </si>
  <si>
    <t xml:space="preserve">M-3</t>
  </si>
  <si>
    <t xml:space="preserve">It to M2</t>
  </si>
  <si>
    <t xml:space="preserve">It to M3</t>
  </si>
  <si>
    <t xml:space="preserve">ETX</t>
  </si>
  <si>
    <t xml:space="preserve">M1</t>
  </si>
  <si>
    <t xml:space="preserve">M3</t>
  </si>
  <si>
    <t xml:space="preserve">             Texas Gas FT Commodity</t>
  </si>
  <si>
    <t xml:space="preserve">Sonat</t>
  </si>
  <si>
    <t xml:space="preserve">0-0</t>
  </si>
  <si>
    <t xml:space="preserve">0-1</t>
  </si>
  <si>
    <t xml:space="preserve">0-2</t>
  </si>
  <si>
    <t xml:space="preserve">0-3</t>
  </si>
  <si>
    <t xml:space="preserve">SL-Inter</t>
  </si>
  <si>
    <t xml:space="preserve">SL-Intra</t>
  </si>
  <si>
    <t xml:space="preserve">1</t>
  </si>
  <si>
    <t xml:space="preserve">4</t>
  </si>
  <si>
    <t xml:space="preserve">SL</t>
  </si>
  <si>
    <t xml:space="preserve">Gulf Onshore IT-Mainline FT</t>
  </si>
  <si>
    <t xml:space="preserve">           Algonquin</t>
  </si>
  <si>
    <t xml:space="preserve">NFG</t>
  </si>
  <si>
    <t xml:space="preserve">Niagara Zone 3</t>
  </si>
  <si>
    <t xml:space="preserve">Off</t>
  </si>
  <si>
    <t xml:space="preserve">On</t>
  </si>
  <si>
    <t xml:space="preserve">    Commodity and Fuel</t>
  </si>
  <si>
    <t xml:space="preserve">AFT-1</t>
  </si>
  <si>
    <t xml:space="preserve">FEBRUARY, 2001</t>
  </si>
  <si>
    <t xml:space="preserve">ML</t>
  </si>
  <si>
    <t xml:space="preserve">TENNESSEE GAS PIPELINE: SPECIAL TRANS. RATES</t>
  </si>
  <si>
    <t xml:space="preserve">Offshore and Onshore are IT rates</t>
  </si>
  <si>
    <t xml:space="preserve">Transport expense using Prices shown below</t>
  </si>
  <si>
    <t xml:space="preserve">Trco Z1</t>
  </si>
  <si>
    <t xml:space="preserve">CGLF On</t>
  </si>
  <si>
    <t xml:space="preserve">Trco Z2</t>
  </si>
  <si>
    <t xml:space="preserve">M/L</t>
  </si>
  <si>
    <t xml:space="preserve">Trco Z3</t>
  </si>
  <si>
    <t xml:space="preserve">TGT Sl</t>
  </si>
  <si>
    <t xml:space="preserve">Trco Z4</t>
  </si>
  <si>
    <t xml:space="preserve">Tenn 800</t>
  </si>
  <si>
    <t xml:space="preserve">Trco Z6</t>
  </si>
  <si>
    <t xml:space="preserve">TGP/NFG Niagara</t>
  </si>
  <si>
    <t xml:space="preserve">CNG SP</t>
  </si>
  <si>
    <t xml:space="preserve">Henry Hub</t>
  </si>
  <si>
    <t xml:space="preserve">Gas Daily </t>
  </si>
  <si>
    <t xml:space="preserve">Even</t>
  </si>
  <si>
    <t xml:space="preserve">formulas</t>
  </si>
  <si>
    <t xml:space="preserve">Formula</t>
  </si>
  <si>
    <t xml:space="preserve">IROQ</t>
  </si>
  <si>
    <t xml:space="preserve">st 85</t>
  </si>
  <si>
    <t xml:space="preserve">zn 0</t>
  </si>
  <si>
    <t xml:space="preserve">Sonat La</t>
  </si>
  <si>
    <t xml:space="preserve">On Price</t>
  </si>
  <si>
    <t xml:space="preserve">Dominion SP</t>
  </si>
  <si>
    <t xml:space="preserve">TGT SL</t>
  </si>
  <si>
    <t xml:space="preserve">Wadd</t>
  </si>
  <si>
    <t xml:space="preserve">st 65</t>
  </si>
  <si>
    <t xml:space="preserve">zn 1 800</t>
  </si>
  <si>
    <t xml:space="preserve">wla</t>
  </si>
  <si>
    <t xml:space="preserve">m/l ITS2</t>
  </si>
  <si>
    <t xml:space="preserve">Winter</t>
  </si>
  <si>
    <t xml:space="preserve">Summer</t>
  </si>
  <si>
    <t xml:space="preserve">st 45</t>
  </si>
  <si>
    <t xml:space="preserve">Leach FT1</t>
  </si>
  <si>
    <t xml:space="preserve">st 30</t>
  </si>
  <si>
    <t xml:space="preserve">m1</t>
  </si>
  <si>
    <t xml:space="preserve">Ft/It combo</t>
  </si>
  <si>
    <t xml:space="preserve">Z6 NY</t>
  </si>
  <si>
    <t xml:space="preserve">Rates No 37.02</t>
  </si>
  <si>
    <t xml:space="preserve">Rates No 42</t>
  </si>
  <si>
    <t xml:space="preserve">Summer Fuel Apr-Oct</t>
  </si>
  <si>
    <t xml:space="preserve">Summer Fuel Apr-Nov</t>
  </si>
  <si>
    <t xml:space="preserve">Rates 18 &amp; 19</t>
  </si>
  <si>
    <t xml:space="preserve">Rates 25 &amp; 28</t>
  </si>
  <si>
    <t xml:space="preserve">Rates 32</t>
  </si>
  <si>
    <t xml:space="preserve">Summer Fuel</t>
  </si>
  <si>
    <t xml:space="preserve">Rates No 4</t>
  </si>
  <si>
    <t xml:space="preserve">Rates No 8</t>
  </si>
  <si>
    <t xml:space="preserve">Fuel No 44</t>
  </si>
  <si>
    <t xml:space="preserve">Rates No 23A &amp; 22</t>
  </si>
  <si>
    <t xml:space="preserve">Rates No  26 &amp; 31</t>
  </si>
  <si>
    <t xml:space="preserve">Rates No  42</t>
  </si>
  <si>
    <t xml:space="preserve">Rates No 14</t>
  </si>
  <si>
    <t xml:space="preserve">PENDING NEW FUELS</t>
  </si>
  <si>
    <t xml:space="preserve">Fuel 44</t>
  </si>
  <si>
    <t xml:space="preserve">Apr 1 - Oct 31</t>
  </si>
  <si>
    <t xml:space="preserve">Fuel changes each month</t>
  </si>
  <si>
    <t xml:space="preserve">Fuel No.8,</t>
  </si>
  <si>
    <t xml:space="preserve">Rates eff 4/1/2001</t>
  </si>
  <si>
    <t xml:space="preserve">Fuel No 29</t>
  </si>
  <si>
    <t xml:space="preserve">Fuel No 127,128, &amp; 129</t>
  </si>
  <si>
    <t xml:space="preserve">Fuel No 15</t>
  </si>
  <si>
    <t xml:space="preserve">EFFECTIVE 4/1/01</t>
  </si>
  <si>
    <t xml:space="preserve">PENDING Rates &amp; Fuel</t>
  </si>
  <si>
    <t xml:space="preserve">Updated 12/1/200</t>
  </si>
  <si>
    <t xml:space="preserve">Rates 21</t>
  </si>
  <si>
    <t xml:space="preserve">Rates 11A</t>
  </si>
  <si>
    <t xml:space="preserve">Rates update 1/1/2000</t>
  </si>
  <si>
    <t xml:space="preserve">Rates update 5/1/2000</t>
  </si>
  <si>
    <t xml:space="preserve">Rates Eff 7/1/00</t>
  </si>
  <si>
    <t xml:space="preserve">Updtd Rates 2/1/2001</t>
  </si>
  <si>
    <t xml:space="preserve">Updtd Rates 3/1/00</t>
  </si>
  <si>
    <t xml:space="preserve">Updtd Rates 3/14/01 sg</t>
  </si>
  <si>
    <t xml:space="preserve">Eff 4/1/01</t>
  </si>
  <si>
    <t xml:space="preserve">Fuel No 40</t>
  </si>
  <si>
    <t xml:space="preserve">Fuel 14</t>
  </si>
  <si>
    <t xml:space="preserve">All Fuel is 0.02%</t>
  </si>
  <si>
    <t xml:space="preserve">CDS and FT-1</t>
  </si>
  <si>
    <t xml:space="preserve">Need to check GSR &amp; SCRM</t>
  </si>
  <si>
    <t xml:space="preserve">Rates eff 1/1/2001</t>
  </si>
  <si>
    <t xml:space="preserve">Price</t>
  </si>
  <si>
    <t xml:space="preserve">(1-1)</t>
  </si>
  <si>
    <t xml:space="preserve">(1-1) it</t>
  </si>
  <si>
    <t xml:space="preserve">Tenn</t>
  </si>
  <si>
    <t xml:space="preserve">(0-0) FT</t>
  </si>
  <si>
    <t xml:space="preserve">TETCO</t>
  </si>
  <si>
    <t xml:space="preserve">(stx-stx)</t>
  </si>
  <si>
    <t xml:space="preserve">TETCO IT</t>
  </si>
  <si>
    <t xml:space="preserve">(0-0)FT</t>
  </si>
  <si>
    <t xml:space="preserve">Gulf</t>
  </si>
  <si>
    <t xml:space="preserve">(off-off)fts2</t>
  </si>
  <si>
    <t xml:space="preserve">(fts)</t>
  </si>
  <si>
    <t xml:space="preserve">ft</t>
  </si>
  <si>
    <t xml:space="preserve">Algo</t>
  </si>
  <si>
    <t xml:space="preserve">TGT</t>
  </si>
  <si>
    <t xml:space="preserve">FT SL-SL</t>
  </si>
  <si>
    <t xml:space="preserve">FT 1-1</t>
  </si>
  <si>
    <t xml:space="preserve">NFGS</t>
  </si>
  <si>
    <t xml:space="preserve">FT-Niag to Leidy</t>
  </si>
  <si>
    <t xml:space="preserve">Generic</t>
  </si>
  <si>
    <t xml:space="preserve">comm</t>
  </si>
  <si>
    <t xml:space="preserve">Comm</t>
  </si>
  <si>
    <t xml:space="preserve">ACA</t>
  </si>
  <si>
    <t xml:space="preserve">fuel(1.50)</t>
  </si>
  <si>
    <t xml:space="preserve">fuel(.552)</t>
  </si>
  <si>
    <t xml:space="preserve">fuel(2.00)</t>
  </si>
  <si>
    <t xml:space="preserve">GRI</t>
  </si>
  <si>
    <t xml:space="preserve">Fuel %</t>
  </si>
  <si>
    <t xml:space="preserve">(1-2)</t>
  </si>
  <si>
    <t xml:space="preserve">(1-2) it</t>
  </si>
  <si>
    <t xml:space="preserve">(0-1) FT</t>
  </si>
  <si>
    <t xml:space="preserve">(stx-wla)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</si>
  <si>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</si>
  <si>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</si>
  <si>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</si>
  <si>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</si>
  <si>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</si>
  <si>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</si>
  <si>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FR SL-4</t>
  </si>
  <si>
    <t xml:space="preserve">FT 1-2</t>
  </si>
  <si>
    <t xml:space="preserve">Zn 1</t>
  </si>
  <si>
    <t xml:space="preserve">Variable</t>
  </si>
  <si>
    <t xml:space="preserve">Delivered</t>
  </si>
  <si>
    <t xml:space="preserve">.</t>
  </si>
  <si>
    <t xml:space="preserve">fuel(.697)</t>
  </si>
  <si>
    <t xml:space="preserve">(1-3)</t>
  </si>
  <si>
    <t xml:space="preserve">(1-3)IT</t>
  </si>
  <si>
    <t xml:space="preserve">(0-2) FT</t>
  </si>
  <si>
    <t xml:space="preserve">(stx-ela)</t>
  </si>
  <si>
    <t xml:space="preserve">(0-2)FT</t>
  </si>
  <si>
    <t xml:space="preserve">(ml-ml)fts1</t>
  </si>
  <si>
    <t xml:space="preserve">(winter)it</t>
  </si>
  <si>
    <t xml:space="preserve">Disc It</t>
  </si>
  <si>
    <t xml:space="preserve">FT 1-4</t>
  </si>
  <si>
    <t xml:space="preserve">IT 1-2</t>
  </si>
  <si>
    <t xml:space="preserve">Zn 2</t>
  </si>
  <si>
    <t xml:space="preserve">fuel(2.30)</t>
  </si>
  <si>
    <t xml:space="preserve">fuel(2.902)</t>
  </si>
  <si>
    <t xml:space="preserve">Apr - Nov</t>
  </si>
  <si>
    <t xml:space="preserve">(1-4)</t>
  </si>
  <si>
    <t xml:space="preserve">(1-4) it</t>
  </si>
  <si>
    <t xml:space="preserve">(0-3) FT</t>
  </si>
  <si>
    <t xml:space="preserve">(stx-m1)</t>
  </si>
  <si>
    <t xml:space="preserve">(stx-m2)</t>
  </si>
  <si>
    <t xml:space="preserve">(0-3)FT</t>
  </si>
  <si>
    <t xml:space="preserve">(off-off)its2</t>
  </si>
  <si>
    <t xml:space="preserve">(gath)it</t>
  </si>
  <si>
    <t xml:space="preserve">fuel(2.60)</t>
  </si>
  <si>
    <t xml:space="preserve">FT SL-1</t>
  </si>
  <si>
    <t xml:space="preserve">Disc 1-2</t>
  </si>
  <si>
    <t xml:space="preserve">Zn 3</t>
  </si>
  <si>
    <t xml:space="preserve">(1-5)</t>
  </si>
  <si>
    <t xml:space="preserve">(2-2) it</t>
  </si>
  <si>
    <t xml:space="preserve">(0-4) FT</t>
  </si>
  <si>
    <t xml:space="preserve">(stx-m3)</t>
  </si>
  <si>
    <t xml:space="preserve">(on-on)its2</t>
  </si>
  <si>
    <t xml:space="preserve">Disc IT</t>
  </si>
  <si>
    <t xml:space="preserve">FT 1-SL</t>
  </si>
  <si>
    <t xml:space="preserve">Disc 1-1</t>
  </si>
  <si>
    <t xml:space="preserve">(1-6)</t>
  </si>
  <si>
    <t xml:space="preserve">(2-3)IT</t>
  </si>
  <si>
    <t xml:space="preserve">(0-5) FT</t>
  </si>
  <si>
    <t xml:space="preserve">(wla-wla)</t>
  </si>
  <si>
    <t xml:space="preserve">(ml-ml)its1</t>
  </si>
  <si>
    <t xml:space="preserve">(2-2)</t>
  </si>
  <si>
    <t xml:space="preserve">(2-4) it</t>
  </si>
  <si>
    <t xml:space="preserve">(0-6) FT</t>
  </si>
  <si>
    <t xml:space="preserve">(wla-m1)</t>
  </si>
  <si>
    <t xml:space="preserve">Iroq Fuel</t>
  </si>
  <si>
    <t xml:space="preserve">(on-on)DISC</t>
  </si>
  <si>
    <t xml:space="preserve">Z1 - Z1</t>
  </si>
  <si>
    <t xml:space="preserve">Z1 -Z2</t>
  </si>
  <si>
    <t xml:space="preserve">(2-3)</t>
  </si>
  <si>
    <t xml:space="preserve">(3-3)IT</t>
  </si>
  <si>
    <t xml:space="preserve">(L-L) FT</t>
  </si>
  <si>
    <t xml:space="preserve">(wla-ela)</t>
  </si>
  <si>
    <t xml:space="preserve">(wla-m2)</t>
  </si>
  <si>
    <t xml:space="preserve">Z2 - Z2</t>
  </si>
  <si>
    <t xml:space="preserve">(rn-lch)Disc</t>
  </si>
  <si>
    <t xml:space="preserve">(2-4)</t>
  </si>
  <si>
    <t xml:space="preserve">(3-4) it</t>
  </si>
  <si>
    <t xml:space="preserve">(1-1) FT</t>
  </si>
  <si>
    <t xml:space="preserve">(wla-m3)</t>
  </si>
  <si>
    <t xml:space="preserve">(2-5)</t>
  </si>
  <si>
    <t xml:space="preserve">(3-6) it</t>
  </si>
  <si>
    <t xml:space="preserve">(1-2) FT</t>
  </si>
  <si>
    <t xml:space="preserve">(etx-wla)</t>
  </si>
  <si>
    <t xml:space="preserve">(2-6)</t>
  </si>
  <si>
    <t xml:space="preserve">(4-4) it</t>
  </si>
  <si>
    <t xml:space="preserve">(1-3) FT</t>
  </si>
  <si>
    <t xml:space="preserve">(ela-ela)</t>
  </si>
  <si>
    <t xml:space="preserve">(3-3)</t>
  </si>
  <si>
    <t xml:space="preserve">(4-5) it</t>
  </si>
  <si>
    <t xml:space="preserve">(1-4) FT</t>
  </si>
  <si>
    <t xml:space="preserve">(etx-stx)</t>
  </si>
  <si>
    <t xml:space="preserve">(ela-m1)</t>
  </si>
  <si>
    <t xml:space="preserve">(3-4) </t>
  </si>
  <si>
    <t xml:space="preserve">Transco  </t>
  </si>
  <si>
    <t xml:space="preserve">(4a-4a) it</t>
  </si>
  <si>
    <t xml:space="preserve">(1-5) FT</t>
  </si>
  <si>
    <t xml:space="preserve">(ela-m2)</t>
  </si>
  <si>
    <t xml:space="preserve">(3-5)</t>
  </si>
  <si>
    <t xml:space="preserve">Transco it</t>
  </si>
  <si>
    <t xml:space="preserve">(6-6) it</t>
  </si>
  <si>
    <t xml:space="preserve">(1-6) FT</t>
  </si>
  <si>
    <t xml:space="preserve">(etx-etx)</t>
  </si>
  <si>
    <t xml:space="preserve">(ela-m3)</t>
  </si>
  <si>
    <t xml:space="preserve">(3-6)</t>
  </si>
  <si>
    <t xml:space="preserve">Leidy-Emporia</t>
  </si>
  <si>
    <t xml:space="preserve">(2-5) FT</t>
  </si>
  <si>
    <t xml:space="preserve">(etx-ela )</t>
  </si>
  <si>
    <t xml:space="preserve">(m1-m2)</t>
  </si>
  <si>
    <t xml:space="preserve">(4-4) </t>
  </si>
  <si>
    <t xml:space="preserve">Leidy-AGL</t>
  </si>
  <si>
    <t xml:space="preserve">(4-4) FT</t>
  </si>
  <si>
    <t xml:space="preserve">(m1-m3)</t>
  </si>
  <si>
    <t xml:space="preserve">(4-5) </t>
  </si>
  <si>
    <t xml:space="preserve">Leidy-Doyle</t>
  </si>
  <si>
    <t xml:space="preserve">(4-6) FT</t>
  </si>
  <si>
    <t xml:space="preserve">(m2-m2)</t>
  </si>
  <si>
    <t xml:space="preserve">(4-6) </t>
  </si>
  <si>
    <t xml:space="preserve">St 210-Doyle</t>
  </si>
  <si>
    <t xml:space="preserve">(5-4) FT</t>
  </si>
  <si>
    <t xml:space="preserve">(m2-m3)</t>
  </si>
  <si>
    <t xml:space="preserve">(4a-4a)</t>
  </si>
  <si>
    <t xml:space="preserve">(5-5) FT</t>
  </si>
  <si>
    <t xml:space="preserve">(m3-m3)</t>
  </si>
  <si>
    <t xml:space="preserve">(5-5)</t>
  </si>
  <si>
    <t xml:space="preserve">TGP Backhaul</t>
  </si>
  <si>
    <t xml:space="preserve">      (5-5) FT</t>
  </si>
  <si>
    <t xml:space="preserve">(m1-m1)</t>
  </si>
  <si>
    <t xml:space="preserve">(5-6)</t>
  </si>
  <si>
    <t xml:space="preserve">(5-6)  FT</t>
  </si>
  <si>
    <t xml:space="preserve">(6-6)</t>
  </si>
  <si>
    <t xml:space="preserve">(6-4)  FT</t>
  </si>
  <si>
    <t xml:space="preserve">Leidy to Emporia</t>
  </si>
  <si>
    <t xml:space="preserve">(6-5)  FT</t>
  </si>
  <si>
    <t xml:space="preserve">St 210 to Doyle</t>
  </si>
  <si>
    <t xml:space="preserve">(6-6)  FT</t>
  </si>
  <si>
    <t xml:space="preserve">Leidy to Doyle</t>
  </si>
  <si>
    <t xml:space="preserve">Tenn NET 284</t>
  </si>
  <si>
    <t xml:space="preserve">fuel(1.31)</t>
  </si>
  <si>
    <t xml:space="preserve">Leidy to AGL</t>
  </si>
  <si>
    <t xml:space="preserve">(L-L)  IT</t>
  </si>
  <si>
    <t xml:space="preserve">(0-l)  IT</t>
  </si>
  <si>
    <t xml:space="preserve">(0-3)  IT</t>
  </si>
  <si>
    <t xml:space="preserve">(0-4)  IT</t>
  </si>
  <si>
    <t xml:space="preserve">(0-6)  IT</t>
  </si>
  <si>
    <t xml:space="preserve">(l-2)  IT</t>
  </si>
  <si>
    <t xml:space="preserve">(1-3) IT</t>
  </si>
  <si>
    <t xml:space="preserve">(1-4) IT</t>
  </si>
  <si>
    <t xml:space="preserve">(1-5) IT</t>
  </si>
  <si>
    <t xml:space="preserve">(1-6) IT</t>
  </si>
  <si>
    <t xml:space="preserve">(4-6) IT</t>
  </si>
  <si>
    <t xml:space="preserve">(5-3) IT</t>
  </si>
  <si>
    <t xml:space="preserve">(5-4) IT</t>
  </si>
  <si>
    <t xml:space="preserve">(5-5) IT</t>
  </si>
  <si>
    <t xml:space="preserve">(5-6) IT</t>
  </si>
  <si>
    <t xml:space="preserve">(6-3) IT</t>
  </si>
  <si>
    <t xml:space="preserve">(6-4) IT</t>
  </si>
  <si>
    <t xml:space="preserve">(6-5) IT</t>
  </si>
  <si>
    <t xml:space="preserve">(6-6) IT</t>
  </si>
  <si>
    <t xml:space="preserve">special rates per victoria versen</t>
  </si>
  <si>
    <t xml:space="preserve">(0-0) FT special</t>
  </si>
  <si>
    <t xml:space="preserve">(0-1) FT special</t>
  </si>
  <si>
    <t xml:space="preserve">(0-2) FT special</t>
  </si>
  <si>
    <t xml:space="preserve">(0-3) FT special</t>
  </si>
  <si>
    <t xml:space="preserve">(L-L) FT special</t>
  </si>
  <si>
    <t xml:space="preserve">(1-1) FT special</t>
  </si>
  <si>
    <t xml:space="preserve">(1-2) FT special</t>
  </si>
  <si>
    <t xml:space="preserve">(1-3) FT special</t>
  </si>
  <si>
    <t xml:space="preserve">Note:</t>
  </si>
  <si>
    <t xml:space="preserve">Effective 2/1/01</t>
  </si>
  <si>
    <t xml:space="preserve">Tenn contract with all receipts and deliveries in Zones 0, 1, &amp; 2.  Only deliveries to Broad Run allowed in Zone 3</t>
  </si>
  <si>
    <t xml:space="preserve">MDQ= 144,000 dt.</t>
  </si>
  <si>
    <t xml:space="preserve">See deal 595311</t>
  </si>
  <si>
    <t xml:space="preserve">2/1/2001   Transco fuels change effective 4/1/2001</t>
  </si>
  <si>
    <t xml:space="preserve">Delivery</t>
  </si>
  <si>
    <t xml:space="preserve">Receipt</t>
  </si>
  <si>
    <t xml:space="preserve">Zone 4A to Zone 4A = .59%</t>
  </si>
  <si>
    <t xml:space="preserve">Winter Fuel Nov-Mar</t>
  </si>
  <si>
    <t xml:space="preserve">Winter Fuel Dec-Mar</t>
  </si>
  <si>
    <t xml:space="preserve">Summer Apr-Nov</t>
  </si>
  <si>
    <t xml:space="preserve">Winter Fuel</t>
  </si>
  <si>
    <t xml:space="preserve">Nov 1 - Mar 31</t>
  </si>
  <si>
    <t xml:space="preserve">Updtd Fuel 12/1/2000</t>
  </si>
  <si>
    <t xml:space="preserve">Updated eff 3/1/2000</t>
  </si>
  <si>
    <t xml:space="preserve">Updated eff 1/1/2001</t>
  </si>
  <si>
    <t xml:space="preserve">tgt sl-sl</t>
  </si>
  <si>
    <t xml:space="preserve">fuel(.22)</t>
  </si>
  <si>
    <t xml:space="preserve">fuel(.58)</t>
  </si>
  <si>
    <t xml:space="preserve">tgt sl-4</t>
  </si>
  <si>
    <t xml:space="preserve">fuel(2.68)</t>
  </si>
  <si>
    <t xml:space="preserve">tgt 1-4</t>
  </si>
  <si>
    <t xml:space="preserve">tgt SL-1</t>
  </si>
  <si>
    <t xml:space="preserve">fuel(1.69)</t>
  </si>
  <si>
    <t xml:space="preserve">tgt 1-SL (Backhaul)</t>
  </si>
  <si>
    <t xml:space="preserve">fuel(0.0)</t>
  </si>
  <si>
    <t xml:space="preserve">fuel(0.005)</t>
  </si>
  <si>
    <t xml:space="preserve">Storage GSS Sheet 27</t>
  </si>
  <si>
    <t xml:space="preserve">Injection</t>
  </si>
  <si>
    <t xml:space="preserve">Index</t>
  </si>
  <si>
    <t xml:space="preserve">Z6</t>
  </si>
  <si>
    <t xml:space="preserve">Inj Fuel</t>
  </si>
  <si>
    <t xml:space="preserve">  note:  Fuel is the sum of 3.10% from Transco and 1.64% from CNG.</t>
  </si>
  <si>
    <t xml:space="preserve">Fuel Cost</t>
  </si>
  <si>
    <t xml:space="preserve">Total Cost</t>
  </si>
  <si>
    <t xml:space="preserve">Withdrawal</t>
  </si>
  <si>
    <t xml:space="preserve">W/D Fuel</t>
  </si>
  <si>
    <t xml:space="preserve">Storage WSS Sheet 27A</t>
  </si>
  <si>
    <t xml:space="preserve">Storage LSS Sheet 28A</t>
  </si>
  <si>
    <t xml:space="preserve">  note:  Fuel is 100% third party fuel</t>
  </si>
  <si>
    <t xml:space="preserve">Storage SS1 Sheet 28B</t>
  </si>
  <si>
    <t xml:space="preserve">Transco Injection Cost</t>
  </si>
  <si>
    <t xml:space="preserve">Transport</t>
  </si>
  <si>
    <t xml:space="preserve">CNG Transport Cost from Leidy to Tioga</t>
  </si>
  <si>
    <t xml:space="preserve">CNG Transport Cost from Tioga to Leidy</t>
  </si>
  <si>
    <t xml:space="preserve">Transco Withdrawal Cost</t>
  </si>
  <si>
    <t xml:space="preserve">Transport Leidy to Bug Contract 2.2173  Sheet No 37E  FTA-R</t>
  </si>
  <si>
    <t xml:space="preserve">ACA + GRI</t>
  </si>
  <si>
    <t xml:space="preserve">No Great Plains Surcharge</t>
  </si>
  <si>
    <t xml:space="preserve">Storage GSS &amp; GSS-TE</t>
  </si>
  <si>
    <t xml:space="preserve">CNG South</t>
  </si>
  <si>
    <t xml:space="preserve">GSS-TE Surcharge</t>
  </si>
  <si>
    <t xml:space="preserve">Only variable cost difference between GSS and GSSTE is the </t>
  </si>
  <si>
    <t xml:space="preserve">GSS-TE surcharge on withdrawals</t>
  </si>
  <si>
    <t xml:space="preserve">Storage SS-3</t>
  </si>
  <si>
    <t xml:space="preserve">Storage Transport Service STS-1</t>
  </si>
  <si>
    <t xml:space="preserve">Commodity</t>
  </si>
  <si>
    <t xml:space="preserve">apr-nov fuel</t>
  </si>
  <si>
    <t xml:space="preserve">PRO-RATED</t>
  </si>
  <si>
    <t xml:space="preserve">REGION</t>
  </si>
  <si>
    <t xml:space="preserve">CAPACITY</t>
  </si>
  <si>
    <t xml:space="preserve">% TOTAL</t>
  </si>
  <si>
    <t xml:space="preserve">RATE</t>
  </si>
  <si>
    <t xml:space="preserve"> RATE</t>
  </si>
  <si>
    <t xml:space="preserve">BASIS</t>
  </si>
  <si>
    <t xml:space="preserve">TOTAL</t>
  </si>
  <si>
    <t xml:space="preserve">STX - M3</t>
  </si>
  <si>
    <t xml:space="preserve">WLA- M3</t>
  </si>
  <si>
    <t xml:space="preserve">ELA - M3</t>
  </si>
  <si>
    <t xml:space="preserve">m1 - M3</t>
  </si>
  <si>
    <t xml:space="preserve">ETX - M3</t>
  </si>
  <si>
    <t xml:space="preserve">M3 Bid</t>
  </si>
  <si>
    <t xml:space="preserve">Demand</t>
  </si>
  <si>
    <t xml:space="preserve">STX - M2</t>
  </si>
  <si>
    <t xml:space="preserve">WLA - M2</t>
  </si>
  <si>
    <t xml:space="preserve">ELA - M2</t>
  </si>
  <si>
    <t xml:space="preserve">m1 - M2</t>
  </si>
  <si>
    <t xml:space="preserve">ETX - M2</t>
  </si>
  <si>
    <t xml:space="preserve">M2 Bid (CNG)</t>
  </si>
  <si>
    <t xml:space="preserve">Sta 30 - Z6</t>
  </si>
  <si>
    <t xml:space="preserve">Sta 45 - Z6</t>
  </si>
  <si>
    <t xml:space="preserve">Sta 65 - Z6</t>
  </si>
  <si>
    <t xml:space="preserve">Basis</t>
  </si>
  <si>
    <t xml:space="preserve">Other</t>
  </si>
  <si>
    <t xml:space="preserve">On Offer</t>
  </si>
  <si>
    <t xml:space="preserve">TCO Bid</t>
  </si>
  <si>
    <t xml:space="preserve">FT/FT</t>
  </si>
  <si>
    <t xml:space="preserve">IT/FT</t>
  </si>
  <si>
    <t xml:space="preserve">Prod Basis</t>
  </si>
  <si>
    <t xml:space="preserve">Tco Bid</t>
  </si>
  <si>
    <t xml:space="preserve">Z0 to Z3</t>
  </si>
  <si>
    <t xml:space="preserve">Z1 to Z3</t>
  </si>
  <si>
    <t xml:space="preserve">Z0 to Z4</t>
  </si>
  <si>
    <t xml:space="preserve">Z1 to Z4</t>
  </si>
  <si>
    <t xml:space="preserve">Special</t>
  </si>
  <si>
    <t xml:space="preserve">STX - ELA</t>
  </si>
  <si>
    <t xml:space="preserve">ELA BID</t>
  </si>
  <si>
    <t xml:space="preserve">bas diff -</t>
  </si>
  <si>
    <t xml:space="preserve">value * 5 </t>
  </si>
  <si>
    <t xml:space="preserve">pro rate</t>
  </si>
  <si>
    <t xml:space="preserve">pro basis</t>
  </si>
  <si>
    <t xml:space="preserve">basis diff</t>
  </si>
  <si>
    <t xml:space="preserve">rate</t>
  </si>
  <si>
    <t xml:space="preserve">months</t>
  </si>
  <si>
    <t xml:space="preserve">summerrates</t>
  </si>
  <si>
    <t xml:space="preserve">basis</t>
  </si>
  <si>
    <t xml:space="preserve">z1 to z3</t>
  </si>
  <si>
    <t xml:space="preserve">cng s bid</t>
  </si>
  <si>
    <t xml:space="preserve">z1 to z4</t>
  </si>
  <si>
    <t xml:space="preserve">cng n bid</t>
  </si>
  <si>
    <t xml:space="preserve">Z0 to Z5</t>
  </si>
  <si>
    <t xml:space="preserve">Z1 to Z5</t>
  </si>
  <si>
    <t xml:space="preserve">z1 to z5</t>
  </si>
</sst>
</file>

<file path=xl/styles.xml><?xml version="1.0" encoding="utf-8"?>
<styleSheet xmlns="http://schemas.openxmlformats.org/spreadsheetml/2006/main">
  <numFmts count="38">
    <numFmt numFmtId="164" formatCode="General"/>
    <numFmt numFmtId="165" formatCode="[$-409]m/d/yyyy"/>
    <numFmt numFmtId="166" formatCode="_(\$* #,##0.00_);_(\$* \(#,##0.00\);_(\$* \-??_);_(@_)"/>
    <numFmt numFmtId="167" formatCode="_(\$* #,##0.0000_);_(\$* \(#,##0.0000\);_(\$* \-??_);_(@_)"/>
    <numFmt numFmtId="168" formatCode="[$-409]#,##0_);[RED]\(#,##0\)"/>
    <numFmt numFmtId="169" formatCode="@"/>
    <numFmt numFmtId="170" formatCode="[$-409]d\-mmm"/>
    <numFmt numFmtId="171" formatCode="#,##0.00000"/>
    <numFmt numFmtId="172" formatCode="\$#,##0.0000_);[RED]&quot;($&quot;#,##0.0000\)"/>
    <numFmt numFmtId="173" formatCode="0.000%"/>
    <numFmt numFmtId="174" formatCode="0"/>
    <numFmt numFmtId="175" formatCode="#,##0"/>
    <numFmt numFmtId="176" formatCode="_(\$* #,##0.000_);_(\$* \(#,##0.000\);_(\$* \-??_);_(@_)"/>
    <numFmt numFmtId="177" formatCode="\$#,##0.00_);[RED]&quot;($&quot;#,##0.00\)"/>
    <numFmt numFmtId="178" formatCode="# ?/?"/>
    <numFmt numFmtId="179" formatCode="0.00%"/>
    <numFmt numFmtId="180" formatCode="_(\$* #,##0_);_(\$* \(#,##0\);_(\$* \-??_);_(@_)"/>
    <numFmt numFmtId="181" formatCode="#,##0.00"/>
    <numFmt numFmtId="182" formatCode="#,##0.000"/>
    <numFmt numFmtId="183" formatCode="0.0000"/>
    <numFmt numFmtId="184" formatCode="_(* #,##0.00_);_(* \(#,##0.00\);_(* \-??_);_(@_)"/>
    <numFmt numFmtId="185" formatCode="_(* #,##0.000_);_(* \(#,##0.000\);_(* \-??_);_(@_)"/>
    <numFmt numFmtId="186" formatCode="_(* #,##0_);_(* \(#,##0\);_(* \-??_);_(@_)"/>
    <numFmt numFmtId="187" formatCode="_(* #,##0.0000_);_(* \(#,##0.0000\);_(* \-??_);_(@_)"/>
    <numFmt numFmtId="188" formatCode="0.000"/>
    <numFmt numFmtId="189" formatCode="[$-409]d\-mmm\-yy"/>
    <numFmt numFmtId="190" formatCode="\$#,##0.000"/>
    <numFmt numFmtId="191" formatCode="\$#,##0.0000_);&quot;($&quot;#,##0.0000\)"/>
    <numFmt numFmtId="192" formatCode="\$#,##0.00_);&quot;($&quot;#,##0.00\)"/>
    <numFmt numFmtId="193" formatCode="\$#,##0.000_);[RED]&quot;($&quot;#,##0.000\)"/>
    <numFmt numFmtId="194" formatCode="0%"/>
    <numFmt numFmtId="195" formatCode="0.0000%"/>
    <numFmt numFmtId="196" formatCode="0.00000"/>
    <numFmt numFmtId="197" formatCode="\$#,##0.00000_);[RED]&quot;($&quot;#,##0.00000\)"/>
    <numFmt numFmtId="198" formatCode="[$-409]mmm\-yy"/>
    <numFmt numFmtId="199" formatCode="0.00"/>
    <numFmt numFmtId="200" formatCode="_(\$* #,##0.00000_);_(\$* \(#,##0.00000\);_(\$* \-??_);_(@_)"/>
    <numFmt numFmtId="201" formatCode="\$#,##0.000_);&quot;($&quot;#,##0.000\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u val="single"/>
      <sz val="8"/>
      <name val="Arial"/>
      <family val="2"/>
    </font>
    <font>
      <sz val="8"/>
      <color rgb="FF000000"/>
      <name val="Arial"/>
      <family val="2"/>
    </font>
    <font>
      <b val="true"/>
      <u val="single"/>
      <sz val="8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name val="Arial"/>
      <family val="0"/>
    </font>
    <font>
      <b val="true"/>
      <sz val="10"/>
      <color rgb="FF00800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u val="single"/>
      <sz val="10"/>
      <name val="Arial"/>
      <family val="0"/>
    </font>
    <font>
      <b val="true"/>
      <sz val="9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69FFFF"/>
        <bgColor rgb="FFA6CAF0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A6CAF0"/>
        <bgColor rgb="FFCCCCFF"/>
      </patternFill>
    </fill>
    <fill>
      <patternFill patternType="solid">
        <fgColor rgb="FFFF0000"/>
        <bgColor rgb="FF993300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thin"/>
      <top style="dashed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double"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94" fontId="0" fillId="0" borderId="0" applyFont="true" applyBorder="false" applyAlignment="false" applyProtection="false"/>
  </cellStyleXfs>
  <cellXfs count="4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7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4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1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13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2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2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6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6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6" fillId="8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2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1" fontId="2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CCC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6" style="0" width="10.85"/>
    <col collapsed="false" customWidth="true" hidden="false" outlineLevel="0" max="8" min="8" style="0" width="4.14"/>
    <col collapsed="false" customWidth="true" hidden="false" outlineLevel="0" max="13" min="12" style="0" width="10.85"/>
  </cols>
  <sheetData>
    <row r="2" customFormat="false" ht="12.75" hidden="false" customHeight="false" outlineLevel="0" collapsed="false">
      <c r="C2" s="0" t="n">
        <v>643788</v>
      </c>
      <c r="I2" s="0" t="n">
        <v>643789</v>
      </c>
    </row>
    <row r="3" customFormat="false" ht="12.75" hidden="false" customHeight="false" outlineLevel="0" collapsed="false">
      <c r="B3" s="0" t="s">
        <v>0</v>
      </c>
      <c r="C3" s="0" t="s">
        <v>1</v>
      </c>
      <c r="D3" s="0" t="s">
        <v>2</v>
      </c>
      <c r="E3" s="0" t="s">
        <v>3</v>
      </c>
      <c r="F3" s="0" t="s">
        <v>4</v>
      </c>
      <c r="G3" s="0" t="s">
        <v>5</v>
      </c>
      <c r="I3" s="0" t="s">
        <v>6</v>
      </c>
      <c r="J3" s="0" t="s">
        <v>7</v>
      </c>
      <c r="K3" s="0" t="s">
        <v>3</v>
      </c>
      <c r="L3" s="0" t="s">
        <v>4</v>
      </c>
      <c r="M3" s="0" t="s">
        <v>5</v>
      </c>
    </row>
    <row r="4" customFormat="false" ht="12.75" hidden="false" customHeight="false" outlineLevel="0" collapsed="false">
      <c r="B4" s="1" t="n">
        <v>36951</v>
      </c>
      <c r="E4" s="0" t="n">
        <f aca="false">+C4-D4</f>
        <v>0</v>
      </c>
      <c r="K4" s="0" t="n">
        <f aca="false">+I4-J4</f>
        <v>0</v>
      </c>
    </row>
    <row r="5" customFormat="false" ht="12.75" hidden="false" customHeight="false" outlineLevel="0" collapsed="false">
      <c r="B5" s="1" t="n">
        <f aca="false">+B4+1</f>
        <v>36952</v>
      </c>
      <c r="C5" s="0" t="n">
        <v>7489</v>
      </c>
      <c r="E5" s="0" t="n">
        <f aca="false">+E4+C5-D5</f>
        <v>7489</v>
      </c>
      <c r="F5" s="2" t="n">
        <v>0.0724</v>
      </c>
      <c r="G5" s="3" t="n">
        <f aca="false">+F5*E5</f>
        <v>542.2036</v>
      </c>
      <c r="K5" s="0" t="n">
        <f aca="false">+K4+I5-J5</f>
        <v>0</v>
      </c>
      <c r="L5" s="2" t="n">
        <v>0.0724</v>
      </c>
      <c r="M5" s="3" t="n">
        <f aca="false">+L5*K5</f>
        <v>0</v>
      </c>
    </row>
    <row r="6" customFormat="false" ht="12.75" hidden="false" customHeight="false" outlineLevel="0" collapsed="false">
      <c r="B6" s="1" t="n">
        <f aca="false">+B5+1</f>
        <v>36953</v>
      </c>
      <c r="D6" s="0" t="n">
        <v>2670</v>
      </c>
      <c r="E6" s="0" t="n">
        <f aca="false">+E5+C6-D6</f>
        <v>4819</v>
      </c>
      <c r="F6" s="2" t="n">
        <v>0.0724</v>
      </c>
      <c r="G6" s="3" t="n">
        <f aca="false">+F6*E6</f>
        <v>348.8956</v>
      </c>
      <c r="K6" s="0" t="n">
        <f aca="false">+K5+I6-J6</f>
        <v>0</v>
      </c>
      <c r="L6" s="2" t="n">
        <v>0.0724</v>
      </c>
      <c r="M6" s="3" t="n">
        <f aca="false">+L6*K6</f>
        <v>0</v>
      </c>
    </row>
    <row r="7" customFormat="false" ht="12.75" hidden="false" customHeight="false" outlineLevel="0" collapsed="false">
      <c r="B7" s="1" t="n">
        <f aca="false">+B6+1</f>
        <v>36954</v>
      </c>
      <c r="D7" s="0" t="n">
        <v>2670</v>
      </c>
      <c r="E7" s="0" t="n">
        <f aca="false">+E6+C7-D7</f>
        <v>2149</v>
      </c>
      <c r="F7" s="2" t="n">
        <v>0.0724</v>
      </c>
      <c r="G7" s="3" t="n">
        <f aca="false">+F7*E7</f>
        <v>155.5876</v>
      </c>
      <c r="K7" s="0" t="n">
        <f aca="false">+K6+I7-J7</f>
        <v>0</v>
      </c>
      <c r="L7" s="2" t="n">
        <v>0.0724</v>
      </c>
      <c r="M7" s="3" t="n">
        <f aca="false">+L7*K7</f>
        <v>0</v>
      </c>
    </row>
    <row r="8" customFormat="false" ht="12.75" hidden="false" customHeight="false" outlineLevel="0" collapsed="false">
      <c r="B8" s="1" t="n">
        <f aca="false">+B7+1</f>
        <v>36955</v>
      </c>
      <c r="D8" s="0" t="n">
        <v>2670</v>
      </c>
      <c r="E8" s="0" t="n">
        <f aca="false">+E7+C8-D8</f>
        <v>-521</v>
      </c>
      <c r="F8" s="2" t="n">
        <v>0.0724</v>
      </c>
      <c r="G8" s="3" t="n">
        <f aca="false">+F8*E8</f>
        <v>-37.7204</v>
      </c>
      <c r="K8" s="0" t="n">
        <f aca="false">+K7+I8-J8</f>
        <v>0</v>
      </c>
      <c r="L8" s="2" t="n">
        <v>0.0724</v>
      </c>
      <c r="M8" s="3" t="n">
        <f aca="false">+L8*K8</f>
        <v>0</v>
      </c>
    </row>
    <row r="9" customFormat="false" ht="12.75" hidden="false" customHeight="false" outlineLevel="0" collapsed="false">
      <c r="B9" s="1" t="n">
        <f aca="false">+B8+1</f>
        <v>36956</v>
      </c>
      <c r="E9" s="0" t="n">
        <f aca="false">+E8+C9-D9</f>
        <v>-521</v>
      </c>
      <c r="F9" s="2" t="n">
        <v>0.0724</v>
      </c>
      <c r="G9" s="3" t="n">
        <f aca="false">+F9*E9</f>
        <v>-37.7204</v>
      </c>
      <c r="K9" s="0" t="n">
        <f aca="false">+K8+I9-J9</f>
        <v>0</v>
      </c>
      <c r="L9" s="2" t="n">
        <v>0.0724</v>
      </c>
      <c r="M9" s="3" t="n">
        <f aca="false">+L9*K9</f>
        <v>0</v>
      </c>
    </row>
    <row r="10" customFormat="false" ht="12.75" hidden="false" customHeight="false" outlineLevel="0" collapsed="false">
      <c r="B10" s="1" t="n">
        <f aca="false">+B9+1</f>
        <v>36957</v>
      </c>
      <c r="E10" s="0" t="n">
        <f aca="false">+E9+C10-D10</f>
        <v>-521</v>
      </c>
      <c r="F10" s="2" t="n">
        <v>0.0724</v>
      </c>
      <c r="G10" s="3" t="n">
        <f aca="false">+F10*E10</f>
        <v>-37.7204</v>
      </c>
      <c r="K10" s="0" t="n">
        <f aca="false">+K9+I10-J10</f>
        <v>0</v>
      </c>
      <c r="L10" s="2" t="n">
        <v>0.0724</v>
      </c>
      <c r="M10" s="3" t="n">
        <f aca="false">+L10*K10</f>
        <v>0</v>
      </c>
    </row>
    <row r="11" customFormat="false" ht="12.75" hidden="false" customHeight="false" outlineLevel="0" collapsed="false">
      <c r="B11" s="1" t="n">
        <f aca="false">+B10+1</f>
        <v>36958</v>
      </c>
      <c r="E11" s="0" t="n">
        <f aca="false">+E10+C11-D11</f>
        <v>-521</v>
      </c>
      <c r="F11" s="2" t="n">
        <v>0.0724</v>
      </c>
      <c r="G11" s="3" t="n">
        <f aca="false">+F11*E11</f>
        <v>-37.7204</v>
      </c>
      <c r="K11" s="0" t="n">
        <f aca="false">+K10+I11-J11</f>
        <v>0</v>
      </c>
      <c r="L11" s="2" t="n">
        <v>0.0724</v>
      </c>
      <c r="M11" s="3" t="n">
        <f aca="false">+L11*K11</f>
        <v>0</v>
      </c>
    </row>
    <row r="12" customFormat="false" ht="12.75" hidden="false" customHeight="false" outlineLevel="0" collapsed="false">
      <c r="B12" s="1" t="n">
        <f aca="false">+B11+1</f>
        <v>36959</v>
      </c>
      <c r="E12" s="0" t="n">
        <f aca="false">+E11+C12-D12</f>
        <v>-521</v>
      </c>
      <c r="F12" s="2" t="n">
        <v>0.0724</v>
      </c>
      <c r="G12" s="3" t="n">
        <f aca="false">+F12*E12</f>
        <v>-37.7204</v>
      </c>
      <c r="K12" s="0" t="n">
        <f aca="false">+K11+I12-J12</f>
        <v>0</v>
      </c>
      <c r="L12" s="2" t="n">
        <v>0.0724</v>
      </c>
      <c r="M12" s="3" t="n">
        <f aca="false">+L12*K12</f>
        <v>0</v>
      </c>
    </row>
    <row r="13" customFormat="false" ht="12.75" hidden="false" customHeight="false" outlineLevel="0" collapsed="false">
      <c r="B13" s="1" t="n">
        <f aca="false">+B12+1</f>
        <v>36960</v>
      </c>
      <c r="E13" s="0" t="n">
        <f aca="false">+E12+C13-D13</f>
        <v>-521</v>
      </c>
      <c r="F13" s="2" t="n">
        <v>0.0724</v>
      </c>
      <c r="G13" s="3" t="n">
        <f aca="false">+F13*E13</f>
        <v>-37.7204</v>
      </c>
      <c r="K13" s="0" t="n">
        <f aca="false">+K12+I13-J13</f>
        <v>0</v>
      </c>
      <c r="L13" s="2" t="n">
        <v>0.0724</v>
      </c>
      <c r="M13" s="3" t="n">
        <f aca="false">+L13*K13</f>
        <v>0</v>
      </c>
    </row>
    <row r="14" customFormat="false" ht="12.75" hidden="false" customHeight="false" outlineLevel="0" collapsed="false">
      <c r="B14" s="1" t="n">
        <f aca="false">+B13+1</f>
        <v>36961</v>
      </c>
      <c r="E14" s="0" t="n">
        <f aca="false">+E13+C14-D14</f>
        <v>-521</v>
      </c>
      <c r="F14" s="2" t="n">
        <v>0.0724</v>
      </c>
      <c r="G14" s="3" t="n">
        <f aca="false">+F14*E14</f>
        <v>-37.7204</v>
      </c>
      <c r="K14" s="0" t="n">
        <f aca="false">+K13+I14-J14</f>
        <v>0</v>
      </c>
      <c r="L14" s="2" t="n">
        <v>0.0724</v>
      </c>
      <c r="M14" s="3" t="n">
        <f aca="false">+L14*K14</f>
        <v>0</v>
      </c>
    </row>
    <row r="15" customFormat="false" ht="12.75" hidden="false" customHeight="false" outlineLevel="0" collapsed="false">
      <c r="B15" s="1" t="n">
        <f aca="false">+B14+1</f>
        <v>36962</v>
      </c>
      <c r="E15" s="0" t="n">
        <f aca="false">+E14+C15-D15</f>
        <v>-521</v>
      </c>
      <c r="F15" s="2" t="n">
        <v>0.0724</v>
      </c>
      <c r="G15" s="3" t="n">
        <f aca="false">+F15*E15</f>
        <v>-37.7204</v>
      </c>
      <c r="K15" s="0" t="n">
        <f aca="false">+K14+I15-J15</f>
        <v>0</v>
      </c>
      <c r="L15" s="2" t="n">
        <v>0.0724</v>
      </c>
      <c r="M15" s="3" t="n">
        <f aca="false">+L15*K15</f>
        <v>0</v>
      </c>
    </row>
    <row r="16" customFormat="false" ht="12.75" hidden="false" customHeight="false" outlineLevel="0" collapsed="false">
      <c r="B16" s="1" t="n">
        <f aca="false">+B15+1</f>
        <v>36963</v>
      </c>
      <c r="E16" s="0" t="n">
        <f aca="false">+E15+C16-D16</f>
        <v>-521</v>
      </c>
      <c r="F16" s="2" t="n">
        <v>0.0724</v>
      </c>
      <c r="G16" s="3" t="n">
        <f aca="false">+F16*E16</f>
        <v>-37.7204</v>
      </c>
      <c r="K16" s="0" t="n">
        <f aca="false">+K15+I16-J16</f>
        <v>0</v>
      </c>
      <c r="L16" s="2" t="n">
        <v>0.0724</v>
      </c>
      <c r="M16" s="3" t="n">
        <f aca="false">+L16*K16</f>
        <v>0</v>
      </c>
    </row>
    <row r="17" customFormat="false" ht="12.75" hidden="false" customHeight="false" outlineLevel="0" collapsed="false">
      <c r="B17" s="1" t="n">
        <f aca="false">+B16+1</f>
        <v>36964</v>
      </c>
      <c r="E17" s="0" t="n">
        <f aca="false">+E16+C17-D17</f>
        <v>-521</v>
      </c>
      <c r="F17" s="2" t="n">
        <v>0.0724</v>
      </c>
      <c r="G17" s="3" t="n">
        <f aca="false">+F17*E17</f>
        <v>-37.7204</v>
      </c>
      <c r="K17" s="0" t="n">
        <f aca="false">+K16+I17-J17</f>
        <v>0</v>
      </c>
      <c r="L17" s="2" t="n">
        <v>0.0724</v>
      </c>
      <c r="M17" s="3" t="n">
        <f aca="false">+L17*K17</f>
        <v>0</v>
      </c>
    </row>
    <row r="18" customFormat="false" ht="12.75" hidden="false" customHeight="false" outlineLevel="0" collapsed="false">
      <c r="B18" s="1" t="n">
        <f aca="false">+B17+1</f>
        <v>36965</v>
      </c>
      <c r="E18" s="0" t="n">
        <f aca="false">+E17+C18-D18</f>
        <v>-521</v>
      </c>
      <c r="F18" s="2" t="n">
        <v>0.0724</v>
      </c>
      <c r="G18" s="3" t="n">
        <f aca="false">+F18*E18</f>
        <v>-37.7204</v>
      </c>
      <c r="K18" s="0" t="n">
        <f aca="false">+K17+I18-J18</f>
        <v>0</v>
      </c>
      <c r="L18" s="2" t="n">
        <v>0.0724</v>
      </c>
      <c r="M18" s="3" t="n">
        <f aca="false">+L18*K18</f>
        <v>0</v>
      </c>
    </row>
    <row r="19" customFormat="false" ht="12.75" hidden="false" customHeight="false" outlineLevel="0" collapsed="false">
      <c r="B19" s="1" t="n">
        <f aca="false">+B18+1</f>
        <v>36966</v>
      </c>
      <c r="E19" s="0" t="n">
        <f aca="false">+E18+C19-D19</f>
        <v>-521</v>
      </c>
      <c r="F19" s="2" t="n">
        <v>0.0724</v>
      </c>
      <c r="G19" s="3" t="n">
        <f aca="false">+F19*E19</f>
        <v>-37.7204</v>
      </c>
      <c r="K19" s="0" t="n">
        <f aca="false">+K18+I19-J19</f>
        <v>0</v>
      </c>
      <c r="L19" s="2" t="n">
        <v>0.0724</v>
      </c>
      <c r="M19" s="3" t="n">
        <f aca="false">+L19*K19</f>
        <v>0</v>
      </c>
    </row>
    <row r="20" customFormat="false" ht="12.75" hidden="false" customHeight="false" outlineLevel="0" collapsed="false">
      <c r="B20" s="1" t="n">
        <f aca="false">+B19+1</f>
        <v>36967</v>
      </c>
      <c r="E20" s="0" t="n">
        <f aca="false">+E19+C20-D20</f>
        <v>-521</v>
      </c>
      <c r="F20" s="2" t="n">
        <v>0.0724</v>
      </c>
      <c r="G20" s="3" t="n">
        <f aca="false">+F20*E20</f>
        <v>-37.7204</v>
      </c>
      <c r="K20" s="0" t="n">
        <f aca="false">+K19+I20-J20</f>
        <v>0</v>
      </c>
      <c r="L20" s="2" t="n">
        <v>0.0724</v>
      </c>
      <c r="M20" s="3" t="n">
        <f aca="false">+L20*K20</f>
        <v>0</v>
      </c>
    </row>
    <row r="21" customFormat="false" ht="12.75" hidden="false" customHeight="false" outlineLevel="0" collapsed="false">
      <c r="B21" s="1" t="n">
        <f aca="false">+B20+1</f>
        <v>36968</v>
      </c>
      <c r="E21" s="0" t="n">
        <f aca="false">+E20+C21-D21</f>
        <v>-521</v>
      </c>
      <c r="F21" s="2" t="n">
        <v>0.0724</v>
      </c>
      <c r="G21" s="3" t="n">
        <f aca="false">+F21*E21</f>
        <v>-37.7204</v>
      </c>
      <c r="K21" s="0" t="n">
        <f aca="false">+K20+I21-J21</f>
        <v>0</v>
      </c>
      <c r="L21" s="2" t="n">
        <v>0.0724</v>
      </c>
      <c r="M21" s="3" t="n">
        <f aca="false">+L21*K21</f>
        <v>0</v>
      </c>
    </row>
    <row r="22" customFormat="false" ht="12.75" hidden="false" customHeight="false" outlineLevel="0" collapsed="false">
      <c r="B22" s="1" t="n">
        <f aca="false">+B21+1</f>
        <v>36969</v>
      </c>
      <c r="E22" s="0" t="n">
        <f aca="false">+E21+C22-D22</f>
        <v>-521</v>
      </c>
      <c r="F22" s="2" t="n">
        <v>0.0724</v>
      </c>
      <c r="G22" s="3" t="n">
        <f aca="false">+F22*E22</f>
        <v>-37.7204</v>
      </c>
      <c r="K22" s="0" t="n">
        <f aca="false">+K21+I22-J22</f>
        <v>0</v>
      </c>
      <c r="L22" s="2" t="n">
        <v>0.0724</v>
      </c>
      <c r="M22" s="3" t="n">
        <f aca="false">+L22*K22</f>
        <v>0</v>
      </c>
    </row>
    <row r="23" customFormat="false" ht="12.75" hidden="false" customHeight="false" outlineLevel="0" collapsed="false">
      <c r="B23" s="1" t="n">
        <f aca="false">+B22+1</f>
        <v>36970</v>
      </c>
      <c r="E23" s="0" t="n">
        <f aca="false">+E22+C23-D23</f>
        <v>-521</v>
      </c>
      <c r="F23" s="2" t="n">
        <v>0.0724</v>
      </c>
      <c r="G23" s="3" t="n">
        <f aca="false">+F23*E23</f>
        <v>-37.7204</v>
      </c>
      <c r="K23" s="0" t="n">
        <f aca="false">+K22+I23-J23</f>
        <v>0</v>
      </c>
      <c r="L23" s="2" t="n">
        <v>0.0724</v>
      </c>
      <c r="M23" s="3" t="n">
        <f aca="false">+L23*K23</f>
        <v>0</v>
      </c>
    </row>
    <row r="24" customFormat="false" ht="12.75" hidden="false" customHeight="false" outlineLevel="0" collapsed="false">
      <c r="B24" s="1" t="n">
        <f aca="false">+B23+1</f>
        <v>36971</v>
      </c>
      <c r="E24" s="0" t="n">
        <f aca="false">+E23+C24-D24</f>
        <v>-521</v>
      </c>
      <c r="F24" s="2" t="n">
        <v>0.0724</v>
      </c>
      <c r="G24" s="3" t="n">
        <f aca="false">+F24*E24</f>
        <v>-37.7204</v>
      </c>
      <c r="K24" s="0" t="n">
        <f aca="false">+K23+I24-J24</f>
        <v>0</v>
      </c>
      <c r="L24" s="2" t="n">
        <v>0.0724</v>
      </c>
      <c r="M24" s="3" t="n">
        <f aca="false">+L24*K24</f>
        <v>0</v>
      </c>
    </row>
    <row r="25" customFormat="false" ht="12.75" hidden="false" customHeight="false" outlineLevel="0" collapsed="false">
      <c r="B25" s="1" t="n">
        <f aca="false">+B24+1</f>
        <v>36972</v>
      </c>
      <c r="E25" s="0" t="n">
        <f aca="false">+E24+C25-D25</f>
        <v>-521</v>
      </c>
      <c r="F25" s="2" t="n">
        <v>0.0724</v>
      </c>
      <c r="G25" s="3" t="n">
        <f aca="false">+F25*E25</f>
        <v>-37.7204</v>
      </c>
      <c r="K25" s="0" t="n">
        <f aca="false">+K24+I25-J25</f>
        <v>0</v>
      </c>
      <c r="L25" s="2" t="n">
        <v>0.0724</v>
      </c>
      <c r="M25" s="3" t="n">
        <f aca="false">+L25*K25</f>
        <v>0</v>
      </c>
    </row>
    <row r="26" customFormat="false" ht="12.75" hidden="false" customHeight="false" outlineLevel="0" collapsed="false">
      <c r="B26" s="1" t="n">
        <f aca="false">+B25+1</f>
        <v>36973</v>
      </c>
      <c r="E26" s="0" t="n">
        <f aca="false">+E25+C26-D26</f>
        <v>-521</v>
      </c>
      <c r="F26" s="2" t="n">
        <v>0.0724</v>
      </c>
      <c r="G26" s="3" t="n">
        <f aca="false">+F26*E26</f>
        <v>-37.7204</v>
      </c>
      <c r="K26" s="0" t="n">
        <f aca="false">+K25+I26-J26</f>
        <v>0</v>
      </c>
      <c r="L26" s="2" t="n">
        <v>0.0724</v>
      </c>
      <c r="M26" s="3" t="n">
        <f aca="false">+L26*K26</f>
        <v>0</v>
      </c>
    </row>
    <row r="27" customFormat="false" ht="12.75" hidden="false" customHeight="false" outlineLevel="0" collapsed="false">
      <c r="B27" s="1" t="n">
        <f aca="false">+B26+1</f>
        <v>36974</v>
      </c>
      <c r="E27" s="0" t="n">
        <f aca="false">+E26+C27-D27</f>
        <v>-521</v>
      </c>
      <c r="F27" s="2" t="n">
        <v>0.0724</v>
      </c>
      <c r="G27" s="3" t="n">
        <f aca="false">+F27*E27</f>
        <v>-37.7204</v>
      </c>
      <c r="K27" s="0" t="n">
        <f aca="false">+K26+I27-J27</f>
        <v>0</v>
      </c>
      <c r="L27" s="2" t="n">
        <v>0.0724</v>
      </c>
      <c r="M27" s="3" t="n">
        <f aca="false">+L27*K27</f>
        <v>0</v>
      </c>
    </row>
    <row r="28" customFormat="false" ht="12.75" hidden="false" customHeight="false" outlineLevel="0" collapsed="false">
      <c r="B28" s="1" t="n">
        <f aca="false">+B27+1</f>
        <v>36975</v>
      </c>
      <c r="E28" s="0" t="n">
        <f aca="false">+E27+C28-D28</f>
        <v>-521</v>
      </c>
      <c r="F28" s="2" t="n">
        <v>0.0724</v>
      </c>
      <c r="G28" s="3" t="n">
        <f aca="false">+F28*E28</f>
        <v>-37.7204</v>
      </c>
      <c r="K28" s="0" t="n">
        <f aca="false">+K27+I28-J28</f>
        <v>0</v>
      </c>
      <c r="L28" s="2" t="n">
        <v>0.0724</v>
      </c>
      <c r="M28" s="3" t="n">
        <f aca="false">+L28*K28</f>
        <v>0</v>
      </c>
    </row>
    <row r="29" customFormat="false" ht="12.75" hidden="false" customHeight="false" outlineLevel="0" collapsed="false">
      <c r="B29" s="1" t="n">
        <f aca="false">+B28+1</f>
        <v>36976</v>
      </c>
      <c r="E29" s="0" t="n">
        <f aca="false">+E28+C29-D29</f>
        <v>-521</v>
      </c>
      <c r="F29" s="2" t="n">
        <v>0.0724</v>
      </c>
      <c r="G29" s="3" t="n">
        <f aca="false">+F29*E29</f>
        <v>-37.7204</v>
      </c>
      <c r="K29" s="0" t="n">
        <f aca="false">+K28+I29-J29</f>
        <v>0</v>
      </c>
      <c r="L29" s="2" t="n">
        <v>0.0724</v>
      </c>
      <c r="M29" s="3" t="n">
        <f aca="false">+L29*K29</f>
        <v>0</v>
      </c>
    </row>
    <row r="30" customFormat="false" ht="12.75" hidden="false" customHeight="false" outlineLevel="0" collapsed="false">
      <c r="B30" s="1" t="n">
        <f aca="false">+B29+1</f>
        <v>36977</v>
      </c>
      <c r="E30" s="0" t="n">
        <f aca="false">+E29+C30-D30</f>
        <v>-521</v>
      </c>
      <c r="F30" s="2" t="n">
        <v>0.0724</v>
      </c>
      <c r="G30" s="3" t="n">
        <f aca="false">+F30*E30</f>
        <v>-37.7204</v>
      </c>
      <c r="K30" s="0" t="n">
        <f aca="false">+K29+I30-J30</f>
        <v>0</v>
      </c>
      <c r="L30" s="2" t="n">
        <v>0.0724</v>
      </c>
      <c r="M30" s="3" t="n">
        <f aca="false">+L30*K30</f>
        <v>0</v>
      </c>
    </row>
    <row r="31" customFormat="false" ht="12.75" hidden="false" customHeight="false" outlineLevel="0" collapsed="false">
      <c r="B31" s="1" t="n">
        <f aca="false">+B30+1</f>
        <v>36978</v>
      </c>
      <c r="E31" s="0" t="n">
        <f aca="false">+E30+C31-D31</f>
        <v>-521</v>
      </c>
      <c r="F31" s="2" t="n">
        <v>0.0724</v>
      </c>
      <c r="G31" s="3" t="n">
        <f aca="false">+F31*E31</f>
        <v>-37.7204</v>
      </c>
      <c r="K31" s="0" t="n">
        <f aca="false">+K30+I31-J31</f>
        <v>0</v>
      </c>
      <c r="L31" s="2" t="n">
        <v>0.0724</v>
      </c>
      <c r="M31" s="3" t="n">
        <f aca="false">+L31*K31</f>
        <v>0</v>
      </c>
    </row>
    <row r="32" customFormat="false" ht="12.75" hidden="false" customHeight="false" outlineLevel="0" collapsed="false">
      <c r="B32" s="1" t="n">
        <f aca="false">+B31+1</f>
        <v>36979</v>
      </c>
      <c r="E32" s="0" t="n">
        <f aca="false">+E31+C32-D32</f>
        <v>-521</v>
      </c>
      <c r="F32" s="2" t="n">
        <v>0.0724</v>
      </c>
      <c r="G32" s="3" t="n">
        <f aca="false">+F32*E32</f>
        <v>-37.7204</v>
      </c>
      <c r="K32" s="0" t="n">
        <f aca="false">+K31+I32-J32</f>
        <v>0</v>
      </c>
      <c r="L32" s="2" t="n">
        <v>0.0724</v>
      </c>
      <c r="M32" s="3" t="n">
        <f aca="false">+L32*K32</f>
        <v>0</v>
      </c>
    </row>
    <row r="33" customFormat="false" ht="12.75" hidden="false" customHeight="false" outlineLevel="0" collapsed="false">
      <c r="B33" s="1" t="n">
        <f aca="false">+B32+1</f>
        <v>36980</v>
      </c>
      <c r="E33" s="0" t="n">
        <f aca="false">+E32+C33-D33</f>
        <v>-521</v>
      </c>
      <c r="F33" s="2" t="n">
        <v>0.0724</v>
      </c>
      <c r="G33" s="3" t="n">
        <f aca="false">+F33*E33</f>
        <v>-37.7204</v>
      </c>
      <c r="K33" s="0" t="n">
        <f aca="false">+K32+I33-J33</f>
        <v>0</v>
      </c>
      <c r="L33" s="2" t="n">
        <v>0.0724</v>
      </c>
      <c r="M33" s="3" t="n">
        <f aca="false">+L33*K33</f>
        <v>0</v>
      </c>
    </row>
    <row r="34" customFormat="false" ht="12.75" hidden="false" customHeight="false" outlineLevel="0" collapsed="false">
      <c r="B34" s="1" t="n">
        <f aca="false">+B33+1</f>
        <v>36981</v>
      </c>
      <c r="E34" s="0" t="n">
        <f aca="false">+E33+C34-D34</f>
        <v>-521</v>
      </c>
      <c r="F34" s="2" t="n">
        <v>0.0724</v>
      </c>
      <c r="G34" s="3" t="n">
        <f aca="false">+F34*E34</f>
        <v>-37.7204</v>
      </c>
      <c r="K34" s="0" t="n">
        <f aca="false">+K33+I34-J34</f>
        <v>0</v>
      </c>
      <c r="L34" s="2" t="n">
        <v>0.0724</v>
      </c>
      <c r="M34" s="3" t="n">
        <f aca="false">+L34*K34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14" min="12" style="452" width="9.14"/>
  </cols>
  <sheetData>
    <row r="1" customFormat="false" ht="12.75" hidden="false" customHeight="false" outlineLevel="0" collapsed="false">
      <c r="A1" s="453"/>
      <c r="B1" s="453"/>
      <c r="C1" s="453"/>
      <c r="D1" s="453"/>
      <c r="E1" s="453"/>
      <c r="F1" s="453"/>
      <c r="G1" s="453"/>
      <c r="H1" s="453"/>
      <c r="I1" s="453"/>
      <c r="J1" s="453"/>
    </row>
    <row r="2" customFormat="false" ht="12.75" hidden="false" customHeight="false" outlineLevel="0" collapsed="false">
      <c r="A2" s="453"/>
      <c r="B2" s="453"/>
      <c r="C2" s="453"/>
      <c r="D2" s="453"/>
      <c r="E2" s="453"/>
      <c r="F2" s="453"/>
      <c r="G2" s="453"/>
      <c r="H2" s="453"/>
      <c r="I2" s="453"/>
      <c r="J2" s="453"/>
    </row>
    <row r="3" customFormat="false" ht="12.75" hidden="false" customHeight="false" outlineLevel="0" collapsed="false">
      <c r="A3" s="453"/>
      <c r="B3" s="453"/>
      <c r="C3" s="453"/>
      <c r="D3" s="453"/>
      <c r="E3" s="453"/>
      <c r="F3" s="453"/>
      <c r="G3" s="453"/>
      <c r="H3" s="453"/>
      <c r="I3" s="453"/>
      <c r="J3" s="453"/>
    </row>
    <row r="4" customFormat="false" ht="12.75" hidden="false" customHeight="false" outlineLevel="0" collapsed="false">
      <c r="A4" s="453"/>
      <c r="B4" s="453"/>
      <c r="C4" s="453"/>
      <c r="D4" s="453"/>
      <c r="E4" s="453"/>
      <c r="F4" s="453"/>
      <c r="G4" s="453"/>
      <c r="H4" s="453"/>
      <c r="I4" s="453"/>
      <c r="J4" s="453"/>
    </row>
    <row r="5" customFormat="false" ht="12.75" hidden="false" customHeight="false" outlineLevel="0" collapsed="false">
      <c r="A5" s="453"/>
      <c r="B5" s="453"/>
      <c r="C5" s="453"/>
      <c r="D5" s="453"/>
      <c r="E5" s="453"/>
      <c r="F5" s="453"/>
      <c r="G5" s="453"/>
      <c r="H5" s="453"/>
      <c r="I5" s="453"/>
      <c r="J5" s="453"/>
    </row>
    <row r="6" customFormat="false" ht="12.75" hidden="false" customHeight="false" outlineLevel="0" collapsed="false">
      <c r="A6" s="453"/>
      <c r="B6" s="453"/>
      <c r="C6" s="453"/>
      <c r="D6" s="453"/>
      <c r="E6" s="453"/>
      <c r="F6" s="453"/>
      <c r="G6" s="453"/>
      <c r="H6" s="453"/>
      <c r="I6" s="453"/>
      <c r="J6" s="453"/>
    </row>
    <row r="7" customFormat="false" ht="12.75" hidden="false" customHeight="false" outlineLevel="0" collapsed="false">
      <c r="A7" s="453"/>
      <c r="B7" s="453"/>
      <c r="C7" s="453"/>
      <c r="D7" s="453"/>
      <c r="E7" s="453"/>
      <c r="F7" s="453"/>
      <c r="G7" s="453"/>
      <c r="H7" s="453"/>
      <c r="I7" s="453"/>
      <c r="J7" s="453"/>
    </row>
    <row r="8" customFormat="false" ht="12.75" hidden="false" customHeight="false" outlineLevel="0" collapsed="false">
      <c r="A8" s="453"/>
      <c r="B8" s="453"/>
      <c r="C8" s="453"/>
      <c r="D8" s="453"/>
      <c r="E8" s="453"/>
      <c r="F8" s="453"/>
      <c r="G8" s="453"/>
      <c r="H8" s="453"/>
      <c r="I8" s="453"/>
      <c r="J8" s="453"/>
    </row>
    <row r="9" customFormat="false" ht="12.75" hidden="false" customHeight="false" outlineLevel="0" collapsed="false">
      <c r="A9" s="453"/>
      <c r="B9" s="453" t="s">
        <v>35</v>
      </c>
      <c r="C9" s="453"/>
      <c r="D9" s="453"/>
      <c r="E9" s="453"/>
      <c r="F9" s="453"/>
      <c r="G9" s="453"/>
      <c r="H9" s="453"/>
      <c r="I9" s="453"/>
      <c r="J9" s="453"/>
    </row>
    <row r="10" customFormat="false" ht="12.75" hidden="false" customHeight="false" outlineLevel="0" collapsed="false">
      <c r="A10" s="453"/>
      <c r="B10" s="453"/>
      <c r="C10" s="453"/>
      <c r="D10" s="453"/>
      <c r="E10" s="453" t="s">
        <v>705</v>
      </c>
      <c r="F10" s="453" t="s">
        <v>706</v>
      </c>
      <c r="G10" s="453"/>
      <c r="H10" s="453" t="s">
        <v>706</v>
      </c>
      <c r="I10" s="453"/>
      <c r="J10" s="453"/>
    </row>
    <row r="11" customFormat="false" ht="12.75" hidden="false" customHeight="false" outlineLevel="0" collapsed="false">
      <c r="A11" s="453"/>
      <c r="B11" s="454" t="s">
        <v>707</v>
      </c>
      <c r="C11" s="454" t="s">
        <v>708</v>
      </c>
      <c r="D11" s="454" t="s">
        <v>709</v>
      </c>
      <c r="E11" s="454" t="s">
        <v>710</v>
      </c>
      <c r="F11" s="454" t="s">
        <v>711</v>
      </c>
      <c r="G11" s="454" t="s">
        <v>712</v>
      </c>
      <c r="H11" s="454" t="s">
        <v>712</v>
      </c>
      <c r="I11" s="454" t="s">
        <v>713</v>
      </c>
      <c r="J11" s="453"/>
    </row>
    <row r="12" customFormat="false" ht="12.75" hidden="false" customHeight="false" outlineLevel="0" collapsed="false">
      <c r="A12" s="453"/>
      <c r="B12" s="455" t="s">
        <v>714</v>
      </c>
      <c r="C12" s="456" t="n">
        <v>5000</v>
      </c>
      <c r="D12" s="457" t="n">
        <f aca="false">+C12/C17</f>
        <v>0.333333333333333</v>
      </c>
      <c r="E12" s="457" t="n">
        <f aca="false">+'Offseason Rate'!E42</f>
        <v>0.713456619972888</v>
      </c>
      <c r="F12" s="457" t="n">
        <f aca="false">+D12*E12</f>
        <v>0.237818873324296</v>
      </c>
      <c r="G12" s="457" t="n">
        <v>-0.0825</v>
      </c>
      <c r="H12" s="457" t="n">
        <f aca="false">+G12*D12</f>
        <v>-0.0275</v>
      </c>
      <c r="I12" s="457" t="n">
        <f aca="false">+F12+H12</f>
        <v>0.210318873324296</v>
      </c>
      <c r="J12" s="453"/>
    </row>
    <row r="13" customFormat="false" ht="12.75" hidden="false" customHeight="false" outlineLevel="0" collapsed="false">
      <c r="A13" s="453"/>
      <c r="B13" s="455" t="s">
        <v>715</v>
      </c>
      <c r="C13" s="456" t="n">
        <v>5000</v>
      </c>
      <c r="D13" s="457" t="n">
        <f aca="false">+C13/C17</f>
        <v>0.333333333333333</v>
      </c>
      <c r="E13" s="457" t="n">
        <f aca="false">+'Offseason Rate'!E67</f>
        <v>0.648508310094813</v>
      </c>
      <c r="F13" s="457" t="n">
        <f aca="false">+D13*E13</f>
        <v>0.216169436698271</v>
      </c>
      <c r="G13" s="457" t="n">
        <v>-0.0575</v>
      </c>
      <c r="H13" s="457" t="n">
        <f aca="false">+G13*D13</f>
        <v>-0.0191666666666667</v>
      </c>
      <c r="I13" s="457" t="n">
        <f aca="false">+F13+H13</f>
        <v>0.197002770031604</v>
      </c>
      <c r="J13" s="453"/>
    </row>
    <row r="14" customFormat="false" ht="12.75" hidden="false" customHeight="false" outlineLevel="0" collapsed="false">
      <c r="A14" s="453"/>
      <c r="B14" s="455" t="s">
        <v>716</v>
      </c>
      <c r="C14" s="456" t="n">
        <v>5000</v>
      </c>
      <c r="D14" s="457" t="n">
        <f aca="false">+C14/C17</f>
        <v>0.333333333333333</v>
      </c>
      <c r="E14" s="457" t="n">
        <f aca="false">+'Offseason Rate'!E92</f>
        <v>0.172090888476603</v>
      </c>
      <c r="F14" s="457" t="n">
        <f aca="false">+D14*E14</f>
        <v>0.0573636294922011</v>
      </c>
      <c r="G14" s="457" t="n">
        <v>-0.045</v>
      </c>
      <c r="H14" s="457" t="n">
        <f aca="false">+G14*D14</f>
        <v>-0.015</v>
      </c>
      <c r="I14" s="457" t="n">
        <f aca="false">+F14+H14</f>
        <v>0.0423636294922011</v>
      </c>
      <c r="J14" s="453"/>
    </row>
    <row r="15" customFormat="false" ht="12.75" hidden="false" customHeight="false" outlineLevel="0" collapsed="false">
      <c r="A15" s="453"/>
      <c r="B15" s="455" t="s">
        <v>717</v>
      </c>
      <c r="C15" s="456" t="n">
        <v>0</v>
      </c>
      <c r="D15" s="457" t="n">
        <f aca="false">+C15/C17</f>
        <v>0</v>
      </c>
      <c r="E15" s="457" t="n">
        <f aca="false">+'Offseason Rate'!E107</f>
        <v>0.615314710450411</v>
      </c>
      <c r="F15" s="457" t="n">
        <f aca="false">+D15*E15</f>
        <v>0</v>
      </c>
      <c r="G15" s="457" t="n">
        <v>0</v>
      </c>
      <c r="H15" s="457" t="n">
        <f aca="false">+G15*D15</f>
        <v>0</v>
      </c>
      <c r="I15" s="457" t="n">
        <f aca="false">+F15+H15</f>
        <v>0</v>
      </c>
      <c r="J15" s="453"/>
    </row>
    <row r="16" customFormat="false" ht="12.75" hidden="false" customHeight="false" outlineLevel="0" collapsed="false">
      <c r="A16" s="453"/>
      <c r="B16" s="455" t="s">
        <v>718</v>
      </c>
      <c r="C16" s="458" t="n">
        <v>0</v>
      </c>
      <c r="D16" s="459" t="n">
        <f aca="false">+C16/C17</f>
        <v>0</v>
      </c>
      <c r="E16" s="457" t="n">
        <f aca="false">+'Offseason Rate'!E92</f>
        <v>0.172090888476603</v>
      </c>
      <c r="F16" s="459" t="n">
        <f aca="false">+D16*E16</f>
        <v>0</v>
      </c>
      <c r="G16" s="457" t="n">
        <v>0</v>
      </c>
      <c r="H16" s="457" t="n">
        <f aca="false">+G16*D16</f>
        <v>0</v>
      </c>
      <c r="I16" s="459" t="n">
        <f aca="false">+F16+H16</f>
        <v>0</v>
      </c>
      <c r="J16" s="453"/>
    </row>
    <row r="17" customFormat="false" ht="12.75" hidden="false" customHeight="false" outlineLevel="0" collapsed="false">
      <c r="A17" s="453"/>
      <c r="B17" s="453"/>
      <c r="C17" s="456" t="n">
        <f aca="false">SUM(C12:C16)</f>
        <v>15000</v>
      </c>
      <c r="D17" s="457" t="n">
        <f aca="false">SUM(D12:D16)</f>
        <v>1</v>
      </c>
      <c r="E17" s="453"/>
      <c r="F17" s="457" t="n">
        <f aca="false">SUM(F12:F16)</f>
        <v>0.511351939514768</v>
      </c>
      <c r="G17" s="453"/>
      <c r="H17" s="453"/>
      <c r="I17" s="460" t="n">
        <f aca="false">SUM(I12:I16)</f>
        <v>0.449685272848101</v>
      </c>
      <c r="J17" s="453"/>
    </row>
    <row r="18" customFormat="false" ht="12.75" hidden="false" customHeight="false" outlineLevel="0" collapsed="false">
      <c r="A18" s="453"/>
      <c r="B18" s="453"/>
      <c r="C18" s="453"/>
      <c r="D18" s="453"/>
      <c r="E18" s="453"/>
      <c r="F18" s="453"/>
      <c r="G18" s="453"/>
      <c r="H18" s="453" t="s">
        <v>719</v>
      </c>
      <c r="I18" s="461" t="n">
        <v>0.215</v>
      </c>
      <c r="J18" s="453"/>
    </row>
    <row r="19" customFormat="false" ht="13.5" hidden="false" customHeight="false" outlineLevel="0" collapsed="false">
      <c r="A19" s="453"/>
      <c r="B19" s="453"/>
      <c r="C19" s="453"/>
      <c r="D19" s="453"/>
      <c r="E19" s="453"/>
      <c r="F19" s="453"/>
      <c r="G19" s="453"/>
      <c r="H19" s="462" t="s">
        <v>720</v>
      </c>
      <c r="I19" s="463" t="n">
        <f aca="false">+I18-I17</f>
        <v>-0.234685272848101</v>
      </c>
      <c r="J19" s="453"/>
    </row>
    <row r="20" customFormat="false" ht="13.5" hidden="false" customHeight="false" outlineLevel="0" collapsed="false">
      <c r="A20" s="453"/>
      <c r="B20" s="453"/>
      <c r="C20" s="453"/>
      <c r="D20" s="453"/>
      <c r="E20" s="453"/>
      <c r="F20" s="453"/>
      <c r="G20" s="453"/>
      <c r="H20" s="453"/>
      <c r="I20" s="457"/>
      <c r="J20" s="453"/>
    </row>
    <row r="21" customFormat="false" ht="12.75" hidden="false" customHeight="false" outlineLevel="0" collapsed="false">
      <c r="A21" s="453"/>
      <c r="B21" s="453"/>
      <c r="C21" s="453"/>
      <c r="D21" s="453"/>
      <c r="E21" s="453"/>
      <c r="F21" s="453"/>
      <c r="G21" s="453"/>
      <c r="H21" s="453"/>
      <c r="I21" s="453"/>
      <c r="J21" s="453"/>
    </row>
    <row r="22" customFormat="false" ht="12.75" hidden="false" customHeight="false" outlineLevel="0" collapsed="false">
      <c r="A22" s="453"/>
      <c r="B22" s="453"/>
      <c r="C22" s="453"/>
      <c r="D22" s="453"/>
      <c r="E22" s="453"/>
      <c r="F22" s="453"/>
      <c r="G22" s="453"/>
      <c r="H22" s="453"/>
      <c r="I22" s="453"/>
      <c r="J22" s="453"/>
    </row>
    <row r="23" customFormat="false" ht="12.75" hidden="false" customHeight="false" outlineLevel="0" collapsed="false">
      <c r="A23" s="453"/>
      <c r="B23" s="453"/>
      <c r="C23" s="453"/>
      <c r="D23" s="453"/>
      <c r="E23" s="453"/>
      <c r="F23" s="453" t="s">
        <v>706</v>
      </c>
      <c r="G23" s="453"/>
      <c r="H23" s="453" t="s">
        <v>706</v>
      </c>
      <c r="I23" s="453"/>
      <c r="J23" s="453"/>
    </row>
    <row r="24" customFormat="false" ht="12.75" hidden="false" customHeight="false" outlineLevel="0" collapsed="false">
      <c r="A24" s="453"/>
      <c r="B24" s="454" t="s">
        <v>707</v>
      </c>
      <c r="C24" s="454" t="s">
        <v>708</v>
      </c>
      <c r="D24" s="454" t="s">
        <v>709</v>
      </c>
      <c r="E24" s="454" t="s">
        <v>710</v>
      </c>
      <c r="F24" s="454" t="s">
        <v>711</v>
      </c>
      <c r="G24" s="454" t="s">
        <v>712</v>
      </c>
      <c r="H24" s="454" t="s">
        <v>712</v>
      </c>
      <c r="I24" s="454" t="s">
        <v>713</v>
      </c>
      <c r="J24" s="453"/>
    </row>
    <row r="25" customFormat="false" ht="12.75" hidden="false" customHeight="false" outlineLevel="0" collapsed="false">
      <c r="A25" s="453"/>
      <c r="B25" s="455" t="s">
        <v>721</v>
      </c>
      <c r="C25" s="456" t="n">
        <v>0</v>
      </c>
      <c r="D25" s="457" t="n">
        <f aca="false">+C25/C30</f>
        <v>0</v>
      </c>
      <c r="E25" s="457" t="e">
        <f aca="false">+#REF!</f>
        <v>#REF!</v>
      </c>
      <c r="F25" s="457" t="e">
        <f aca="false">+D25*E25</f>
        <v>#REF!</v>
      </c>
      <c r="G25" s="457" t="n">
        <v>-0.07</v>
      </c>
      <c r="H25" s="457" t="n">
        <f aca="false">+G25*D25</f>
        <v>-0</v>
      </c>
      <c r="I25" s="457" t="e">
        <f aca="false">+F25+H25</f>
        <v>#REF!</v>
      </c>
      <c r="J25" s="453"/>
    </row>
    <row r="26" customFormat="false" ht="12.75" hidden="false" customHeight="false" outlineLevel="0" collapsed="false">
      <c r="A26" s="453"/>
      <c r="B26" s="455" t="s">
        <v>722</v>
      </c>
      <c r="C26" s="456" t="n">
        <v>0</v>
      </c>
      <c r="D26" s="457" t="n">
        <f aca="false">+C26/C30</f>
        <v>0</v>
      </c>
      <c r="E26" s="457" t="e">
        <f aca="false">+#REF!</f>
        <v>#REF!</v>
      </c>
      <c r="F26" s="457" t="e">
        <f aca="false">+D26*E26</f>
        <v>#REF!</v>
      </c>
      <c r="G26" s="457" t="n">
        <v>-0.05</v>
      </c>
      <c r="H26" s="457" t="n">
        <f aca="false">+G26*D26</f>
        <v>-0</v>
      </c>
      <c r="I26" s="457" t="e">
        <f aca="false">+F26+H26</f>
        <v>#REF!</v>
      </c>
      <c r="J26" s="453"/>
    </row>
    <row r="27" customFormat="false" ht="12.75" hidden="false" customHeight="false" outlineLevel="0" collapsed="false">
      <c r="A27" s="453"/>
      <c r="B27" s="455" t="s">
        <v>723</v>
      </c>
      <c r="C27" s="456" t="n">
        <v>5000</v>
      </c>
      <c r="D27" s="457" t="n">
        <f aca="false">+C27/C30</f>
        <v>1</v>
      </c>
      <c r="E27" s="457" t="e">
        <f aca="false">+#REF!</f>
        <v>#REF!</v>
      </c>
      <c r="F27" s="457" t="e">
        <f aca="false">+D27*E27</f>
        <v>#REF!</v>
      </c>
      <c r="G27" s="457" t="n">
        <v>-0.035</v>
      </c>
      <c r="H27" s="457" t="n">
        <f aca="false">+G27*D27</f>
        <v>-0.035</v>
      </c>
      <c r="I27" s="457" t="e">
        <f aca="false">+F27+H27</f>
        <v>#REF!</v>
      </c>
      <c r="J27" s="453"/>
    </row>
    <row r="28" customFormat="false" ht="12.75" hidden="false" customHeight="false" outlineLevel="0" collapsed="false">
      <c r="A28" s="453"/>
      <c r="B28" s="455" t="s">
        <v>724</v>
      </c>
      <c r="C28" s="456" t="n">
        <v>0</v>
      </c>
      <c r="D28" s="457" t="n">
        <f aca="false">+C28/C30</f>
        <v>0</v>
      </c>
      <c r="E28" s="457" t="n">
        <v>0</v>
      </c>
      <c r="F28" s="457" t="n">
        <f aca="false">+D28*E28</f>
        <v>0</v>
      </c>
      <c r="G28" s="457" t="n">
        <v>-0.01</v>
      </c>
      <c r="H28" s="457" t="n">
        <f aca="false">+G28*D28</f>
        <v>-0</v>
      </c>
      <c r="I28" s="457" t="n">
        <f aca="false">+F28+H28</f>
        <v>0</v>
      </c>
      <c r="J28" s="453"/>
    </row>
    <row r="29" customFormat="false" ht="12.75" hidden="false" customHeight="false" outlineLevel="0" collapsed="false">
      <c r="A29" s="453"/>
      <c r="B29" s="455" t="s">
        <v>725</v>
      </c>
      <c r="C29" s="458" t="n">
        <v>0</v>
      </c>
      <c r="D29" s="459" t="n">
        <f aca="false">+C29/C30</f>
        <v>0</v>
      </c>
      <c r="E29" s="457" t="e">
        <f aca="false">+#REF!</f>
        <v>#REF!</v>
      </c>
      <c r="F29" s="459" t="e">
        <f aca="false">+D29*E29</f>
        <v>#REF!</v>
      </c>
      <c r="G29" s="457" t="n">
        <v>-0.0725</v>
      </c>
      <c r="H29" s="457" t="n">
        <f aca="false">+G29*D29</f>
        <v>-0</v>
      </c>
      <c r="I29" s="459" t="e">
        <f aca="false">+F29+H29</f>
        <v>#REF!</v>
      </c>
      <c r="J29" s="453"/>
    </row>
    <row r="30" customFormat="false" ht="12.75" hidden="false" customHeight="false" outlineLevel="0" collapsed="false">
      <c r="A30" s="453"/>
      <c r="B30" s="453"/>
      <c r="C30" s="456" t="n">
        <f aca="false">SUM(C25:C29)</f>
        <v>5000</v>
      </c>
      <c r="D30" s="457" t="n">
        <f aca="false">SUM(D25:D29)</f>
        <v>1</v>
      </c>
      <c r="E30" s="453"/>
      <c r="F30" s="457" t="e">
        <f aca="false">SUM(F25:F29)</f>
        <v>#REF!</v>
      </c>
      <c r="G30" s="453"/>
      <c r="H30" s="453"/>
      <c r="I30" s="460" t="e">
        <f aca="false">SUM(I25:I29)</f>
        <v>#REF!</v>
      </c>
      <c r="J30" s="453"/>
    </row>
    <row r="31" customFormat="false" ht="12.75" hidden="false" customHeight="false" outlineLevel="0" collapsed="false">
      <c r="A31" s="453"/>
      <c r="B31" s="453"/>
      <c r="C31" s="453"/>
      <c r="D31" s="453"/>
      <c r="E31" s="453"/>
      <c r="F31" s="453"/>
      <c r="G31" s="453"/>
      <c r="H31" s="464" t="s">
        <v>726</v>
      </c>
      <c r="I31" s="461" t="n">
        <v>0.1525</v>
      </c>
      <c r="J31" s="453"/>
    </row>
    <row r="32" customFormat="false" ht="13.5" hidden="false" customHeight="false" outlineLevel="0" collapsed="false">
      <c r="A32" s="453"/>
      <c r="B32" s="453"/>
      <c r="C32" s="453"/>
      <c r="D32" s="453"/>
      <c r="E32" s="453"/>
      <c r="F32" s="453"/>
      <c r="G32" s="453"/>
      <c r="H32" s="462" t="s">
        <v>720</v>
      </c>
      <c r="I32" s="465" t="e">
        <f aca="false">+I31-I30</f>
        <v>#REF!</v>
      </c>
      <c r="J32" s="453"/>
    </row>
    <row r="33" customFormat="false" ht="13.5" hidden="false" customHeight="false" outlineLevel="0" collapsed="false">
      <c r="A33" s="453"/>
      <c r="B33" s="453"/>
      <c r="C33" s="453"/>
      <c r="D33" s="453"/>
      <c r="E33" s="453"/>
      <c r="F33" s="453"/>
      <c r="G33" s="453"/>
      <c r="H33" s="453"/>
      <c r="I33" s="457"/>
      <c r="J33" s="453"/>
    </row>
    <row r="34" customFormat="false" ht="12.75" hidden="false" customHeight="false" outlineLevel="0" collapsed="false">
      <c r="A34" s="453"/>
      <c r="B34" s="462" t="s">
        <v>92</v>
      </c>
      <c r="C34" s="453"/>
      <c r="D34" s="453"/>
      <c r="E34" s="453"/>
      <c r="F34" s="453" t="s">
        <v>706</v>
      </c>
      <c r="G34" s="453"/>
      <c r="H34" s="453" t="s">
        <v>706</v>
      </c>
      <c r="I34" s="453"/>
      <c r="J34" s="453"/>
    </row>
    <row r="35" customFormat="false" ht="12.75" hidden="false" customHeight="false" outlineLevel="0" collapsed="false">
      <c r="A35" s="453"/>
      <c r="B35" s="454" t="s">
        <v>707</v>
      </c>
      <c r="C35" s="454" t="s">
        <v>708</v>
      </c>
      <c r="D35" s="454" t="s">
        <v>709</v>
      </c>
      <c r="E35" s="454" t="s">
        <v>710</v>
      </c>
      <c r="F35" s="454" t="s">
        <v>711</v>
      </c>
      <c r="G35" s="454" t="s">
        <v>712</v>
      </c>
      <c r="H35" s="454" t="s">
        <v>712</v>
      </c>
      <c r="I35" s="454" t="s">
        <v>713</v>
      </c>
      <c r="J35" s="453"/>
    </row>
    <row r="36" customFormat="false" ht="12.75" hidden="false" customHeight="false" outlineLevel="0" collapsed="false">
      <c r="A36" s="453"/>
      <c r="B36" s="453" t="s">
        <v>727</v>
      </c>
      <c r="C36" s="456" t="n">
        <v>17</v>
      </c>
      <c r="D36" s="457" t="n">
        <f aca="false">+C36/C39</f>
        <v>0.17</v>
      </c>
      <c r="E36" s="457" t="n">
        <f aca="false">+Rates!B42</f>
        <v>0.341244487897686</v>
      </c>
      <c r="F36" s="457" t="n">
        <f aca="false">+D36*E36</f>
        <v>0.0580115629426066</v>
      </c>
      <c r="G36" s="457" t="n">
        <v>-0.06</v>
      </c>
      <c r="H36" s="457" t="n">
        <f aca="false">+G36*D36</f>
        <v>-0.0102</v>
      </c>
      <c r="I36" s="457" t="n">
        <f aca="false">+F36+H36</f>
        <v>0.0478115629426066</v>
      </c>
      <c r="J36" s="453"/>
    </row>
    <row r="37" customFormat="false" ht="12.75" hidden="false" customHeight="false" outlineLevel="0" collapsed="false">
      <c r="A37" s="453"/>
      <c r="B37" s="453" t="s">
        <v>728</v>
      </c>
      <c r="C37" s="456" t="n">
        <v>25</v>
      </c>
      <c r="D37" s="457" t="n">
        <f aca="false">+C37/C39</f>
        <v>0.25</v>
      </c>
      <c r="E37" s="457" t="n">
        <f aca="false">+Rates!B67</f>
        <v>0.329997641112047</v>
      </c>
      <c r="F37" s="457" t="n">
        <f aca="false">+D37*E37</f>
        <v>0.0824994102780119</v>
      </c>
      <c r="G37" s="457" t="n">
        <v>-0.02</v>
      </c>
      <c r="H37" s="457" t="n">
        <f aca="false">+G37*D37</f>
        <v>-0.005</v>
      </c>
      <c r="I37" s="457" t="n">
        <f aca="false">+F37+H37</f>
        <v>0.0774994102780119</v>
      </c>
      <c r="J37" s="453"/>
    </row>
    <row r="38" customFormat="false" ht="12.75" hidden="false" customHeight="false" outlineLevel="0" collapsed="false">
      <c r="A38" s="453"/>
      <c r="B38" s="453" t="s">
        <v>729</v>
      </c>
      <c r="C38" s="458" t="n">
        <v>58</v>
      </c>
      <c r="D38" s="459" t="n">
        <f aca="false">+C38/C39</f>
        <v>0.58</v>
      </c>
      <c r="E38" s="457" t="n">
        <f aca="false">+Rates!B87</f>
        <v>0.308251729922416</v>
      </c>
      <c r="F38" s="459" t="n">
        <f aca="false">+D38*E38</f>
        <v>0.178786003355001</v>
      </c>
      <c r="G38" s="457" t="n">
        <v>0.04</v>
      </c>
      <c r="H38" s="457" t="n">
        <f aca="false">+G38*D38</f>
        <v>0.0232</v>
      </c>
      <c r="I38" s="457" t="n">
        <f aca="false">+F38+H38</f>
        <v>0.201986003355001</v>
      </c>
      <c r="J38" s="453"/>
    </row>
    <row r="39" customFormat="false" ht="12.75" hidden="false" customHeight="false" outlineLevel="0" collapsed="false">
      <c r="A39" s="453"/>
      <c r="B39" s="453"/>
      <c r="C39" s="456" t="n">
        <f aca="false">SUM(C36:C38)</f>
        <v>100</v>
      </c>
      <c r="D39" s="457" t="n">
        <f aca="false">SUM(D36:D38)</f>
        <v>1</v>
      </c>
      <c r="E39" s="453"/>
      <c r="F39" s="457" t="n">
        <f aca="false">SUM(F36:F38)</f>
        <v>0.31929697657562</v>
      </c>
      <c r="G39" s="453"/>
      <c r="H39" s="457" t="n">
        <f aca="false">SUM(H36:H38)</f>
        <v>0.008</v>
      </c>
      <c r="I39" s="460" t="n">
        <f aca="false">SUM(I36:I38)</f>
        <v>0.32729697657562</v>
      </c>
      <c r="J39" s="453"/>
    </row>
    <row r="40" customFormat="false" ht="12.75" hidden="false" customHeight="false" outlineLevel="0" collapsed="false">
      <c r="A40" s="453"/>
      <c r="B40" s="453"/>
      <c r="C40" s="453"/>
      <c r="D40" s="453"/>
      <c r="E40" s="453"/>
      <c r="F40" s="453"/>
      <c r="G40" s="453"/>
      <c r="H40" s="453" t="s">
        <v>730</v>
      </c>
      <c r="I40" s="461" t="n">
        <v>0.45</v>
      </c>
      <c r="J40" s="453"/>
    </row>
    <row r="41" customFormat="false" ht="13.5" hidden="false" customHeight="false" outlineLevel="0" collapsed="false">
      <c r="A41" s="453"/>
      <c r="B41" s="453"/>
      <c r="C41" s="453"/>
      <c r="D41" s="453"/>
      <c r="E41" s="453"/>
      <c r="F41" s="453"/>
      <c r="G41" s="453"/>
      <c r="H41" s="462" t="s">
        <v>720</v>
      </c>
      <c r="I41" s="463" t="n">
        <f aca="false">+I40-I39</f>
        <v>0.12270302342438</v>
      </c>
      <c r="J41" s="453"/>
      <c r="K41" s="466"/>
    </row>
    <row r="42" customFormat="false" ht="13.5" hidden="false" customHeight="false" outlineLevel="0" collapsed="false">
      <c r="A42" s="453"/>
      <c r="B42" s="453"/>
      <c r="C42" s="453"/>
      <c r="D42" s="453"/>
      <c r="E42" s="453"/>
      <c r="F42" s="453"/>
      <c r="G42" s="453"/>
      <c r="H42" s="453"/>
      <c r="I42" s="453"/>
      <c r="J42" s="453"/>
      <c r="K42" s="466"/>
    </row>
    <row r="43" customFormat="false" ht="12.75" hidden="false" customHeight="false" outlineLevel="0" collapsed="false">
      <c r="A43" s="453"/>
      <c r="B43" s="453"/>
      <c r="C43" s="453"/>
      <c r="D43" s="453"/>
      <c r="E43" s="453"/>
      <c r="F43" s="453"/>
      <c r="G43" s="453"/>
      <c r="H43" s="453"/>
      <c r="I43" s="453"/>
      <c r="J43" s="453"/>
      <c r="K43" s="467"/>
    </row>
    <row r="44" customFormat="false" ht="12.75" hidden="false" customHeight="false" outlineLevel="0" collapsed="false">
      <c r="A44" s="453"/>
      <c r="B44" s="462" t="s">
        <v>49</v>
      </c>
      <c r="C44" s="453" t="s">
        <v>153</v>
      </c>
      <c r="D44" s="453" t="s">
        <v>381</v>
      </c>
      <c r="E44" s="453" t="s">
        <v>318</v>
      </c>
      <c r="F44" s="453" t="s">
        <v>731</v>
      </c>
      <c r="G44" s="453" t="s">
        <v>732</v>
      </c>
      <c r="H44" s="453" t="s">
        <v>733</v>
      </c>
      <c r="I44" s="462" t="s">
        <v>720</v>
      </c>
      <c r="J44" s="453"/>
    </row>
    <row r="45" customFormat="false" ht="12.75" hidden="false" customHeight="false" outlineLevel="0" collapsed="false">
      <c r="A45" s="453"/>
      <c r="B45" s="453" t="s">
        <v>734</v>
      </c>
      <c r="C45" s="461" t="e">
        <f aca="false">+#REF!</f>
        <v>#REF!</v>
      </c>
      <c r="D45" s="461" t="e">
        <f aca="false">+#REF!</f>
        <v>#REF!</v>
      </c>
      <c r="E45" s="461" t="e">
        <f aca="false">+D45+C45</f>
        <v>#REF!</v>
      </c>
      <c r="F45" s="461" t="n">
        <v>0</v>
      </c>
      <c r="G45" s="461" t="n">
        <v>-0.0225</v>
      </c>
      <c r="H45" s="461" t="n">
        <v>0.1325</v>
      </c>
      <c r="I45" s="461" t="e">
        <f aca="false">+H45-G45-F45-E45</f>
        <v>#REF!</v>
      </c>
      <c r="J45" s="453"/>
    </row>
    <row r="46" customFormat="false" ht="12.75" hidden="false" customHeight="false" outlineLevel="0" collapsed="false">
      <c r="A46" s="453"/>
      <c r="B46" s="453" t="s">
        <v>735</v>
      </c>
      <c r="C46" s="461" t="e">
        <f aca="false">+#REF!</f>
        <v>#REF!</v>
      </c>
      <c r="D46" s="461" t="e">
        <f aca="false">+#REF!</f>
        <v>#REF!</v>
      </c>
      <c r="E46" s="461" t="e">
        <f aca="false">+D46+C46</f>
        <v>#REF!</v>
      </c>
      <c r="F46" s="461" t="n">
        <v>0</v>
      </c>
      <c r="G46" s="461" t="n">
        <v>-0.0225</v>
      </c>
      <c r="H46" s="461" t="n">
        <v>0.1325</v>
      </c>
      <c r="I46" s="468" t="e">
        <f aca="false">+H46-G46-F46-E46</f>
        <v>#REF!</v>
      </c>
      <c r="J46" s="453"/>
    </row>
    <row r="47" customFormat="false" ht="12.75" hidden="false" customHeight="false" outlineLevel="0" collapsed="false">
      <c r="A47" s="453"/>
      <c r="B47" s="453"/>
      <c r="C47" s="453"/>
      <c r="D47" s="453"/>
      <c r="E47" s="453"/>
      <c r="F47" s="453"/>
      <c r="G47" s="453"/>
      <c r="H47" s="453"/>
      <c r="I47" s="453"/>
      <c r="J47" s="453"/>
    </row>
    <row r="48" customFormat="false" ht="12.75" hidden="false" customHeight="false" outlineLevel="0" collapsed="false">
      <c r="A48" s="453"/>
      <c r="B48" s="453"/>
      <c r="C48" s="453"/>
      <c r="D48" s="453"/>
      <c r="E48" s="453"/>
      <c r="F48" s="453"/>
      <c r="G48" s="453"/>
      <c r="H48" s="453"/>
      <c r="I48" s="453"/>
      <c r="J48" s="453"/>
    </row>
    <row r="49" customFormat="false" ht="12.75" hidden="false" customHeight="false" outlineLevel="0" collapsed="false">
      <c r="A49" s="453"/>
      <c r="B49" s="462" t="s">
        <v>459</v>
      </c>
      <c r="C49" s="453" t="s">
        <v>4</v>
      </c>
      <c r="D49" s="453" t="s">
        <v>736</v>
      </c>
      <c r="E49" s="453" t="s">
        <v>731</v>
      </c>
      <c r="F49" s="453" t="s">
        <v>737</v>
      </c>
      <c r="H49" s="453"/>
      <c r="I49" s="462" t="s">
        <v>720</v>
      </c>
      <c r="J49" s="453"/>
    </row>
    <row r="50" customFormat="false" ht="12.75" hidden="false" customHeight="false" outlineLevel="0" collapsed="false">
      <c r="A50" s="453"/>
      <c r="B50" s="453" t="s">
        <v>738</v>
      </c>
      <c r="C50" s="461" t="e">
        <f aca="false">+#REF!</f>
        <v>#REF!</v>
      </c>
      <c r="D50" s="469" t="n">
        <v>-0.0725</v>
      </c>
      <c r="E50" s="461" t="n">
        <v>0</v>
      </c>
      <c r="F50" s="461" t="n">
        <v>0.2175</v>
      </c>
      <c r="H50" s="453"/>
      <c r="I50" s="468" t="e">
        <f aca="false">+F50-D50-E50-C50</f>
        <v>#REF!</v>
      </c>
      <c r="J50" s="453"/>
    </row>
    <row r="51" customFormat="false" ht="12.75" hidden="false" customHeight="false" outlineLevel="0" collapsed="false">
      <c r="A51" s="453"/>
      <c r="B51" s="453" t="s">
        <v>739</v>
      </c>
      <c r="C51" s="461" t="e">
        <f aca="false">+#REF!</f>
        <v>#REF!</v>
      </c>
      <c r="D51" s="469" t="n">
        <v>-0.06</v>
      </c>
      <c r="E51" s="461" t="n">
        <v>0</v>
      </c>
      <c r="F51" s="461" t="n">
        <v>0.2175</v>
      </c>
      <c r="H51" s="453"/>
      <c r="I51" s="468" t="e">
        <f aca="false">+F51-D51-E51-C51</f>
        <v>#REF!</v>
      </c>
      <c r="J51" s="453"/>
    </row>
    <row r="52" customFormat="false" ht="12.75" hidden="false" customHeight="false" outlineLevel="0" collapsed="false">
      <c r="A52" s="453"/>
      <c r="B52" s="453"/>
      <c r="C52" s="461"/>
      <c r="D52" s="469"/>
      <c r="E52" s="461"/>
      <c r="F52" s="461"/>
      <c r="H52" s="453"/>
      <c r="I52" s="468"/>
      <c r="J52" s="453"/>
    </row>
    <row r="53" customFormat="false" ht="12.75" hidden="false" customHeight="false" outlineLevel="0" collapsed="false">
      <c r="A53" s="453"/>
      <c r="B53" s="453"/>
      <c r="C53" s="461"/>
      <c r="D53" s="469"/>
      <c r="E53" s="461"/>
      <c r="F53" s="461"/>
      <c r="H53" s="453"/>
      <c r="I53" s="468"/>
      <c r="J53" s="453"/>
    </row>
    <row r="54" customFormat="false" ht="12.75" hidden="false" customHeight="false" outlineLevel="0" collapsed="false">
      <c r="A54" s="453"/>
      <c r="B54" s="453"/>
      <c r="C54" s="461"/>
      <c r="D54" s="469"/>
      <c r="E54" s="461"/>
      <c r="F54" s="461"/>
      <c r="H54" s="453"/>
      <c r="I54" s="468"/>
      <c r="J54" s="453"/>
    </row>
    <row r="55" customFormat="false" ht="12.75" hidden="false" customHeight="false" outlineLevel="0" collapsed="false">
      <c r="A55" s="453"/>
      <c r="B55" s="453" t="s">
        <v>740</v>
      </c>
      <c r="C55" s="461" t="e">
        <f aca="false">+#REF!</f>
        <v>#REF!</v>
      </c>
      <c r="D55" s="469" t="n">
        <v>-0.0725</v>
      </c>
      <c r="E55" s="461" t="n">
        <v>0</v>
      </c>
      <c r="F55" s="461" t="n">
        <v>0.2525</v>
      </c>
      <c r="H55" s="453"/>
      <c r="I55" s="468" t="e">
        <f aca="false">+F55-D55-E55-C55</f>
        <v>#REF!</v>
      </c>
      <c r="J55" s="453"/>
    </row>
    <row r="56" customFormat="false" ht="12.75" hidden="false" customHeight="false" outlineLevel="0" collapsed="false">
      <c r="A56" s="453"/>
      <c r="B56" s="453" t="s">
        <v>741</v>
      </c>
      <c r="C56" s="461" t="e">
        <f aca="false">+#REF!</f>
        <v>#REF!</v>
      </c>
      <c r="D56" s="469" t="n">
        <v>-0.06</v>
      </c>
      <c r="E56" s="461" t="n">
        <v>0</v>
      </c>
      <c r="F56" s="461" t="n">
        <v>0.2525</v>
      </c>
      <c r="H56" s="453"/>
      <c r="I56" s="468" t="e">
        <f aca="false">+F56-D56-E56-C56</f>
        <v>#REF!</v>
      </c>
      <c r="J56" s="453"/>
    </row>
    <row r="57" customFormat="false" ht="12.75" hidden="false" customHeight="false" outlineLevel="0" collapsed="false">
      <c r="A57" s="453" t="s">
        <v>742</v>
      </c>
      <c r="B57" s="453" t="s">
        <v>741</v>
      </c>
      <c r="C57" s="461" t="e">
        <f aca="false">+#REF!</f>
        <v>#REF!</v>
      </c>
      <c r="D57" s="469" t="n">
        <v>-0.05</v>
      </c>
      <c r="E57" s="461" t="n">
        <v>0.021</v>
      </c>
      <c r="F57" s="461" t="n">
        <v>0</v>
      </c>
      <c r="H57" s="453"/>
      <c r="I57" s="468" t="e">
        <f aca="false">+F57-D57-E57-C57</f>
        <v>#REF!</v>
      </c>
      <c r="J57" s="453"/>
    </row>
    <row r="58" customFormat="false" ht="12.75" hidden="false" customHeight="false" outlineLevel="0" collapsed="false">
      <c r="A58" s="453"/>
      <c r="B58" s="453"/>
      <c r="C58" s="453"/>
      <c r="D58" s="453"/>
      <c r="E58" s="453"/>
      <c r="F58" s="453"/>
      <c r="G58" s="453"/>
      <c r="H58" s="453"/>
      <c r="I58" s="453"/>
      <c r="J58" s="453"/>
    </row>
    <row r="59" customFormat="false" ht="12.75" hidden="false" customHeight="false" outlineLevel="0" collapsed="false">
      <c r="A59" s="453"/>
      <c r="B59" s="453"/>
      <c r="C59" s="453"/>
      <c r="D59" s="453"/>
      <c r="E59" s="453"/>
      <c r="F59" s="453"/>
      <c r="G59" s="453"/>
      <c r="H59" s="453"/>
      <c r="I59" s="453"/>
      <c r="J59" s="453"/>
    </row>
    <row r="60" customFormat="false" ht="12.75" hidden="false" customHeight="false" outlineLevel="0" collapsed="false">
      <c r="A60" s="453"/>
      <c r="B60" s="453"/>
      <c r="C60" s="453"/>
      <c r="D60" s="453"/>
      <c r="E60" s="453"/>
      <c r="F60" s="453"/>
      <c r="G60" s="453"/>
      <c r="H60" s="453"/>
      <c r="I60" s="453"/>
      <c r="J60" s="453"/>
    </row>
    <row r="61" customFormat="false" ht="12.75" hidden="false" customHeight="false" outlineLevel="0" collapsed="false">
      <c r="A61" s="453"/>
      <c r="B61" s="462" t="s">
        <v>459</v>
      </c>
      <c r="C61" s="453" t="s">
        <v>4</v>
      </c>
      <c r="D61" s="453" t="s">
        <v>736</v>
      </c>
      <c r="E61" s="453" t="s">
        <v>731</v>
      </c>
      <c r="F61" s="453" t="s">
        <v>737</v>
      </c>
      <c r="H61" s="453"/>
      <c r="I61" s="462" t="s">
        <v>720</v>
      </c>
      <c r="J61" s="453"/>
    </row>
    <row r="62" customFormat="false" ht="12.75" hidden="false" customHeight="false" outlineLevel="0" collapsed="false">
      <c r="A62" s="453"/>
      <c r="B62" s="453" t="s">
        <v>738</v>
      </c>
      <c r="C62" s="461" t="n">
        <f aca="false">+Rates!H32</f>
        <v>0.377051390058972</v>
      </c>
      <c r="D62" s="469" t="n">
        <v>-0.0725</v>
      </c>
      <c r="E62" s="461" t="n">
        <v>0</v>
      </c>
      <c r="F62" s="461" t="n">
        <v>0.2175</v>
      </c>
      <c r="H62" s="453"/>
      <c r="I62" s="468" t="n">
        <f aca="false">+F62-D62-E62-C62</f>
        <v>-0.0870513900589719</v>
      </c>
      <c r="J62" s="453"/>
    </row>
    <row r="63" customFormat="false" ht="12.75" hidden="false" customHeight="false" outlineLevel="0" collapsed="false">
      <c r="A63" s="453"/>
      <c r="B63" s="453" t="s">
        <v>739</v>
      </c>
      <c r="C63" s="461" t="n">
        <f aca="false">+Rates!H67</f>
        <v>0.324696123707032</v>
      </c>
      <c r="D63" s="469" t="n">
        <v>-0.06</v>
      </c>
      <c r="E63" s="461" t="n">
        <v>0</v>
      </c>
      <c r="F63" s="461" t="n">
        <v>0.2175</v>
      </c>
      <c r="H63" s="453"/>
      <c r="I63" s="468" t="n">
        <f aca="false">+F63-D63-E63-C63</f>
        <v>-0.0471961237070317</v>
      </c>
      <c r="J63" s="453"/>
    </row>
    <row r="64" customFormat="false" ht="12.75" hidden="false" customHeight="false" outlineLevel="0" collapsed="false">
      <c r="A64" s="453"/>
      <c r="B64" s="453" t="s">
        <v>740</v>
      </c>
      <c r="C64" s="461" t="n">
        <f aca="false">+Rates!H37</f>
        <v>0.442401273885351</v>
      </c>
      <c r="D64" s="469" t="n">
        <v>-0.0725</v>
      </c>
      <c r="E64" s="461" t="n">
        <v>0</v>
      </c>
      <c r="F64" s="461" t="n">
        <v>0.2525</v>
      </c>
      <c r="H64" s="453"/>
      <c r="I64" s="468" t="n">
        <f aca="false">+F64-D64-E64-C64</f>
        <v>-0.117401273885351</v>
      </c>
      <c r="J64" s="453"/>
    </row>
    <row r="65" customFormat="false" ht="12.75" hidden="false" customHeight="false" outlineLevel="0" collapsed="false">
      <c r="A65" s="453"/>
      <c r="B65" s="453" t="s">
        <v>741</v>
      </c>
      <c r="C65" s="461" t="n">
        <f aca="false">+Rates!H72</f>
        <v>0.390141815883716</v>
      </c>
      <c r="D65" s="469" t="n">
        <v>-0.06</v>
      </c>
      <c r="E65" s="461" t="n">
        <v>0</v>
      </c>
      <c r="F65" s="461" t="n">
        <v>0.2525</v>
      </c>
      <c r="H65" s="453"/>
      <c r="I65" s="468" t="n">
        <f aca="false">+F65-D65-E65-C65</f>
        <v>-0.0776418158837162</v>
      </c>
      <c r="J65" s="453"/>
    </row>
    <row r="66" customFormat="false" ht="12.75" hidden="false" customHeight="false" outlineLevel="0" collapsed="false">
      <c r="A66" s="453"/>
      <c r="B66" s="453"/>
      <c r="C66" s="453"/>
      <c r="D66" s="453"/>
      <c r="E66" s="453"/>
      <c r="F66" s="453"/>
      <c r="G66" s="453"/>
      <c r="H66" s="453"/>
      <c r="I66" s="453"/>
      <c r="J66" s="453"/>
    </row>
    <row r="67" customFormat="false" ht="12.75" hidden="false" customHeight="false" outlineLevel="0" collapsed="false">
      <c r="A67" s="453"/>
      <c r="B67" s="453"/>
      <c r="C67" s="453"/>
      <c r="D67" s="453"/>
      <c r="E67" s="453"/>
      <c r="F67" s="453"/>
      <c r="G67" s="453"/>
      <c r="H67" s="453"/>
      <c r="I67" s="453"/>
      <c r="J67" s="453"/>
    </row>
    <row r="68" customFormat="false" ht="12.75" hidden="false" customHeight="false" outlineLevel="0" collapsed="false">
      <c r="A68" s="453"/>
      <c r="B68" s="453"/>
      <c r="C68" s="453"/>
      <c r="D68" s="453"/>
      <c r="E68" s="453"/>
      <c r="F68" s="453"/>
      <c r="G68" s="453"/>
      <c r="H68" s="453"/>
      <c r="I68" s="453"/>
      <c r="J68" s="453"/>
    </row>
    <row r="69" customFormat="false" ht="12.75" hidden="false" customHeight="false" outlineLevel="0" collapsed="false">
      <c r="A69" s="453"/>
      <c r="B69" s="453"/>
      <c r="C69" s="453"/>
      <c r="D69" s="453"/>
      <c r="E69" s="453"/>
      <c r="F69" s="453"/>
      <c r="G69" s="453"/>
      <c r="H69" s="453"/>
      <c r="I69" s="453"/>
      <c r="J69" s="453"/>
    </row>
    <row r="70" customFormat="false" ht="12.75" hidden="false" customHeight="false" outlineLevel="0" collapsed="false">
      <c r="A70" s="453"/>
      <c r="B70" s="453"/>
      <c r="C70" s="453"/>
      <c r="D70" s="453"/>
      <c r="E70" s="453"/>
      <c r="F70" s="453"/>
      <c r="G70" s="453"/>
      <c r="H70" s="453"/>
      <c r="I70" s="453"/>
      <c r="J70" s="453"/>
    </row>
    <row r="71" customFormat="false" ht="12.75" hidden="false" customHeight="false" outlineLevel="0" collapsed="false">
      <c r="A71" s="453"/>
      <c r="B71" s="453" t="s">
        <v>35</v>
      </c>
      <c r="C71" s="453"/>
      <c r="D71" s="453"/>
      <c r="E71" s="453"/>
      <c r="F71" s="453"/>
      <c r="G71" s="453"/>
      <c r="H71" s="453"/>
      <c r="I71" s="453"/>
      <c r="J71" s="453"/>
    </row>
    <row r="72" customFormat="false" ht="12.75" hidden="false" customHeight="false" outlineLevel="0" collapsed="false">
      <c r="A72" s="453"/>
      <c r="B72" s="453"/>
      <c r="C72" s="453"/>
      <c r="D72" s="453"/>
      <c r="E72" s="453"/>
      <c r="F72" s="453" t="s">
        <v>706</v>
      </c>
      <c r="G72" s="453"/>
      <c r="H72" s="453" t="s">
        <v>706</v>
      </c>
      <c r="I72" s="453"/>
      <c r="J72" s="453"/>
    </row>
    <row r="73" customFormat="false" ht="12.75" hidden="false" customHeight="false" outlineLevel="0" collapsed="false">
      <c r="A73" s="453"/>
      <c r="B73" s="454" t="s">
        <v>707</v>
      </c>
      <c r="C73" s="454" t="s">
        <v>708</v>
      </c>
      <c r="D73" s="454" t="s">
        <v>709</v>
      </c>
      <c r="E73" s="454" t="s">
        <v>710</v>
      </c>
      <c r="F73" s="454" t="s">
        <v>711</v>
      </c>
      <c r="G73" s="454" t="s">
        <v>712</v>
      </c>
      <c r="H73" s="454" t="s">
        <v>712</v>
      </c>
      <c r="I73" s="454" t="s">
        <v>713</v>
      </c>
      <c r="J73" s="453"/>
    </row>
    <row r="74" customFormat="false" ht="12.75" hidden="false" customHeight="false" outlineLevel="0" collapsed="false">
      <c r="A74" s="453"/>
      <c r="B74" s="455" t="s">
        <v>743</v>
      </c>
      <c r="C74" s="456" t="n">
        <v>5000</v>
      </c>
      <c r="D74" s="457" t="n">
        <f aca="false">+C74/C74</f>
        <v>1</v>
      </c>
      <c r="E74" s="457" t="e">
        <f aca="false">+#REF!</f>
        <v>#REF!</v>
      </c>
      <c r="F74" s="457" t="e">
        <f aca="false">+D74*E74</f>
        <v>#REF!</v>
      </c>
      <c r="G74" s="457" t="n">
        <v>-0.23</v>
      </c>
      <c r="H74" s="457" t="n">
        <f aca="false">+G74*D74</f>
        <v>-0.23</v>
      </c>
      <c r="I74" s="457" t="e">
        <f aca="false">+F74+H74</f>
        <v>#REF!</v>
      </c>
      <c r="J74" s="453"/>
    </row>
    <row r="75" customFormat="false" ht="12.75" hidden="false" customHeight="false" outlineLevel="0" collapsed="false">
      <c r="A75" s="453"/>
      <c r="B75" s="455" t="s">
        <v>744</v>
      </c>
      <c r="C75" s="456" t="s">
        <v>9</v>
      </c>
      <c r="D75" s="457" t="s">
        <v>9</v>
      </c>
      <c r="E75" s="457" t="s">
        <v>9</v>
      </c>
      <c r="F75" s="457" t="s">
        <v>266</v>
      </c>
      <c r="G75" s="457" t="s">
        <v>9</v>
      </c>
      <c r="H75" s="457" t="s">
        <v>9</v>
      </c>
      <c r="I75" s="457" t="n">
        <v>-0.05</v>
      </c>
      <c r="J75" s="453"/>
    </row>
    <row r="76" customFormat="false" ht="12.75" hidden="false" customHeight="false" outlineLevel="0" collapsed="false">
      <c r="A76" s="453"/>
      <c r="B76" s="453"/>
      <c r="C76" s="453"/>
      <c r="D76" s="453"/>
      <c r="E76" s="453"/>
      <c r="F76" s="453"/>
      <c r="G76" s="453"/>
      <c r="H76" s="453"/>
      <c r="I76" s="453"/>
      <c r="J76" s="453"/>
    </row>
    <row r="77" customFormat="false" ht="12.75" hidden="false" customHeight="false" outlineLevel="0" collapsed="false">
      <c r="A77" s="453"/>
      <c r="B77" s="453"/>
      <c r="C77" s="453"/>
      <c r="D77" s="453"/>
      <c r="E77" s="453"/>
      <c r="F77" s="453"/>
      <c r="G77" s="453"/>
      <c r="H77" s="453"/>
      <c r="I77" s="453"/>
      <c r="J77" s="453"/>
    </row>
    <row r="78" customFormat="false" ht="12.75" hidden="false" customHeight="false" outlineLevel="0" collapsed="false">
      <c r="A78" s="453"/>
      <c r="B78" s="455" t="s">
        <v>715</v>
      </c>
      <c r="C78" s="456" t="n">
        <v>0</v>
      </c>
      <c r="D78" s="457" t="e">
        <f aca="false">+C78/C82</f>
        <v>#DIV/0!</v>
      </c>
      <c r="E78" s="457" t="e">
        <f aca="false">+#REF!</f>
        <v>#REF!</v>
      </c>
      <c r="F78" s="457" t="e">
        <f aca="false">+D78*E78</f>
        <v>#REF!</v>
      </c>
      <c r="G78" s="457" t="n">
        <v>-0.07</v>
      </c>
      <c r="H78" s="457" t="e">
        <f aca="false">+G78*D78</f>
        <v>#DIV/0!</v>
      </c>
      <c r="I78" s="457" t="e">
        <f aca="false">+F78+H78</f>
        <v>#DIV/0!</v>
      </c>
      <c r="J78" s="453"/>
    </row>
    <row r="79" customFormat="false" ht="12.75" hidden="false" customHeight="false" outlineLevel="0" collapsed="false">
      <c r="A79" s="453"/>
      <c r="B79" s="453"/>
      <c r="C79" s="453"/>
      <c r="D79" s="453"/>
      <c r="E79" s="453"/>
      <c r="F79" s="453"/>
      <c r="G79" s="453"/>
      <c r="H79" s="453"/>
      <c r="I79" s="453"/>
      <c r="J79" s="453"/>
    </row>
    <row r="80" customFormat="false" ht="12.75" hidden="false" customHeight="false" outlineLevel="0" collapsed="false">
      <c r="A80" s="453"/>
      <c r="B80" s="453"/>
      <c r="C80" s="453"/>
      <c r="D80" s="453"/>
      <c r="E80" s="453"/>
      <c r="F80" s="453"/>
      <c r="G80" s="453"/>
      <c r="H80" s="453"/>
      <c r="I80" s="453"/>
      <c r="J80" s="453"/>
    </row>
    <row r="81" customFormat="false" ht="12.75" hidden="false" customHeight="false" outlineLevel="0" collapsed="false">
      <c r="A81" s="453"/>
      <c r="B81" s="453"/>
      <c r="C81" s="453"/>
      <c r="D81" s="453"/>
      <c r="E81" s="453"/>
      <c r="F81" s="453"/>
      <c r="G81" s="453"/>
      <c r="H81" s="453"/>
      <c r="I81" s="453"/>
      <c r="J81" s="453"/>
    </row>
    <row r="100" customFormat="false" ht="12.75" hidden="false" customHeight="false" outlineLevel="0" collapsed="false">
      <c r="M100" s="452" t="s">
        <v>745</v>
      </c>
      <c r="N100" s="452" t="s">
        <v>746</v>
      </c>
    </row>
    <row r="101" customFormat="false" ht="12.75" hidden="false" customHeight="false" outlineLevel="0" collapsed="false">
      <c r="B101" s="462" t="s">
        <v>459</v>
      </c>
      <c r="C101" s="454" t="s">
        <v>708</v>
      </c>
      <c r="D101" s="454" t="s">
        <v>709</v>
      </c>
      <c r="E101" s="453" t="s">
        <v>4</v>
      </c>
      <c r="F101" s="453" t="s">
        <v>736</v>
      </c>
      <c r="G101" s="453" t="s">
        <v>747</v>
      </c>
      <c r="H101" s="453" t="s">
        <v>748</v>
      </c>
      <c r="I101" s="453" t="s">
        <v>737</v>
      </c>
      <c r="J101" s="453"/>
      <c r="K101" s="462" t="s">
        <v>720</v>
      </c>
      <c r="L101" s="452" t="s">
        <v>749</v>
      </c>
      <c r="M101" s="452" t="s">
        <v>750</v>
      </c>
      <c r="N101" s="452" t="s">
        <v>751</v>
      </c>
    </row>
    <row r="102" customFormat="false" ht="12.75" hidden="false" customHeight="false" outlineLevel="0" collapsed="false">
      <c r="B102" s="453" t="s">
        <v>738</v>
      </c>
      <c r="C102" s="456" t="n">
        <v>1163</v>
      </c>
      <c r="D102" s="457" t="n">
        <f aca="false">+C102/C105</f>
        <v>0.358397534668721</v>
      </c>
      <c r="E102" s="461" t="e">
        <f aca="false">+#REF!</f>
        <v>#REF!</v>
      </c>
      <c r="F102" s="469" t="n">
        <v>-0.0725</v>
      </c>
      <c r="G102" s="470" t="e">
        <f aca="false">+D102*E102</f>
        <v>#REF!</v>
      </c>
      <c r="H102" s="461" t="n">
        <f aca="false">+F102*D102</f>
        <v>-0.0259838212634823</v>
      </c>
      <c r="I102" s="461" t="n">
        <v>0.2175</v>
      </c>
      <c r="J102" s="453"/>
      <c r="K102" s="471" t="e">
        <f aca="false">(+G102*H102)</f>
        <v>#REF!</v>
      </c>
      <c r="L102" s="452" t="n">
        <f aca="false">+I102-F102</f>
        <v>0.29</v>
      </c>
      <c r="M102" s="452" t="e">
        <f aca="false">+L102-E102</f>
        <v>#REF!</v>
      </c>
      <c r="N102" s="452" t="e">
        <f aca="false">+M102*5</f>
        <v>#REF!</v>
      </c>
      <c r="O102" s="0" t="e">
        <f aca="false">+N102*D102</f>
        <v>#REF!</v>
      </c>
    </row>
    <row r="103" customFormat="false" ht="12.75" hidden="false" customHeight="false" outlineLevel="0" collapsed="false">
      <c r="B103" s="453" t="s">
        <v>739</v>
      </c>
      <c r="C103" s="456" t="n">
        <v>2082</v>
      </c>
      <c r="D103" s="457" t="n">
        <f aca="false">+C103/C105</f>
        <v>0.641602465331279</v>
      </c>
      <c r="E103" s="461" t="e">
        <f aca="false">+#REF!</f>
        <v>#REF!</v>
      </c>
      <c r="F103" s="469" t="n">
        <v>-0.06</v>
      </c>
      <c r="G103" s="470" t="e">
        <f aca="false">+D103*E103</f>
        <v>#REF!</v>
      </c>
      <c r="H103" s="461" t="n">
        <f aca="false">+F103*D103</f>
        <v>-0.0384961479198767</v>
      </c>
      <c r="I103" s="461" t="n">
        <v>0.2175</v>
      </c>
      <c r="J103" s="453"/>
      <c r="K103" s="471" t="e">
        <f aca="false">(+G103*H103)</f>
        <v>#REF!</v>
      </c>
      <c r="L103" s="452" t="n">
        <f aca="false">+I103-F103</f>
        <v>0.2775</v>
      </c>
      <c r="M103" s="452" t="e">
        <f aca="false">+L103-E103</f>
        <v>#REF!</v>
      </c>
      <c r="N103" s="452" t="e">
        <f aca="false">+M103*5</f>
        <v>#REF!</v>
      </c>
      <c r="O103" s="0" t="e">
        <f aca="false">+N103*D103</f>
        <v>#REF!</v>
      </c>
    </row>
    <row r="104" customFormat="false" ht="12.75" hidden="false" customHeight="false" outlineLevel="0" collapsed="false">
      <c r="C104" s="458" t="n">
        <v>0</v>
      </c>
      <c r="D104" s="459" t="n">
        <f aca="false">+C104/C105</f>
        <v>0</v>
      </c>
      <c r="O104" s="0" t="e">
        <f aca="false">SUM(O102:O103)</f>
        <v>#REF!</v>
      </c>
    </row>
    <row r="105" customFormat="false" ht="12.75" hidden="false" customHeight="false" outlineLevel="0" collapsed="false">
      <c r="C105" s="456" t="n">
        <f aca="false">SUM(C102:C104)</f>
        <v>3245</v>
      </c>
      <c r="D105" s="457" t="n">
        <f aca="false">SUM(D102:D104)</f>
        <v>1</v>
      </c>
    </row>
    <row r="106" customFormat="false" ht="12.75" hidden="false" customHeight="false" outlineLevel="0" collapsed="false">
      <c r="C106" s="467" t="n">
        <f aca="false">+C102*F102</f>
        <v>-84.3175</v>
      </c>
    </row>
    <row r="107" customFormat="false" ht="12.75" hidden="false" customHeight="false" outlineLevel="0" collapsed="false">
      <c r="C107" s="467" t="n">
        <f aca="false">+C103*F103</f>
        <v>-124.92</v>
      </c>
    </row>
    <row r="108" customFormat="false" ht="12.75" hidden="false" customHeight="false" outlineLevel="0" collapsed="false">
      <c r="C108" s="467" t="n">
        <f aca="false">+C107+C106</f>
        <v>-209.2375</v>
      </c>
      <c r="D108" s="0" t="n">
        <f aca="false">+C108/C105</f>
        <v>-0.064479969183359</v>
      </c>
      <c r="I108" s="0" t="s">
        <v>9</v>
      </c>
    </row>
    <row r="109" customFormat="false" ht="12.75" hidden="false" customHeight="false" outlineLevel="0" collapsed="false">
      <c r="A109" s="453"/>
      <c r="B109" s="462" t="s">
        <v>459</v>
      </c>
      <c r="C109" s="453" t="s">
        <v>9</v>
      </c>
      <c r="D109" s="454" t="s">
        <v>709</v>
      </c>
      <c r="E109" s="453" t="s">
        <v>752</v>
      </c>
      <c r="F109" s="453" t="s">
        <v>753</v>
      </c>
      <c r="G109" s="0" t="s">
        <v>747</v>
      </c>
      <c r="H109" s="453" t="s">
        <v>748</v>
      </c>
      <c r="I109" s="453" t="s">
        <v>737</v>
      </c>
      <c r="J109" s="453"/>
      <c r="K109" s="462" t="s">
        <v>720</v>
      </c>
    </row>
    <row r="110" customFormat="false" ht="12.75" hidden="false" customHeight="false" outlineLevel="0" collapsed="false">
      <c r="A110" s="453"/>
      <c r="B110" s="453" t="s">
        <v>738</v>
      </c>
      <c r="C110" s="456" t="n">
        <v>1163</v>
      </c>
      <c r="D110" s="457" t="n">
        <f aca="false">+C110/C113</f>
        <v>0.358397534668721</v>
      </c>
      <c r="E110" s="461" t="n">
        <f aca="false">+Rates!H32</f>
        <v>0.377051390058972</v>
      </c>
      <c r="F110" s="469" t="n">
        <v>-0.0725</v>
      </c>
      <c r="G110" s="470" t="n">
        <f aca="false">+D110*E110</f>
        <v>0.13513428864055</v>
      </c>
      <c r="H110" s="461" t="n">
        <f aca="false">+F110*D110</f>
        <v>-0.0259838212634823</v>
      </c>
      <c r="I110" s="461" t="n">
        <v>0.2175</v>
      </c>
      <c r="J110" s="453"/>
      <c r="K110" s="471" t="n">
        <f aca="false">(+G110*H110)</f>
        <v>-0.00351130520260387</v>
      </c>
      <c r="L110" s="452" t="n">
        <f aca="false">+I110-F110</f>
        <v>0.29</v>
      </c>
      <c r="M110" s="452" t="n">
        <f aca="false">+L110-E110</f>
        <v>-0.0870513900589719</v>
      </c>
      <c r="N110" s="452" t="n">
        <f aca="false">+M110*7</f>
        <v>-0.609359730412804</v>
      </c>
      <c r="O110" s="0" t="n">
        <f aca="false">+N110*D110</f>
        <v>-0.218393025106345</v>
      </c>
    </row>
    <row r="111" customFormat="false" ht="12.75" hidden="false" customHeight="false" outlineLevel="0" collapsed="false">
      <c r="A111" s="453"/>
      <c r="B111" s="453" t="s">
        <v>754</v>
      </c>
      <c r="C111" s="456" t="n">
        <v>2082</v>
      </c>
      <c r="D111" s="457" t="n">
        <f aca="false">+C111/C113</f>
        <v>0.641602465331279</v>
      </c>
      <c r="E111" s="461" t="n">
        <f aca="false">+Rates!H67</f>
        <v>0.324696123707032</v>
      </c>
      <c r="F111" s="461" t="n">
        <v>-0.06</v>
      </c>
      <c r="G111" s="470" t="n">
        <f aca="false">+D111*E111</f>
        <v>0.208325833453941</v>
      </c>
      <c r="H111" s="461" t="n">
        <f aca="false">+F111*D111</f>
        <v>-0.0384961479198767</v>
      </c>
      <c r="I111" s="461" t="n">
        <v>0.2175</v>
      </c>
      <c r="J111" s="453"/>
      <c r="K111" s="471" t="n">
        <f aca="false">(+G111*H111)</f>
        <v>-0.00801974210017454</v>
      </c>
      <c r="L111" s="452" t="n">
        <f aca="false">+I111-F111</f>
        <v>0.2775</v>
      </c>
      <c r="M111" s="452" t="n">
        <f aca="false">+L111-E111</f>
        <v>-0.0471961237070317</v>
      </c>
      <c r="N111" s="452" t="n">
        <f aca="false">+M111*7</f>
        <v>-0.330372865949222</v>
      </c>
      <c r="O111" s="0" t="n">
        <f aca="false">+N111*D111</f>
        <v>-0.211968045271581</v>
      </c>
    </row>
    <row r="112" customFormat="false" ht="12.75" hidden="false" customHeight="false" outlineLevel="0" collapsed="false">
      <c r="A112" s="453"/>
      <c r="B112" s="453"/>
      <c r="C112" s="461" t="n">
        <v>0</v>
      </c>
      <c r="D112" s="459" t="n">
        <f aca="false">+C112/C113</f>
        <v>0</v>
      </c>
      <c r="E112" s="461"/>
      <c r="F112" s="461" t="s">
        <v>9</v>
      </c>
      <c r="H112" s="453"/>
      <c r="I112" s="468"/>
      <c r="J112" s="453"/>
      <c r="O112" s="0" t="n">
        <f aca="false">SUM(O110:O111)</f>
        <v>-0.430361070377926</v>
      </c>
    </row>
    <row r="113" customFormat="false" ht="12.75" hidden="false" customHeight="false" outlineLevel="0" collapsed="false">
      <c r="C113" s="456" t="n">
        <f aca="false">SUM(C110:C112)</f>
        <v>3245</v>
      </c>
      <c r="D113" s="457" t="n">
        <f aca="false">SUM(D110:D112)</f>
        <v>1</v>
      </c>
      <c r="M113" s="452" t="n">
        <f aca="false">AVERAGE(M110:M111)</f>
        <v>-0.0671237568830018</v>
      </c>
    </row>
    <row r="114" customFormat="false" ht="12.75" hidden="false" customHeight="false" outlineLevel="0" collapsed="false">
      <c r="O114" s="0" t="e">
        <f aca="false">+O112+O104</f>
        <v>#REF!</v>
      </c>
    </row>
    <row r="115" customFormat="false" ht="12.75" hidden="false" customHeight="false" outlineLevel="0" collapsed="false">
      <c r="O115" s="0" t="e">
        <f aca="false">+O114/12</f>
        <v>#REF!</v>
      </c>
    </row>
    <row r="116" customFormat="false" ht="12.75" hidden="false" customHeight="false" outlineLevel="0" collapsed="false">
      <c r="M116" s="452" t="n">
        <f aca="false">+M113+M105</f>
        <v>-0.0671237568830018</v>
      </c>
    </row>
    <row r="131" customFormat="false" ht="12.75" hidden="false" customHeight="false" outlineLevel="0" collapsed="false">
      <c r="B131" s="462" t="s">
        <v>459</v>
      </c>
      <c r="C131" s="454" t="s">
        <v>708</v>
      </c>
      <c r="D131" s="454" t="s">
        <v>709</v>
      </c>
      <c r="E131" s="453" t="s">
        <v>4</v>
      </c>
      <c r="F131" s="453" t="s">
        <v>736</v>
      </c>
      <c r="G131" s="453" t="s">
        <v>747</v>
      </c>
      <c r="H131" s="453" t="s">
        <v>748</v>
      </c>
      <c r="I131" s="453" t="s">
        <v>755</v>
      </c>
      <c r="J131" s="453"/>
      <c r="K131" s="462" t="s">
        <v>9</v>
      </c>
      <c r="L131" s="452" t="s">
        <v>749</v>
      </c>
      <c r="M131" s="452" t="s">
        <v>750</v>
      </c>
      <c r="N131" s="452" t="s">
        <v>751</v>
      </c>
    </row>
    <row r="132" customFormat="false" ht="12.75" hidden="false" customHeight="false" outlineLevel="0" collapsed="false">
      <c r="B132" s="453" t="s">
        <v>740</v>
      </c>
      <c r="C132" s="456" t="n">
        <v>1163</v>
      </c>
      <c r="D132" s="457" t="n">
        <f aca="false">+C132/C135</f>
        <v>0.358397534668721</v>
      </c>
      <c r="E132" s="461" t="e">
        <f aca="false">+#REF!</f>
        <v>#REF!</v>
      </c>
      <c r="F132" s="469" t="n">
        <v>-0.0725</v>
      </c>
      <c r="G132" s="470" t="e">
        <f aca="false">+D132*E132</f>
        <v>#REF!</v>
      </c>
      <c r="H132" s="461" t="n">
        <f aca="false">+F132*D132</f>
        <v>-0.0259838212634823</v>
      </c>
      <c r="I132" s="461" t="n">
        <v>0.2525</v>
      </c>
      <c r="J132" s="453"/>
      <c r="K132" s="471" t="s">
        <v>9</v>
      </c>
      <c r="L132" s="452" t="n">
        <f aca="false">+I132-F132</f>
        <v>0.325</v>
      </c>
      <c r="M132" s="452" t="e">
        <f aca="false">+L132-E132</f>
        <v>#REF!</v>
      </c>
      <c r="N132" s="452" t="e">
        <f aca="false">+M132*5</f>
        <v>#REF!</v>
      </c>
      <c r="O132" s="0" t="e">
        <f aca="false">+N132*D132</f>
        <v>#REF!</v>
      </c>
    </row>
    <row r="133" customFormat="false" ht="12.75" hidden="false" customHeight="false" outlineLevel="0" collapsed="false">
      <c r="B133" s="453" t="s">
        <v>741</v>
      </c>
      <c r="C133" s="456" t="n">
        <v>2082</v>
      </c>
      <c r="D133" s="457" t="n">
        <f aca="false">+C133/C135</f>
        <v>0.641602465331279</v>
      </c>
      <c r="E133" s="461" t="e">
        <f aca="false">+#REF!</f>
        <v>#REF!</v>
      </c>
      <c r="F133" s="469" t="n">
        <v>-0.06</v>
      </c>
      <c r="G133" s="470" t="e">
        <f aca="false">+D133*E133</f>
        <v>#REF!</v>
      </c>
      <c r="H133" s="461" t="n">
        <f aca="false">+F133*D133</f>
        <v>-0.0384961479198767</v>
      </c>
      <c r="I133" s="461" t="n">
        <v>0.2525</v>
      </c>
      <c r="J133" s="453"/>
      <c r="K133" s="471" t="s">
        <v>9</v>
      </c>
      <c r="L133" s="452" t="n">
        <f aca="false">+I133-F133</f>
        <v>0.3125</v>
      </c>
      <c r="M133" s="452" t="e">
        <f aca="false">+L133-E133</f>
        <v>#REF!</v>
      </c>
      <c r="N133" s="452" t="e">
        <f aca="false">+M133*5</f>
        <v>#REF!</v>
      </c>
      <c r="O133" s="0" t="e">
        <f aca="false">+N133*D133</f>
        <v>#REF!</v>
      </c>
    </row>
    <row r="134" customFormat="false" ht="12.75" hidden="false" customHeight="false" outlineLevel="0" collapsed="false">
      <c r="C134" s="458" t="n">
        <v>0</v>
      </c>
      <c r="D134" s="459" t="n">
        <f aca="false">+C134/C135</f>
        <v>0</v>
      </c>
      <c r="O134" s="0" t="e">
        <f aca="false">SUM(O132:O133)</f>
        <v>#REF!</v>
      </c>
    </row>
    <row r="135" customFormat="false" ht="12.75" hidden="false" customHeight="false" outlineLevel="0" collapsed="false">
      <c r="C135" s="456" t="n">
        <f aca="false">SUM(C132:C134)</f>
        <v>3245</v>
      </c>
      <c r="D135" s="457" t="n">
        <f aca="false">SUM(D132:D134)</f>
        <v>1</v>
      </c>
    </row>
    <row r="136" customFormat="false" ht="12.75" hidden="false" customHeight="false" outlineLevel="0" collapsed="false">
      <c r="C136" s="467" t="n">
        <f aca="false">+C132*F132</f>
        <v>-84.3175</v>
      </c>
    </row>
    <row r="137" customFormat="false" ht="12.75" hidden="false" customHeight="false" outlineLevel="0" collapsed="false">
      <c r="C137" s="467" t="n">
        <f aca="false">+C133*F133</f>
        <v>-124.92</v>
      </c>
    </row>
    <row r="138" customFormat="false" ht="12.75" hidden="false" customHeight="false" outlineLevel="0" collapsed="false">
      <c r="C138" s="467" t="n">
        <f aca="false">+C137+C136</f>
        <v>-209.2375</v>
      </c>
      <c r="D138" s="0" t="n">
        <f aca="false">+C138/C135</f>
        <v>-0.064479969183359</v>
      </c>
      <c r="I138" s="0" t="s">
        <v>9</v>
      </c>
    </row>
    <row r="139" customFormat="false" ht="12.75" hidden="false" customHeight="false" outlineLevel="0" collapsed="false">
      <c r="A139" s="453"/>
      <c r="B139" s="462" t="s">
        <v>459</v>
      </c>
      <c r="C139" s="453" t="s">
        <v>9</v>
      </c>
      <c r="D139" s="454" t="s">
        <v>709</v>
      </c>
      <c r="E139" s="453" t="s">
        <v>752</v>
      </c>
      <c r="F139" s="453" t="s">
        <v>753</v>
      </c>
      <c r="G139" s="0" t="s">
        <v>747</v>
      </c>
      <c r="H139" s="453" t="s">
        <v>748</v>
      </c>
      <c r="I139" s="453" t="s">
        <v>737</v>
      </c>
      <c r="J139" s="453"/>
      <c r="K139" s="462" t="s">
        <v>9</v>
      </c>
    </row>
    <row r="140" customFormat="false" ht="12.75" hidden="false" customHeight="false" outlineLevel="0" collapsed="false">
      <c r="A140" s="453"/>
      <c r="B140" s="453" t="s">
        <v>740</v>
      </c>
      <c r="C140" s="456" t="n">
        <v>1163</v>
      </c>
      <c r="D140" s="457" t="n">
        <f aca="false">+C140/C143</f>
        <v>0.358397534668721</v>
      </c>
      <c r="E140" s="461" t="n">
        <f aca="false">+Rates!H37</f>
        <v>0.442401273885351</v>
      </c>
      <c r="F140" s="469" t="n">
        <v>-0.0725</v>
      </c>
      <c r="G140" s="470" t="n">
        <f aca="false">+D140*E140</f>
        <v>0.158555525894811</v>
      </c>
      <c r="H140" s="461" t="n">
        <f aca="false">+F140*D140</f>
        <v>-0.0259838212634823</v>
      </c>
      <c r="I140" s="461" t="n">
        <v>0.2525</v>
      </c>
      <c r="J140" s="453"/>
      <c r="K140" s="471" t="s">
        <v>9</v>
      </c>
      <c r="L140" s="452" t="n">
        <f aca="false">+I140-F140</f>
        <v>0.325</v>
      </c>
      <c r="M140" s="452" t="n">
        <f aca="false">+L140-E140</f>
        <v>-0.117401273885351</v>
      </c>
      <c r="N140" s="452" t="n">
        <f aca="false">+M140*7</f>
        <v>-0.821808917197455</v>
      </c>
      <c r="O140" s="0" t="n">
        <f aca="false">+N140*D140</f>
        <v>-0.294534289892339</v>
      </c>
    </row>
    <row r="141" customFormat="false" ht="12.75" hidden="false" customHeight="false" outlineLevel="0" collapsed="false">
      <c r="A141" s="453"/>
      <c r="B141" s="453" t="s">
        <v>756</v>
      </c>
      <c r="C141" s="456" t="n">
        <v>2082</v>
      </c>
      <c r="D141" s="457" t="n">
        <f aca="false">+C141/C143</f>
        <v>0.641602465331279</v>
      </c>
      <c r="E141" s="461" t="n">
        <f aca="false">+Rates!H72</f>
        <v>0.390141815883716</v>
      </c>
      <c r="F141" s="461" t="n">
        <v>-0.06</v>
      </c>
      <c r="G141" s="470" t="n">
        <f aca="false">+D141*E141</f>
        <v>0.250315950899814</v>
      </c>
      <c r="H141" s="461" t="n">
        <f aca="false">+F141*D141</f>
        <v>-0.0384961479198767</v>
      </c>
      <c r="I141" s="461" t="n">
        <v>0.2525</v>
      </c>
      <c r="J141" s="453"/>
      <c r="K141" s="471" t="s">
        <v>9</v>
      </c>
      <c r="L141" s="452" t="n">
        <f aca="false">+I141-F141</f>
        <v>0.3125</v>
      </c>
      <c r="M141" s="452" t="n">
        <f aca="false">+L141-E141</f>
        <v>-0.0776418158837162</v>
      </c>
      <c r="N141" s="452" t="n">
        <f aca="false">+M141*7</f>
        <v>-0.543492711186014</v>
      </c>
      <c r="O141" s="0" t="n">
        <f aca="false">+N141*D141</f>
        <v>-0.348706263386527</v>
      </c>
    </row>
    <row r="142" customFormat="false" ht="12.75" hidden="false" customHeight="false" outlineLevel="0" collapsed="false">
      <c r="A142" s="453"/>
      <c r="B142" s="453"/>
      <c r="C142" s="461" t="n">
        <v>0</v>
      </c>
      <c r="D142" s="459" t="n">
        <f aca="false">+C142/C143</f>
        <v>0</v>
      </c>
      <c r="E142" s="461"/>
      <c r="F142" s="461" t="s">
        <v>9</v>
      </c>
      <c r="H142" s="453"/>
      <c r="I142" s="468"/>
      <c r="J142" s="453"/>
      <c r="O142" s="0" t="n">
        <f aca="false">SUM(O140:O141)</f>
        <v>-0.643240553278866</v>
      </c>
    </row>
    <row r="143" customFormat="false" ht="12.75" hidden="false" customHeight="false" outlineLevel="0" collapsed="false">
      <c r="C143" s="456" t="n">
        <f aca="false">SUM(C140:C142)</f>
        <v>3245</v>
      </c>
      <c r="D143" s="457" t="n">
        <f aca="false">SUM(D140:D142)</f>
        <v>1</v>
      </c>
      <c r="M143" s="452" t="n">
        <f aca="false">AVERAGE(M140:M141)</f>
        <v>-0.0975215448845334</v>
      </c>
    </row>
    <row r="144" customFormat="false" ht="12.75" hidden="false" customHeight="false" outlineLevel="0" collapsed="false">
      <c r="O144" s="0" t="e">
        <f aca="false">+O142+O134</f>
        <v>#REF!</v>
      </c>
    </row>
    <row r="145" customFormat="false" ht="12.75" hidden="false" customHeight="false" outlineLevel="0" collapsed="false">
      <c r="O145" s="0" t="e">
        <f aca="false">+O144/12</f>
        <v>#REF!</v>
      </c>
    </row>
    <row r="146" customFormat="false" ht="12.75" hidden="false" customHeight="false" outlineLevel="0" collapsed="false">
      <c r="M146" s="452" t="n">
        <f aca="false">+M143+M135</f>
        <v>-0.0975215448845334</v>
      </c>
    </row>
    <row r="151" customFormat="false" ht="12.75" hidden="false" customHeight="false" outlineLevel="0" collapsed="false">
      <c r="B151" s="462" t="s">
        <v>459</v>
      </c>
      <c r="C151" s="454" t="s">
        <v>708</v>
      </c>
      <c r="D151" s="454" t="s">
        <v>709</v>
      </c>
      <c r="E151" s="453" t="s">
        <v>4</v>
      </c>
      <c r="F151" s="453" t="s">
        <v>736</v>
      </c>
      <c r="G151" s="453" t="s">
        <v>747</v>
      </c>
      <c r="H151" s="453" t="s">
        <v>748</v>
      </c>
      <c r="I151" s="453" t="s">
        <v>757</v>
      </c>
      <c r="J151" s="453"/>
      <c r="K151" s="462" t="s">
        <v>9</v>
      </c>
      <c r="L151" s="452" t="s">
        <v>749</v>
      </c>
      <c r="M151" s="452" t="s">
        <v>750</v>
      </c>
      <c r="N151" s="452" t="s">
        <v>751</v>
      </c>
    </row>
    <row r="152" customFormat="false" ht="12.75" hidden="false" customHeight="false" outlineLevel="0" collapsed="false">
      <c r="B152" s="453" t="s">
        <v>758</v>
      </c>
      <c r="C152" s="456" t="n">
        <v>1163</v>
      </c>
      <c r="D152" s="457" t="n">
        <f aca="false">+C152/C155</f>
        <v>0.358397534668721</v>
      </c>
      <c r="E152" s="461" t="e">
        <f aca="false">+#REF!</f>
        <v>#REF!</v>
      </c>
      <c r="F152" s="469" t="n">
        <v>-0.0725</v>
      </c>
      <c r="G152" s="470" t="e">
        <f aca="false">+D152*E152</f>
        <v>#REF!</v>
      </c>
      <c r="H152" s="461" t="n">
        <f aca="false">+F152*D152</f>
        <v>-0.0259838212634823</v>
      </c>
      <c r="I152" s="461" t="n">
        <v>0.285</v>
      </c>
      <c r="J152" s="453"/>
      <c r="K152" s="471" t="s">
        <v>9</v>
      </c>
      <c r="L152" s="452" t="n">
        <f aca="false">+I152-F152</f>
        <v>0.3575</v>
      </c>
      <c r="M152" s="452" t="e">
        <f aca="false">+L152-E152</f>
        <v>#REF!</v>
      </c>
      <c r="N152" s="452" t="e">
        <f aca="false">+M152*5</f>
        <v>#REF!</v>
      </c>
      <c r="O152" s="0" t="e">
        <f aca="false">+N152*D152</f>
        <v>#REF!</v>
      </c>
    </row>
    <row r="153" customFormat="false" ht="12.75" hidden="false" customHeight="false" outlineLevel="0" collapsed="false">
      <c r="B153" s="453" t="s">
        <v>759</v>
      </c>
      <c r="C153" s="456" t="n">
        <v>2082</v>
      </c>
      <c r="D153" s="457" t="n">
        <f aca="false">+C153/C155</f>
        <v>0.641602465331279</v>
      </c>
      <c r="E153" s="461" t="e">
        <f aca="false">+#REF!</f>
        <v>#REF!</v>
      </c>
      <c r="F153" s="469" t="n">
        <v>-0.06</v>
      </c>
      <c r="G153" s="470" t="e">
        <f aca="false">+D153*E153</f>
        <v>#REF!</v>
      </c>
      <c r="H153" s="461" t="n">
        <f aca="false">+F153*D153</f>
        <v>-0.0384961479198767</v>
      </c>
      <c r="I153" s="461" t="n">
        <v>0.285</v>
      </c>
      <c r="J153" s="453"/>
      <c r="K153" s="471" t="s">
        <v>9</v>
      </c>
      <c r="L153" s="452" t="n">
        <f aca="false">+I153-F153</f>
        <v>0.345</v>
      </c>
      <c r="M153" s="452" t="e">
        <f aca="false">+L153-E153</f>
        <v>#REF!</v>
      </c>
      <c r="N153" s="452" t="e">
        <f aca="false">+M153*5</f>
        <v>#REF!</v>
      </c>
      <c r="O153" s="0" t="e">
        <f aca="false">+N153*D153</f>
        <v>#REF!</v>
      </c>
    </row>
    <row r="154" customFormat="false" ht="12.75" hidden="false" customHeight="false" outlineLevel="0" collapsed="false">
      <c r="C154" s="458" t="n">
        <v>0</v>
      </c>
      <c r="D154" s="459" t="n">
        <f aca="false">+C154/C155</f>
        <v>0</v>
      </c>
      <c r="O154" s="0" t="e">
        <f aca="false">SUM(O152:O153)</f>
        <v>#REF!</v>
      </c>
    </row>
    <row r="155" customFormat="false" ht="12.75" hidden="false" customHeight="false" outlineLevel="0" collapsed="false">
      <c r="C155" s="456" t="n">
        <f aca="false">SUM(C152:C154)</f>
        <v>3245</v>
      </c>
      <c r="D155" s="457" t="n">
        <f aca="false">SUM(D152:D154)</f>
        <v>1</v>
      </c>
    </row>
    <row r="156" customFormat="false" ht="12.75" hidden="false" customHeight="false" outlineLevel="0" collapsed="false">
      <c r="C156" s="467" t="n">
        <f aca="false">+C152*F152</f>
        <v>-84.3175</v>
      </c>
    </row>
    <row r="157" customFormat="false" ht="12.75" hidden="false" customHeight="false" outlineLevel="0" collapsed="false">
      <c r="C157" s="467" t="n">
        <f aca="false">+C153*F153</f>
        <v>-124.92</v>
      </c>
    </row>
    <row r="158" customFormat="false" ht="12.75" hidden="false" customHeight="false" outlineLevel="0" collapsed="false">
      <c r="C158" s="467" t="n">
        <f aca="false">+C157+C156</f>
        <v>-209.2375</v>
      </c>
      <c r="D158" s="0" t="n">
        <f aca="false">+C158/C155</f>
        <v>-0.064479969183359</v>
      </c>
      <c r="I158" s="0" t="s">
        <v>9</v>
      </c>
    </row>
    <row r="159" customFormat="false" ht="12.75" hidden="false" customHeight="false" outlineLevel="0" collapsed="false">
      <c r="B159" s="462" t="s">
        <v>459</v>
      </c>
      <c r="C159" s="453" t="s">
        <v>9</v>
      </c>
      <c r="D159" s="454" t="s">
        <v>709</v>
      </c>
      <c r="E159" s="453" t="s">
        <v>752</v>
      </c>
      <c r="F159" s="453" t="s">
        <v>753</v>
      </c>
      <c r="G159" s="0" t="s">
        <v>747</v>
      </c>
      <c r="H159" s="453" t="s">
        <v>748</v>
      </c>
      <c r="I159" s="453" t="s">
        <v>757</v>
      </c>
      <c r="J159" s="453"/>
      <c r="K159" s="462" t="s">
        <v>9</v>
      </c>
    </row>
    <row r="160" customFormat="false" ht="12.75" hidden="false" customHeight="false" outlineLevel="0" collapsed="false">
      <c r="B160" s="453" t="s">
        <v>758</v>
      </c>
      <c r="C160" s="456" t="n">
        <v>1163</v>
      </c>
      <c r="D160" s="457" t="n">
        <f aca="false">+C160/C163</f>
        <v>0.358397534668721</v>
      </c>
      <c r="E160" s="461" t="n">
        <f aca="false">+Rates!H42</f>
        <v>0.508354888507719</v>
      </c>
      <c r="F160" s="469" t="n">
        <v>-0.0725</v>
      </c>
      <c r="G160" s="470" t="n">
        <f aca="false">+D160*E160</f>
        <v>0.182193138777959</v>
      </c>
      <c r="H160" s="461" t="n">
        <f aca="false">+F160*D160</f>
        <v>-0.0259838212634823</v>
      </c>
      <c r="I160" s="461" t="n">
        <v>0.285</v>
      </c>
      <c r="J160" s="453"/>
      <c r="K160" s="471" t="s">
        <v>9</v>
      </c>
      <c r="L160" s="452" t="n">
        <f aca="false">+I160-F160</f>
        <v>0.3575</v>
      </c>
      <c r="M160" s="452" t="n">
        <f aca="false">+L160-E160</f>
        <v>-0.150854888507719</v>
      </c>
      <c r="N160" s="452" t="n">
        <f aca="false">+M160*7</f>
        <v>-1.05598421955403</v>
      </c>
      <c r="O160" s="0" t="n">
        <f aca="false">+N160*D160</f>
        <v>-0.378462140937239</v>
      </c>
    </row>
    <row r="161" customFormat="false" ht="12.75" hidden="false" customHeight="false" outlineLevel="0" collapsed="false">
      <c r="B161" s="453" t="s">
        <v>760</v>
      </c>
      <c r="C161" s="456" t="n">
        <v>2082</v>
      </c>
      <c r="D161" s="457" t="n">
        <f aca="false">+C161/C163</f>
        <v>0.641602465331279</v>
      </c>
      <c r="E161" s="461" t="n">
        <f aca="false">+Rates!H77</f>
        <v>0.454807019036478</v>
      </c>
      <c r="F161" s="461" t="n">
        <v>-0.06</v>
      </c>
      <c r="G161" s="470" t="n">
        <f aca="false">+D161*E161</f>
        <v>0.291805304663774</v>
      </c>
      <c r="H161" s="461" t="n">
        <f aca="false">+F161*D161</f>
        <v>-0.0384961479198767</v>
      </c>
      <c r="I161" s="461" t="n">
        <v>0.285</v>
      </c>
      <c r="J161" s="453"/>
      <c r="K161" s="471" t="s">
        <v>9</v>
      </c>
      <c r="L161" s="452" t="n">
        <f aca="false">+I161-F161</f>
        <v>0.345</v>
      </c>
      <c r="M161" s="452" t="n">
        <f aca="false">+L161-E161</f>
        <v>-0.109807019036478</v>
      </c>
      <c r="N161" s="452" t="n">
        <f aca="false">+M161*7</f>
        <v>-0.768649133255343</v>
      </c>
      <c r="O161" s="0" t="n">
        <f aca="false">+N161*D161</f>
        <v>-0.493167178871379</v>
      </c>
    </row>
    <row r="162" customFormat="false" ht="12.75" hidden="false" customHeight="false" outlineLevel="0" collapsed="false">
      <c r="B162" s="453"/>
      <c r="C162" s="461" t="n">
        <v>0</v>
      </c>
      <c r="D162" s="459" t="n">
        <f aca="false">+C162/C163</f>
        <v>0</v>
      </c>
      <c r="E162" s="461"/>
      <c r="F162" s="461" t="s">
        <v>9</v>
      </c>
      <c r="H162" s="453"/>
      <c r="I162" s="468"/>
      <c r="J162" s="453"/>
      <c r="O162" s="0" t="n">
        <f aca="false">SUM(O160:O161)</f>
        <v>-0.871629319808617</v>
      </c>
    </row>
    <row r="163" customFormat="false" ht="12.75" hidden="false" customHeight="false" outlineLevel="0" collapsed="false">
      <c r="C163" s="456" t="n">
        <f aca="false">SUM(C160:C162)</f>
        <v>3245</v>
      </c>
      <c r="D163" s="457" t="n">
        <f aca="false">SUM(D160:D162)</f>
        <v>1</v>
      </c>
      <c r="M163" s="452" t="n">
        <f aca="false">AVERAGE(M160:M161)</f>
        <v>-0.130330953772098</v>
      </c>
    </row>
    <row r="164" customFormat="false" ht="12.75" hidden="false" customHeight="false" outlineLevel="0" collapsed="false">
      <c r="O164" s="0" t="e">
        <f aca="false">+O162+O154</f>
        <v>#REF!</v>
      </c>
    </row>
    <row r="165" customFormat="false" ht="12.75" hidden="false" customHeight="false" outlineLevel="0" collapsed="false">
      <c r="O165" s="0" t="e">
        <f aca="false">+O164/12</f>
        <v>#REF!</v>
      </c>
    </row>
    <row r="166" customFormat="false" ht="12.75" hidden="false" customHeight="false" outlineLevel="0" collapsed="false">
      <c r="M166" s="452" t="n">
        <f aca="false">+M163+M155</f>
        <v>-0.130330953772098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0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35" activeCellId="0" sqref="C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11.28"/>
    <col collapsed="false" customWidth="true" hidden="false" outlineLevel="0" max="2" min="2" style="5" width="11.99"/>
    <col collapsed="false" customWidth="true" hidden="false" outlineLevel="0" max="3" min="3" style="5" width="17.14"/>
    <col collapsed="false" customWidth="true" hidden="false" outlineLevel="0" max="4" min="4" style="6" width="14.41"/>
    <col collapsed="false" customWidth="true" hidden="false" outlineLevel="0" max="5" min="5" style="6" width="3.7"/>
    <col collapsed="false" customWidth="true" hidden="false" outlineLevel="0" max="6" min="6" style="4" width="11.28"/>
    <col collapsed="false" customWidth="true" hidden="false" outlineLevel="0" max="7" min="7" style="7" width="15.56"/>
    <col collapsed="false" customWidth="true" hidden="false" outlineLevel="0" max="8" min="8" style="7" width="13.99"/>
    <col collapsed="false" customWidth="false" hidden="false" outlineLevel="0" max="9" min="9" style="4" width="9.14"/>
    <col collapsed="false" customWidth="true" hidden="false" outlineLevel="0" max="10" min="10" style="4" width="13.7"/>
    <col collapsed="false" customWidth="false" hidden="false" outlineLevel="0" max="11" min="11" style="4" width="9.14"/>
    <col collapsed="false" customWidth="true" hidden="false" outlineLevel="0" max="12" min="12" style="4" width="12.42"/>
    <col collapsed="false" customWidth="false" hidden="false" outlineLevel="0" max="257" min="13" style="4" width="9.14"/>
  </cols>
  <sheetData>
    <row r="1" customFormat="false" ht="12.75" hidden="false" customHeight="false" outlineLevel="0" collapsed="false">
      <c r="A1" s="8" t="s">
        <v>8</v>
      </c>
      <c r="D1" s="5"/>
      <c r="E1" s="5"/>
      <c r="F1" s="9"/>
      <c r="G1" s="8"/>
      <c r="H1" s="8"/>
      <c r="I1" s="10"/>
      <c r="J1" s="11"/>
    </row>
    <row r="2" customFormat="false" ht="12.75" hidden="false" customHeight="false" outlineLevel="0" collapsed="false">
      <c r="A2" s="8"/>
      <c r="D2" s="12"/>
      <c r="E2" s="12"/>
      <c r="F2" s="9"/>
      <c r="G2" s="8"/>
      <c r="H2" s="8"/>
      <c r="I2" s="10"/>
      <c r="J2" s="11"/>
    </row>
    <row r="3" customFormat="false" ht="12.75" hidden="false" customHeight="false" outlineLevel="0" collapsed="false">
      <c r="A3" s="8"/>
      <c r="D3" s="12"/>
      <c r="E3" s="12"/>
      <c r="F3" s="9"/>
      <c r="G3" s="8" t="s">
        <v>9</v>
      </c>
      <c r="H3" s="8" t="s">
        <v>9</v>
      </c>
      <c r="I3" s="10"/>
      <c r="J3" s="11"/>
    </row>
    <row r="4" customFormat="false" ht="12.75" hidden="false" customHeight="false" outlineLevel="0" collapsed="false">
      <c r="A4" s="10"/>
      <c r="D4" s="5"/>
      <c r="E4" s="5"/>
      <c r="F4" s="9"/>
      <c r="G4" s="13"/>
      <c r="H4" s="8"/>
      <c r="I4" s="10"/>
      <c r="J4" s="11"/>
    </row>
    <row r="5" customFormat="false" ht="12.75" hidden="false" customHeight="false" outlineLevel="0" collapsed="false">
      <c r="A5" s="14" t="s">
        <v>10</v>
      </c>
      <c r="B5" s="15" t="s">
        <v>11</v>
      </c>
      <c r="C5" s="15" t="s">
        <v>12</v>
      </c>
      <c r="D5" s="15" t="s">
        <v>13</v>
      </c>
      <c r="E5" s="15"/>
      <c r="F5" s="16" t="s">
        <v>14</v>
      </c>
      <c r="G5" s="17" t="s">
        <v>15</v>
      </c>
      <c r="H5" s="17" t="s">
        <v>16</v>
      </c>
      <c r="I5" s="14" t="s">
        <v>14</v>
      </c>
      <c r="J5" s="17" t="s">
        <v>17</v>
      </c>
    </row>
    <row r="6" customFormat="false" ht="12.75" hidden="false" customHeight="false" outlineLevel="0" collapsed="false">
      <c r="A6" s="10" t="s">
        <v>18</v>
      </c>
      <c r="B6" s="5" t="n">
        <v>0.3051</v>
      </c>
      <c r="C6" s="5" t="n">
        <v>77177</v>
      </c>
      <c r="D6" s="5" t="s">
        <v>19</v>
      </c>
      <c r="E6" s="5"/>
      <c r="F6" s="9"/>
      <c r="G6" s="8" t="s">
        <v>20</v>
      </c>
      <c r="H6" s="8" t="s">
        <v>20</v>
      </c>
      <c r="I6" s="10" t="s">
        <v>21</v>
      </c>
      <c r="J6" s="8" t="s">
        <v>22</v>
      </c>
    </row>
    <row r="7" customFormat="false" ht="12.75" hidden="false" customHeight="false" outlineLevel="0" collapsed="false">
      <c r="A7" s="10" t="s">
        <v>18</v>
      </c>
      <c r="B7" s="5" t="n">
        <v>0.4983</v>
      </c>
      <c r="C7" s="5" t="n">
        <v>77169</v>
      </c>
      <c r="D7" s="5" t="s">
        <v>19</v>
      </c>
      <c r="E7" s="5"/>
      <c r="F7" s="9"/>
      <c r="G7" s="8" t="s">
        <v>20</v>
      </c>
      <c r="H7" s="8" t="s">
        <v>20</v>
      </c>
      <c r="I7" s="10" t="s">
        <v>21</v>
      </c>
      <c r="J7" s="8" t="s">
        <v>23</v>
      </c>
    </row>
    <row r="8" customFormat="false" ht="12.75" hidden="false" customHeight="false" outlineLevel="0" collapsed="false">
      <c r="A8" s="10" t="s">
        <v>18</v>
      </c>
      <c r="B8" s="5" t="n">
        <v>0.2999</v>
      </c>
      <c r="D8" s="5" t="s">
        <v>19</v>
      </c>
      <c r="E8" s="5"/>
      <c r="F8" s="9"/>
      <c r="G8" s="8" t="s">
        <v>20</v>
      </c>
      <c r="H8" s="8" t="s">
        <v>20</v>
      </c>
      <c r="I8" s="10" t="s">
        <v>21</v>
      </c>
      <c r="J8" s="8" t="s">
        <v>23</v>
      </c>
    </row>
    <row r="9" customFormat="false" ht="12.75" hidden="false" customHeight="false" outlineLevel="0" collapsed="false">
      <c r="A9" s="10" t="s">
        <v>18</v>
      </c>
      <c r="B9" s="5" t="n">
        <v>0.2774</v>
      </c>
      <c r="C9" s="5" t="n">
        <v>77175</v>
      </c>
      <c r="D9" s="5" t="s">
        <v>19</v>
      </c>
      <c r="E9" s="5"/>
      <c r="F9" s="9"/>
      <c r="G9" s="8" t="s">
        <v>20</v>
      </c>
      <c r="H9" s="8" t="s">
        <v>20</v>
      </c>
      <c r="I9" s="10" t="s">
        <v>21</v>
      </c>
      <c r="J9" s="8" t="s">
        <v>23</v>
      </c>
    </row>
    <row r="10" customFormat="false" ht="12.75" hidden="false" customHeight="false" outlineLevel="0" collapsed="false">
      <c r="A10" s="10" t="s">
        <v>18</v>
      </c>
      <c r="B10" s="5" t="n">
        <v>0.7537</v>
      </c>
      <c r="C10" s="5" t="n">
        <v>82420</v>
      </c>
      <c r="D10" s="5" t="s">
        <v>24</v>
      </c>
      <c r="E10" s="5"/>
      <c r="F10" s="9"/>
      <c r="G10" s="8" t="s">
        <v>20</v>
      </c>
      <c r="H10" s="8" t="s">
        <v>20</v>
      </c>
      <c r="I10" s="10" t="s">
        <v>21</v>
      </c>
      <c r="J10" s="8" t="s">
        <v>25</v>
      </c>
    </row>
    <row r="11" customFormat="false" ht="12.75" hidden="false" customHeight="false" outlineLevel="0" collapsed="false">
      <c r="A11" s="10" t="s">
        <v>18</v>
      </c>
      <c r="B11" s="5" t="n">
        <v>3.073</v>
      </c>
      <c r="C11" s="5" t="n">
        <v>96503</v>
      </c>
      <c r="D11" s="5" t="s">
        <v>26</v>
      </c>
      <c r="E11" s="5"/>
      <c r="F11" s="9"/>
      <c r="G11" s="8" t="s">
        <v>20</v>
      </c>
      <c r="H11" s="8" t="s">
        <v>20</v>
      </c>
      <c r="I11" s="10" t="s">
        <v>21</v>
      </c>
      <c r="J11" s="8" t="s">
        <v>27</v>
      </c>
    </row>
    <row r="12" customFormat="false" ht="12.75" hidden="false" customHeight="false" outlineLevel="0" collapsed="false">
      <c r="A12" s="10" t="s">
        <v>18</v>
      </c>
      <c r="B12" s="5" t="n">
        <v>1.8793</v>
      </c>
      <c r="C12" s="5" t="n">
        <v>104783</v>
      </c>
      <c r="D12" s="5" t="s">
        <v>28</v>
      </c>
      <c r="E12" s="5"/>
      <c r="F12" s="9"/>
      <c r="G12" s="8" t="s">
        <v>20</v>
      </c>
      <c r="H12" s="8" t="s">
        <v>20</v>
      </c>
      <c r="I12" s="10" t="s">
        <v>21</v>
      </c>
      <c r="J12" s="8" t="s">
        <v>29</v>
      </c>
    </row>
    <row r="13" customFormat="false" ht="12.75" hidden="false" customHeight="false" outlineLevel="0" collapsed="false">
      <c r="A13" s="10" t="s">
        <v>18</v>
      </c>
      <c r="B13" s="5" t="n">
        <v>0.9047</v>
      </c>
      <c r="C13" s="5" t="n">
        <v>168466</v>
      </c>
      <c r="D13" s="5" t="s">
        <v>30</v>
      </c>
      <c r="E13" s="5"/>
      <c r="F13" s="9"/>
      <c r="G13" s="8" t="s">
        <v>20</v>
      </c>
      <c r="H13" s="8" t="s">
        <v>20</v>
      </c>
      <c r="I13" s="10" t="s">
        <v>21</v>
      </c>
      <c r="J13" s="8" t="s">
        <v>31</v>
      </c>
    </row>
    <row r="15" customFormat="false" ht="12.75" hidden="false" customHeight="false" outlineLevel="0" collapsed="false">
      <c r="A15" s="4" t="s">
        <v>32</v>
      </c>
      <c r="B15" s="5" t="s">
        <v>33</v>
      </c>
    </row>
    <row r="17" customFormat="false" ht="12.75" hidden="false" customHeight="false" outlineLevel="0" collapsed="false">
      <c r="A17" s="4" t="s">
        <v>34</v>
      </c>
      <c r="B17" s="5" t="n">
        <v>2891</v>
      </c>
      <c r="D17" s="6" t="s">
        <v>19</v>
      </c>
      <c r="G17" s="7" t="s">
        <v>20</v>
      </c>
      <c r="H17" s="7" t="s">
        <v>20</v>
      </c>
    </row>
    <row r="18" customFormat="false" ht="12.75" hidden="false" customHeight="false" outlineLevel="0" collapsed="false">
      <c r="A18" s="4" t="s">
        <v>34</v>
      </c>
      <c r="B18" s="5" t="n">
        <v>80045</v>
      </c>
      <c r="D18" s="6" t="s">
        <v>21</v>
      </c>
    </row>
    <row r="20" customFormat="false" ht="12.75" hidden="false" customHeight="false" outlineLevel="0" collapsed="false">
      <c r="A20" s="4" t="s">
        <v>35</v>
      </c>
      <c r="B20" s="5" t="s">
        <v>36</v>
      </c>
      <c r="C20" s="5" t="n">
        <v>98243</v>
      </c>
      <c r="D20" s="6" t="s">
        <v>37</v>
      </c>
      <c r="G20" s="7" t="s">
        <v>20</v>
      </c>
      <c r="H20" s="7" t="s">
        <v>20</v>
      </c>
      <c r="J20" s="4" t="s">
        <v>38</v>
      </c>
    </row>
    <row r="21" customFormat="false" ht="12.75" hidden="false" customHeight="false" outlineLevel="0" collapsed="false">
      <c r="A21" s="4" t="s">
        <v>35</v>
      </c>
      <c r="B21" s="5" t="s">
        <v>36</v>
      </c>
      <c r="C21" s="5" t="n">
        <v>98567</v>
      </c>
      <c r="D21" s="6" t="s">
        <v>39</v>
      </c>
      <c r="G21" s="7" t="s">
        <v>20</v>
      </c>
      <c r="H21" s="7" t="s">
        <v>20</v>
      </c>
      <c r="J21" s="4" t="s">
        <v>40</v>
      </c>
    </row>
    <row r="22" customFormat="false" ht="12.75" hidden="false" customHeight="false" outlineLevel="0" collapsed="false">
      <c r="A22" s="4" t="s">
        <v>35</v>
      </c>
      <c r="B22" s="5" t="n">
        <v>600228</v>
      </c>
      <c r="C22" s="5" t="n">
        <v>77009</v>
      </c>
      <c r="D22" s="6" t="s">
        <v>41</v>
      </c>
      <c r="G22" s="7" t="s">
        <v>20</v>
      </c>
      <c r="H22" s="7" t="s">
        <v>20</v>
      </c>
      <c r="J22" s="4" t="s">
        <v>42</v>
      </c>
    </row>
    <row r="24" customFormat="false" ht="12.75" hidden="false" customHeight="false" outlineLevel="0" collapsed="false">
      <c r="A24" s="4" t="s">
        <v>43</v>
      </c>
      <c r="B24" s="5" t="s">
        <v>44</v>
      </c>
      <c r="C24" s="5" t="n">
        <v>168569</v>
      </c>
      <c r="D24" s="6" t="s">
        <v>45</v>
      </c>
      <c r="G24" s="7" t="s">
        <v>20</v>
      </c>
      <c r="H24" s="7" t="s">
        <v>20</v>
      </c>
      <c r="J24" s="4" t="s">
        <v>46</v>
      </c>
    </row>
    <row r="26" customFormat="false" ht="12.75" hidden="false" customHeight="false" outlineLevel="0" collapsed="false">
      <c r="A26" s="4" t="s">
        <v>47</v>
      </c>
      <c r="B26" s="5" t="n">
        <v>9310010</v>
      </c>
      <c r="D26" s="6" t="s">
        <v>48</v>
      </c>
    </row>
    <row r="28" customFormat="false" ht="12.75" hidden="false" customHeight="false" outlineLevel="0" collapsed="false">
      <c r="A28" s="4" t="s">
        <v>49</v>
      </c>
      <c r="B28" s="5" t="n">
        <v>38641</v>
      </c>
      <c r="C28" s="5" t="n">
        <v>93039</v>
      </c>
      <c r="D28" s="6" t="s">
        <v>50</v>
      </c>
      <c r="J28" s="4" t="s">
        <v>51</v>
      </c>
    </row>
    <row r="29" customFormat="false" ht="12.75" hidden="false" customHeight="false" outlineLevel="0" collapsed="false">
      <c r="A29" s="4" t="s">
        <v>49</v>
      </c>
      <c r="B29" s="5" t="n">
        <v>37556</v>
      </c>
      <c r="C29" s="5" t="n">
        <v>93037</v>
      </c>
      <c r="D29" s="6" t="s">
        <v>52</v>
      </c>
      <c r="J29" s="4" t="s">
        <v>53</v>
      </c>
    </row>
    <row r="30" customFormat="false" ht="12.75" hidden="false" customHeight="false" outlineLevel="0" collapsed="false">
      <c r="A30" s="4" t="s">
        <v>49</v>
      </c>
      <c r="B30" s="5" t="n">
        <v>39229</v>
      </c>
      <c r="C30" s="5" t="n">
        <v>93030</v>
      </c>
      <c r="D30" s="6" t="s">
        <v>54</v>
      </c>
      <c r="J30" s="4" t="s">
        <v>55</v>
      </c>
    </row>
    <row r="33" customFormat="false" ht="12.75" hidden="false" customHeight="false" outlineLevel="0" collapsed="false">
      <c r="A33" s="4" t="s">
        <v>56</v>
      </c>
      <c r="B33" s="5" t="n">
        <v>40998</v>
      </c>
      <c r="D33" s="6" t="s">
        <v>19</v>
      </c>
    </row>
    <row r="34" customFormat="false" ht="12.75" hidden="false" customHeight="false" outlineLevel="0" collapsed="false">
      <c r="A34" s="4" t="s">
        <v>56</v>
      </c>
      <c r="B34" s="5" t="n">
        <v>38021</v>
      </c>
      <c r="C34" s="5" t="n">
        <v>166118</v>
      </c>
      <c r="D34" s="6" t="s">
        <v>57</v>
      </c>
      <c r="G34" s="7" t="s">
        <v>20</v>
      </c>
      <c r="H34" s="7" t="s">
        <v>20</v>
      </c>
      <c r="J34" s="4" t="s">
        <v>46</v>
      </c>
    </row>
    <row r="36" customFormat="false" ht="12.75" hidden="false" customHeight="false" outlineLevel="0" collapsed="false">
      <c r="A36" s="4" t="s">
        <v>58</v>
      </c>
      <c r="B36" s="5" t="s">
        <v>59</v>
      </c>
      <c r="C36" s="5" t="n">
        <v>102637</v>
      </c>
      <c r="D36" s="6" t="s">
        <v>60</v>
      </c>
      <c r="F36" s="4" t="n">
        <v>60000</v>
      </c>
      <c r="J36" s="4" t="s">
        <v>61</v>
      </c>
    </row>
    <row r="37" customFormat="false" ht="12.75" hidden="false" customHeight="false" outlineLevel="0" collapsed="false">
      <c r="A37" s="4" t="s">
        <v>58</v>
      </c>
      <c r="B37" s="5" t="s">
        <v>62</v>
      </c>
      <c r="C37" s="5" t="n">
        <v>549343</v>
      </c>
    </row>
    <row r="38" customFormat="false" ht="12.75" hidden="false" customHeight="false" outlineLevel="0" collapsed="false">
      <c r="A38" s="4" t="s">
        <v>58</v>
      </c>
      <c r="B38" s="5" t="s">
        <v>63</v>
      </c>
      <c r="C38" s="5" t="n">
        <v>549352</v>
      </c>
    </row>
    <row r="39" customFormat="false" ht="12.75" hidden="false" customHeight="false" outlineLevel="0" collapsed="false">
      <c r="A39" s="4" t="s">
        <v>58</v>
      </c>
      <c r="B39" s="5" t="s">
        <v>64</v>
      </c>
      <c r="C39" s="5" t="n">
        <v>549353</v>
      </c>
    </row>
    <row r="40" customFormat="false" ht="12.75" hidden="false" customHeight="false" outlineLevel="0" collapsed="false">
      <c r="A40" s="4" t="s">
        <v>58</v>
      </c>
      <c r="B40" s="5" t="s">
        <v>65</v>
      </c>
      <c r="C40" s="5" t="n">
        <v>549354</v>
      </c>
    </row>
    <row r="43" customFormat="false" ht="12.75" hidden="false" customHeight="false" outlineLevel="0" collapsed="false">
      <c r="A43" s="4" t="s">
        <v>66</v>
      </c>
      <c r="B43" s="5" t="s">
        <v>67</v>
      </c>
      <c r="C43" s="5" t="n">
        <v>104749</v>
      </c>
      <c r="D43" s="6" t="s">
        <v>68</v>
      </c>
      <c r="G43" s="7" t="s">
        <v>69</v>
      </c>
      <c r="J43" s="4" t="s">
        <v>70</v>
      </c>
    </row>
    <row r="44" customFormat="false" ht="12.75" hidden="false" customHeight="false" outlineLevel="0" collapsed="false">
      <c r="A44" s="4" t="s">
        <v>66</v>
      </c>
      <c r="B44" s="5" t="s">
        <v>71</v>
      </c>
      <c r="C44" s="5" t="n">
        <v>82026</v>
      </c>
      <c r="D44" s="6" t="s">
        <v>19</v>
      </c>
      <c r="G44" s="7" t="s">
        <v>20</v>
      </c>
      <c r="H44" s="7" t="s">
        <v>20</v>
      </c>
    </row>
    <row r="45" customFormat="false" ht="12.75" hidden="false" customHeight="false" outlineLevel="0" collapsed="false">
      <c r="A45" s="4" t="s">
        <v>66</v>
      </c>
      <c r="B45" s="5" t="s">
        <v>72</v>
      </c>
      <c r="C45" s="5" t="n">
        <v>312407</v>
      </c>
      <c r="D45" s="6" t="s">
        <v>73</v>
      </c>
      <c r="G45" s="7" t="s">
        <v>20</v>
      </c>
      <c r="H45" s="7" t="s">
        <v>20</v>
      </c>
      <c r="J45" s="4" t="s">
        <v>74</v>
      </c>
    </row>
    <row r="46" customFormat="false" ht="12.75" hidden="false" customHeight="false" outlineLevel="0" collapsed="false">
      <c r="A46" s="4" t="s">
        <v>66</v>
      </c>
      <c r="B46" s="5" t="s">
        <v>75</v>
      </c>
      <c r="C46" s="5" t="s">
        <v>76</v>
      </c>
      <c r="D46" s="6" t="s">
        <v>77</v>
      </c>
      <c r="G46" s="7" t="s">
        <v>20</v>
      </c>
      <c r="H46" s="7" t="s">
        <v>20</v>
      </c>
      <c r="J46" s="4" t="s">
        <v>78</v>
      </c>
    </row>
    <row r="48" customFormat="false" ht="12.75" hidden="false" customHeight="false" outlineLevel="0" collapsed="false">
      <c r="A48" s="4" t="s">
        <v>79</v>
      </c>
      <c r="B48" s="5" t="s">
        <v>80</v>
      </c>
      <c r="C48" s="5" t="n">
        <v>117510</v>
      </c>
      <c r="D48" s="6" t="s">
        <v>19</v>
      </c>
      <c r="J48" s="4" t="s">
        <v>81</v>
      </c>
    </row>
    <row r="50" customFormat="false" ht="12.75" hidden="false" customHeight="false" outlineLevel="0" collapsed="false">
      <c r="A50" s="4" t="s">
        <v>82</v>
      </c>
      <c r="B50" s="5" t="n">
        <v>15</v>
      </c>
      <c r="C50" s="5" t="n">
        <v>125711</v>
      </c>
      <c r="D50" s="6" t="s">
        <v>19</v>
      </c>
    </row>
    <row r="52" customFormat="false" ht="12.75" hidden="false" customHeight="false" outlineLevel="0" collapsed="false">
      <c r="A52" s="4" t="s">
        <v>83</v>
      </c>
      <c r="B52" s="5" t="s">
        <v>84</v>
      </c>
      <c r="C52" s="5" t="n">
        <v>124109</v>
      </c>
      <c r="D52" s="6" t="s">
        <v>85</v>
      </c>
    </row>
    <row r="53" customFormat="false" ht="12.75" hidden="false" customHeight="false" outlineLevel="0" collapsed="false">
      <c r="A53" s="4" t="s">
        <v>83</v>
      </c>
      <c r="B53" s="5" t="s">
        <v>86</v>
      </c>
      <c r="C53" s="5" t="n">
        <v>77753</v>
      </c>
      <c r="D53" s="6" t="s">
        <v>19</v>
      </c>
    </row>
    <row r="55" customFormat="false" ht="12.75" hidden="false" customHeight="false" outlineLevel="0" collapsed="false">
      <c r="A55" s="4" t="s">
        <v>87</v>
      </c>
      <c r="B55" s="5" t="s">
        <v>88</v>
      </c>
      <c r="C55" s="5" t="n">
        <v>220796</v>
      </c>
      <c r="D55" s="6" t="s">
        <v>19</v>
      </c>
      <c r="F55" s="4" t="s">
        <v>89</v>
      </c>
      <c r="J55" s="4" t="s">
        <v>90</v>
      </c>
    </row>
    <row r="58" customFormat="false" ht="12.75" hidden="false" customHeight="false" outlineLevel="0" collapsed="false">
      <c r="A58" s="18" t="s">
        <v>91</v>
      </c>
      <c r="B58" s="19" t="s">
        <v>92</v>
      </c>
      <c r="C58" s="19" t="s">
        <v>92</v>
      </c>
      <c r="D58" s="20" t="s">
        <v>89</v>
      </c>
      <c r="E58" s="20" t="s">
        <v>89</v>
      </c>
      <c r="F58" s="18" t="s">
        <v>93</v>
      </c>
      <c r="G58" s="18" t="s">
        <v>93</v>
      </c>
      <c r="H58" s="19" t="s">
        <v>19</v>
      </c>
      <c r="I58" s="21" t="n">
        <v>0</v>
      </c>
      <c r="J58" s="22" t="n">
        <v>0</v>
      </c>
      <c r="K58" s="22" t="n">
        <v>0.0022</v>
      </c>
      <c r="L58" s="22" t="n">
        <v>0.0072</v>
      </c>
      <c r="M58" s="22" t="n">
        <v>0.0131</v>
      </c>
      <c r="N58" s="23" t="n">
        <v>0</v>
      </c>
      <c r="O58" s="22" t="n">
        <f aca="false">SUM(I58:M58)</f>
        <v>0.0225</v>
      </c>
      <c r="P58" s="24" t="s">
        <v>94</v>
      </c>
      <c r="Q58" s="24" t="s">
        <v>94</v>
      </c>
      <c r="R58" s="19" t="n">
        <v>0</v>
      </c>
      <c r="S58" s="18" t="s">
        <v>95</v>
      </c>
      <c r="T58" s="25" t="n">
        <f aca="false">I58*I$1*R58</f>
        <v>0</v>
      </c>
      <c r="U58" s="25"/>
      <c r="V58" s="26"/>
      <c r="W58" s="26" t="n">
        <v>145336</v>
      </c>
      <c r="X58" s="27"/>
      <c r="Y58" s="27"/>
    </row>
    <row r="60" customFormat="false" ht="12.75" hidden="false" customHeight="false" outlineLevel="0" collapsed="false">
      <c r="A60" s="4" t="s">
        <v>96</v>
      </c>
      <c r="B60" s="5" t="s">
        <v>97</v>
      </c>
      <c r="C60" s="5" t="n">
        <v>220903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8.85"/>
    <col collapsed="false" customWidth="false" hidden="false" outlineLevel="0" max="2" min="2" style="28" width="9.14"/>
    <col collapsed="false" customWidth="true" hidden="false" outlineLevel="0" max="3" min="3" style="28" width="10.56"/>
    <col collapsed="false" customWidth="true" hidden="false" outlineLevel="0" max="4" min="4" style="28" width="8.7"/>
    <col collapsed="false" customWidth="true" hidden="false" outlineLevel="0" max="5" min="5" style="28" width="10.99"/>
    <col collapsed="false" customWidth="true" hidden="false" outlineLevel="0" max="6" min="6" style="29" width="12.42"/>
    <col collapsed="false" customWidth="true" hidden="false" outlineLevel="0" max="7" min="7" style="29" width="7.99"/>
    <col collapsed="false" customWidth="true" hidden="false" outlineLevel="0" max="8" min="8" style="28" width="6.41"/>
    <col collapsed="false" customWidth="true" hidden="true" outlineLevel="0" max="9" min="9" style="28" width="8.85"/>
    <col collapsed="false" customWidth="true" hidden="true" outlineLevel="0" max="13" min="10" style="28" width="9.06"/>
    <col collapsed="false" customWidth="true" hidden="true" outlineLevel="0" max="14" min="14" style="30" width="9.06"/>
    <col collapsed="false" customWidth="true" hidden="true" outlineLevel="0" max="15" min="15" style="28" width="9.06"/>
    <col collapsed="false" customWidth="true" hidden="false" outlineLevel="0" max="16" min="16" style="31" width="12.28"/>
    <col collapsed="false" customWidth="false" hidden="false" outlineLevel="0" max="17" min="17" style="28" width="9.14"/>
    <col collapsed="false" customWidth="true" hidden="false" outlineLevel="0" max="18" min="18" style="28" width="13.7"/>
    <col collapsed="false" customWidth="false" hidden="false" outlineLevel="0" max="20" min="19" style="28" width="9.14"/>
    <col collapsed="false" customWidth="true" hidden="false" outlineLevel="0" max="21" min="21" style="31" width="13.56"/>
    <col collapsed="false" customWidth="true" hidden="false" outlineLevel="0" max="22" min="22" style="28" width="42.28"/>
    <col collapsed="false" customWidth="false" hidden="false" outlineLevel="0" max="24" min="23" style="31" width="9.14"/>
    <col collapsed="false" customWidth="true" hidden="false" outlineLevel="0" max="25" min="25" style="28" width="12.42"/>
    <col collapsed="false" customWidth="false" hidden="false" outlineLevel="0" max="257" min="26" style="28" width="9.14"/>
  </cols>
  <sheetData>
    <row r="1" customFormat="false" ht="12.75" hidden="false" customHeight="false" outlineLevel="0" collapsed="false">
      <c r="A1" s="32" t="s">
        <v>98</v>
      </c>
      <c r="B1" s="19"/>
      <c r="C1" s="19"/>
      <c r="D1" s="20"/>
      <c r="E1" s="20"/>
      <c r="F1" s="18"/>
      <c r="G1" s="18"/>
      <c r="H1" s="19" t="s">
        <v>99</v>
      </c>
      <c r="I1" s="33" t="n">
        <v>31</v>
      </c>
      <c r="J1" s="34" t="s">
        <v>100</v>
      </c>
      <c r="K1" s="22"/>
      <c r="L1" s="22"/>
      <c r="M1" s="22"/>
      <c r="N1" s="23"/>
      <c r="O1" s="22"/>
      <c r="P1" s="27"/>
      <c r="Q1" s="35"/>
      <c r="R1" s="36"/>
      <c r="S1" s="36"/>
      <c r="T1" s="36"/>
      <c r="U1" s="37"/>
      <c r="V1" s="36"/>
      <c r="W1" s="38"/>
      <c r="X1" s="38"/>
    </row>
    <row r="2" customFormat="false" ht="12.75" hidden="false" customHeight="false" outlineLevel="0" collapsed="false">
      <c r="A2" s="39" t="s">
        <v>101</v>
      </c>
      <c r="B2" s="39"/>
      <c r="C2" s="39"/>
      <c r="D2" s="20"/>
      <c r="E2" s="20"/>
      <c r="F2" s="18"/>
      <c r="G2" s="18"/>
      <c r="H2" s="19"/>
      <c r="I2" s="33"/>
      <c r="J2" s="34" t="s">
        <v>102</v>
      </c>
      <c r="K2" s="22"/>
      <c r="L2" s="22"/>
      <c r="M2" s="22"/>
      <c r="N2" s="23"/>
      <c r="O2" s="22"/>
      <c r="P2" s="27"/>
      <c r="Q2" s="35"/>
      <c r="R2" s="36"/>
      <c r="S2" s="36"/>
      <c r="T2" s="36"/>
      <c r="U2" s="37"/>
      <c r="V2" s="36"/>
      <c r="W2" s="38"/>
      <c r="X2" s="38"/>
    </row>
    <row r="3" customFormat="false" ht="12.75" hidden="false" customHeight="false" outlineLevel="0" collapsed="false">
      <c r="A3" s="40" t="s">
        <v>103</v>
      </c>
      <c r="B3" s="40"/>
      <c r="C3" s="40"/>
      <c r="D3" s="20"/>
      <c r="E3" s="20"/>
      <c r="F3" s="41" t="s">
        <v>9</v>
      </c>
      <c r="G3" s="18" t="s">
        <v>9</v>
      </c>
      <c r="H3" s="35" t="s">
        <v>9</v>
      </c>
      <c r="I3" s="21"/>
      <c r="J3" s="42" t="s">
        <v>9</v>
      </c>
      <c r="K3" s="22"/>
      <c r="L3" s="42" t="s">
        <v>9</v>
      </c>
      <c r="M3" s="22"/>
      <c r="N3" s="23"/>
      <c r="O3" s="42" t="s">
        <v>9</v>
      </c>
      <c r="P3" s="27"/>
      <c r="Q3" s="35"/>
      <c r="R3" s="36"/>
      <c r="S3" s="36"/>
      <c r="T3" s="36"/>
      <c r="U3" s="37"/>
      <c r="V3" s="36"/>
      <c r="W3" s="38"/>
      <c r="X3" s="38"/>
    </row>
    <row r="4" customFormat="false" ht="12.75" hidden="false" customHeight="false" outlineLevel="0" collapsed="false">
      <c r="A4" s="43" t="s">
        <v>104</v>
      </c>
      <c r="B4" s="44"/>
      <c r="C4" s="44"/>
      <c r="D4" s="20"/>
      <c r="E4" s="20"/>
      <c r="F4" s="45"/>
      <c r="G4" s="18"/>
      <c r="H4" s="45"/>
      <c r="I4" s="21"/>
      <c r="J4" s="45"/>
      <c r="K4" s="22"/>
      <c r="L4" s="45"/>
      <c r="M4" s="35"/>
      <c r="N4" s="23"/>
      <c r="O4" s="35"/>
      <c r="P4" s="27"/>
      <c r="Q4" s="35"/>
      <c r="R4" s="36"/>
      <c r="S4" s="46"/>
      <c r="T4" s="46"/>
      <c r="U4" s="47"/>
      <c r="V4" s="36"/>
      <c r="W4" s="38"/>
      <c r="X4" s="38"/>
    </row>
    <row r="5" customFormat="false" ht="12.75" hidden="false" customHeight="false" outlineLevel="0" collapsed="false">
      <c r="A5" s="18" t="s">
        <v>105</v>
      </c>
      <c r="B5" s="19"/>
      <c r="C5" s="48" t="s">
        <v>106</v>
      </c>
      <c r="D5" s="20"/>
      <c r="E5" s="20"/>
      <c r="F5" s="45"/>
      <c r="G5" s="18"/>
      <c r="H5" s="45"/>
      <c r="I5" s="21"/>
      <c r="J5" s="45"/>
      <c r="K5" s="22"/>
      <c r="L5" s="45"/>
      <c r="M5" s="35"/>
      <c r="N5" s="23"/>
      <c r="O5" s="35"/>
      <c r="P5" s="27"/>
      <c r="Q5" s="35"/>
      <c r="R5" s="36"/>
      <c r="S5" s="46"/>
      <c r="T5" s="46"/>
      <c r="U5" s="47"/>
      <c r="V5" s="36"/>
      <c r="W5" s="38"/>
      <c r="X5" s="38"/>
    </row>
    <row r="6" customFormat="false" ht="12.75" hidden="false" customHeight="false" outlineLevel="0" collapsed="false">
      <c r="A6" s="18"/>
      <c r="B6" s="19"/>
      <c r="C6" s="48" t="s">
        <v>107</v>
      </c>
      <c r="D6" s="20"/>
      <c r="E6" s="20"/>
      <c r="F6" s="45"/>
      <c r="G6" s="18"/>
      <c r="H6" s="45"/>
      <c r="I6" s="21"/>
      <c r="J6" s="45"/>
      <c r="K6" s="22"/>
      <c r="L6" s="45"/>
      <c r="M6" s="35"/>
      <c r="N6" s="23"/>
      <c r="O6" s="35"/>
      <c r="P6" s="27"/>
      <c r="Q6" s="35"/>
      <c r="R6" s="36"/>
      <c r="S6" s="46"/>
      <c r="T6" s="46"/>
      <c r="U6" s="47"/>
      <c r="V6" s="36"/>
      <c r="W6" s="38"/>
      <c r="X6" s="38"/>
    </row>
    <row r="7" customFormat="false" ht="12.75" hidden="false" customHeight="false" outlineLevel="0" collapsed="false">
      <c r="A7" s="18"/>
      <c r="B7" s="19"/>
      <c r="C7" s="48" t="s">
        <v>108</v>
      </c>
      <c r="D7" s="20"/>
      <c r="E7" s="20"/>
      <c r="F7" s="45"/>
      <c r="G7" s="18"/>
      <c r="H7" s="45"/>
      <c r="I7" s="21"/>
      <c r="J7" s="45"/>
      <c r="K7" s="22"/>
      <c r="L7" s="45"/>
      <c r="M7" s="35"/>
      <c r="N7" s="23"/>
      <c r="O7" s="35"/>
      <c r="P7" s="27"/>
      <c r="Q7" s="35"/>
      <c r="R7" s="36"/>
      <c r="S7" s="46"/>
      <c r="T7" s="46"/>
      <c r="U7" s="47"/>
      <c r="V7" s="36"/>
      <c r="W7" s="38"/>
      <c r="X7" s="38"/>
    </row>
    <row r="8" customFormat="false" ht="12.75" hidden="false" customHeight="false" outlineLevel="0" collapsed="false">
      <c r="A8" s="18"/>
      <c r="B8" s="19"/>
      <c r="C8" s="48"/>
      <c r="D8" s="20"/>
      <c r="E8" s="20"/>
      <c r="F8" s="45"/>
      <c r="G8" s="18"/>
      <c r="H8" s="45"/>
      <c r="I8" s="21"/>
      <c r="J8" s="45"/>
      <c r="K8" s="22"/>
      <c r="L8" s="45"/>
      <c r="M8" s="35"/>
      <c r="N8" s="23"/>
      <c r="O8" s="35"/>
      <c r="P8" s="27"/>
      <c r="Q8" s="35"/>
      <c r="R8" s="36"/>
      <c r="S8" s="46"/>
      <c r="T8" s="46"/>
      <c r="U8" s="47"/>
      <c r="V8" s="36"/>
      <c r="W8" s="38"/>
      <c r="X8" s="38"/>
    </row>
    <row r="9" customFormat="false" ht="12.75" hidden="false" customHeight="false" outlineLevel="0" collapsed="false">
      <c r="A9" s="18"/>
      <c r="B9" s="19"/>
      <c r="C9" s="48"/>
      <c r="D9" s="20"/>
      <c r="E9" s="20"/>
      <c r="F9" s="45"/>
      <c r="G9" s="18"/>
      <c r="H9" s="45"/>
      <c r="I9" s="21"/>
      <c r="J9" s="45"/>
      <c r="K9" s="22"/>
      <c r="L9" s="45"/>
      <c r="M9" s="35"/>
      <c r="N9" s="23"/>
      <c r="O9" s="35"/>
      <c r="P9" s="27"/>
      <c r="Q9" s="35"/>
      <c r="R9" s="36"/>
      <c r="S9" s="46"/>
      <c r="T9" s="46"/>
      <c r="U9" s="47"/>
      <c r="V9" s="36"/>
      <c r="W9" s="38"/>
      <c r="X9" s="38"/>
    </row>
    <row r="10" customFormat="false" ht="12.75" hidden="false" customHeight="false" outlineLevel="0" collapsed="false">
      <c r="A10" s="18"/>
      <c r="B10" s="19"/>
      <c r="C10" s="19"/>
      <c r="D10" s="20"/>
      <c r="E10" s="20"/>
      <c r="F10" s="45"/>
      <c r="G10" s="18"/>
      <c r="H10" s="45"/>
      <c r="I10" s="21"/>
      <c r="J10" s="45"/>
      <c r="K10" s="22"/>
      <c r="L10" s="45"/>
      <c r="M10" s="35"/>
      <c r="N10" s="23"/>
      <c r="O10" s="35"/>
      <c r="P10" s="27"/>
      <c r="Q10" s="35"/>
      <c r="R10" s="36"/>
      <c r="S10" s="46"/>
      <c r="T10" s="46"/>
      <c r="U10" s="47"/>
      <c r="V10" s="36"/>
      <c r="W10" s="38"/>
      <c r="X10" s="38"/>
    </row>
    <row r="11" customFormat="false" ht="12.75" hidden="false" customHeight="false" outlineLevel="0" collapsed="false">
      <c r="A11" s="49" t="s">
        <v>109</v>
      </c>
      <c r="B11" s="50" t="s">
        <v>110</v>
      </c>
      <c r="C11" s="50" t="s">
        <v>111</v>
      </c>
      <c r="D11" s="51" t="s">
        <v>112</v>
      </c>
      <c r="E11" s="51"/>
      <c r="F11" s="49" t="s">
        <v>113</v>
      </c>
      <c r="G11" s="49" t="s">
        <v>114</v>
      </c>
      <c r="H11" s="50" t="s">
        <v>115</v>
      </c>
      <c r="I11" s="52" t="s">
        <v>116</v>
      </c>
      <c r="J11" s="50" t="s">
        <v>117</v>
      </c>
      <c r="K11" s="50" t="s">
        <v>118</v>
      </c>
      <c r="L11" s="50" t="s">
        <v>119</v>
      </c>
      <c r="M11" s="50" t="s">
        <v>120</v>
      </c>
      <c r="N11" s="53" t="s">
        <v>121</v>
      </c>
      <c r="O11" s="50" t="s">
        <v>122</v>
      </c>
      <c r="P11" s="54" t="s">
        <v>123</v>
      </c>
      <c r="Q11" s="50" t="s">
        <v>124</v>
      </c>
      <c r="R11" s="49" t="s">
        <v>125</v>
      </c>
      <c r="S11" s="55" t="s">
        <v>126</v>
      </c>
      <c r="T11" s="55" t="s">
        <v>127</v>
      </c>
      <c r="U11" s="56" t="s">
        <v>12</v>
      </c>
      <c r="V11" s="55" t="s">
        <v>128</v>
      </c>
      <c r="W11" s="27"/>
      <c r="X11" s="27"/>
    </row>
    <row r="12" customFormat="false" ht="12.75" hidden="false" customHeight="false" outlineLevel="0" collapsed="false">
      <c r="A12" s="18" t="s">
        <v>91</v>
      </c>
      <c r="B12" s="19" t="s">
        <v>129</v>
      </c>
      <c r="C12" s="19" t="s">
        <v>130</v>
      </c>
      <c r="D12" s="20" t="n">
        <v>36526</v>
      </c>
      <c r="E12" s="20" t="n">
        <v>36830</v>
      </c>
      <c r="F12" s="18" t="s">
        <v>131</v>
      </c>
      <c r="G12" s="18" t="s">
        <v>132</v>
      </c>
      <c r="H12" s="19"/>
      <c r="I12" s="21" t="n">
        <f aca="false">1.0603/I$1</f>
        <v>0.0342032258064516</v>
      </c>
      <c r="J12" s="22" t="n">
        <v>0.0017</v>
      </c>
      <c r="K12" s="22" t="n">
        <v>0.0022</v>
      </c>
      <c r="L12" s="22" t="n">
        <v>0</v>
      </c>
      <c r="M12" s="22" t="n">
        <v>0</v>
      </c>
      <c r="N12" s="23" t="n">
        <v>0.00593</v>
      </c>
      <c r="O12" s="22" t="n">
        <f aca="false">SUM(I12:M12)</f>
        <v>0.0381032258064516</v>
      </c>
      <c r="P12" s="27" t="n">
        <v>42789</v>
      </c>
      <c r="Q12" s="19" t="n">
        <v>30000</v>
      </c>
      <c r="R12" s="18" t="s">
        <v>133</v>
      </c>
      <c r="S12" s="25" t="n">
        <f aca="false">I12*I$1*Q12</f>
        <v>31809</v>
      </c>
      <c r="T12" s="25"/>
      <c r="U12" s="26" t="n">
        <v>140447</v>
      </c>
      <c r="V12" s="18"/>
      <c r="W12" s="27"/>
      <c r="X12" s="27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57" t="s">
        <v>9</v>
      </c>
      <c r="B13" s="58" t="s">
        <v>9</v>
      </c>
      <c r="C13" s="59" t="s">
        <v>9</v>
      </c>
      <c r="D13" s="60" t="s">
        <v>9</v>
      </c>
      <c r="E13" s="60"/>
      <c r="F13" s="57" t="s">
        <v>9</v>
      </c>
      <c r="G13" s="61" t="s">
        <v>9</v>
      </c>
      <c r="H13" s="58" t="s">
        <v>9</v>
      </c>
      <c r="I13" s="62"/>
      <c r="J13" s="63"/>
      <c r="K13" s="63"/>
      <c r="L13" s="63"/>
      <c r="M13" s="63"/>
      <c r="N13" s="64"/>
      <c r="O13" s="63"/>
      <c r="P13" s="65" t="s">
        <v>9</v>
      </c>
      <c r="Q13" s="58" t="n">
        <f aca="false">SUM(Q12)</f>
        <v>30000</v>
      </c>
      <c r="R13" s="57" t="s">
        <v>9</v>
      </c>
      <c r="S13" s="66" t="n">
        <f aca="false">SUM(S12)</f>
        <v>31809</v>
      </c>
      <c r="T13" s="66" t="n">
        <f aca="false">SUM(T12)</f>
        <v>0</v>
      </c>
      <c r="U13" s="67"/>
      <c r="V13" s="68"/>
      <c r="W13" s="27"/>
      <c r="X13" s="27"/>
    </row>
    <row r="14" customFormat="false" ht="12.75" hidden="false" customHeight="false" outlineLevel="0" collapsed="false">
      <c r="A14" s="49" t="s">
        <v>109</v>
      </c>
      <c r="B14" s="50" t="s">
        <v>110</v>
      </c>
      <c r="C14" s="50" t="s">
        <v>111</v>
      </c>
      <c r="D14" s="51" t="s">
        <v>112</v>
      </c>
      <c r="E14" s="51"/>
      <c r="F14" s="49" t="s">
        <v>113</v>
      </c>
      <c r="G14" s="49" t="s">
        <v>114</v>
      </c>
      <c r="H14" s="50" t="s">
        <v>115</v>
      </c>
      <c r="I14" s="52" t="s">
        <v>116</v>
      </c>
      <c r="J14" s="50" t="s">
        <v>117</v>
      </c>
      <c r="K14" s="50" t="s">
        <v>118</v>
      </c>
      <c r="L14" s="50" t="s">
        <v>119</v>
      </c>
      <c r="M14" s="50" t="s">
        <v>120</v>
      </c>
      <c r="N14" s="53" t="s">
        <v>121</v>
      </c>
      <c r="O14" s="50" t="s">
        <v>122</v>
      </c>
      <c r="P14" s="54" t="s">
        <v>123</v>
      </c>
      <c r="Q14" s="50" t="s">
        <v>124</v>
      </c>
      <c r="R14" s="49" t="s">
        <v>125</v>
      </c>
      <c r="S14" s="55" t="s">
        <v>134</v>
      </c>
      <c r="T14" s="55" t="s">
        <v>134</v>
      </c>
      <c r="U14" s="56"/>
      <c r="V14" s="55" t="str">
        <f aca="false">+V11</f>
        <v>Questions</v>
      </c>
      <c r="W14" s="27"/>
      <c r="X14" s="27"/>
    </row>
    <row r="15" customFormat="false" ht="12.75" hidden="false" customHeight="false" outlineLevel="0" collapsed="false">
      <c r="A15" s="18" t="s">
        <v>91</v>
      </c>
      <c r="B15" s="19" t="s">
        <v>135</v>
      </c>
      <c r="C15" s="19" t="s">
        <v>130</v>
      </c>
      <c r="D15" s="20" t="n">
        <v>36526</v>
      </c>
      <c r="E15" s="20" t="s">
        <v>89</v>
      </c>
      <c r="F15" s="18" t="s">
        <v>136</v>
      </c>
      <c r="G15" s="18" t="s">
        <v>136</v>
      </c>
      <c r="H15" s="19"/>
      <c r="I15" s="21" t="n">
        <v>0</v>
      </c>
      <c r="J15" s="22" t="n">
        <v>0</v>
      </c>
      <c r="K15" s="22" t="n">
        <v>0</v>
      </c>
      <c r="L15" s="22" t="n">
        <v>0</v>
      </c>
      <c r="M15" s="22" t="n">
        <v>0</v>
      </c>
      <c r="N15" s="23" t="n">
        <v>0</v>
      </c>
      <c r="O15" s="22" t="n">
        <f aca="false">SUM(I15:M15)</f>
        <v>0</v>
      </c>
      <c r="P15" s="27" t="n">
        <v>36907</v>
      </c>
      <c r="Q15" s="19" t="n">
        <v>0</v>
      </c>
      <c r="R15" s="18" t="s">
        <v>137</v>
      </c>
      <c r="S15" s="25" t="n">
        <f aca="false">I15*I$1*Q15</f>
        <v>0</v>
      </c>
      <c r="T15" s="25"/>
      <c r="U15" s="26" t="n">
        <v>148659</v>
      </c>
      <c r="V15" s="25"/>
      <c r="W15" s="27"/>
      <c r="X15" s="27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18" t="s">
        <v>138</v>
      </c>
      <c r="B16" s="19" t="s">
        <v>135</v>
      </c>
      <c r="C16" s="19" t="s">
        <v>139</v>
      </c>
      <c r="D16" s="20" t="n">
        <v>36526</v>
      </c>
      <c r="E16" s="20" t="s">
        <v>89</v>
      </c>
      <c r="F16" s="18" t="s">
        <v>136</v>
      </c>
      <c r="G16" s="18" t="s">
        <v>136</v>
      </c>
      <c r="H16" s="19"/>
      <c r="I16" s="21" t="n">
        <v>0</v>
      </c>
      <c r="J16" s="22" t="n">
        <v>0</v>
      </c>
      <c r="K16" s="22" t="n">
        <v>0</v>
      </c>
      <c r="L16" s="22" t="n">
        <v>0</v>
      </c>
      <c r="M16" s="22" t="n">
        <v>0</v>
      </c>
      <c r="N16" s="23" t="n">
        <v>0</v>
      </c>
      <c r="O16" s="22" t="n">
        <f aca="false">SUM(I16:M16)</f>
        <v>0</v>
      </c>
      <c r="P16" s="27" t="n">
        <v>48049</v>
      </c>
      <c r="Q16" s="19" t="n">
        <v>0</v>
      </c>
      <c r="R16" s="18" t="s">
        <v>137</v>
      </c>
      <c r="S16" s="25" t="n">
        <f aca="false">I16*I$1*Q16</f>
        <v>0</v>
      </c>
      <c r="T16" s="25"/>
      <c r="U16" s="26" t="n">
        <v>149173</v>
      </c>
      <c r="V16" s="25"/>
      <c r="W16" s="27"/>
      <c r="X16" s="27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18" t="s">
        <v>91</v>
      </c>
      <c r="B17" s="19" t="s">
        <v>135</v>
      </c>
      <c r="C17" s="19" t="s">
        <v>130</v>
      </c>
      <c r="D17" s="20" t="n">
        <v>36526</v>
      </c>
      <c r="E17" s="20" t="s">
        <v>89</v>
      </c>
      <c r="F17" s="18" t="s">
        <v>136</v>
      </c>
      <c r="G17" s="18" t="s">
        <v>136</v>
      </c>
      <c r="H17" s="19"/>
      <c r="I17" s="21" t="n">
        <v>0</v>
      </c>
      <c r="J17" s="22" t="n">
        <v>0</v>
      </c>
      <c r="K17" s="22" t="n">
        <v>0</v>
      </c>
      <c r="L17" s="22" t="n">
        <v>0</v>
      </c>
      <c r="M17" s="22" t="n">
        <v>0</v>
      </c>
      <c r="N17" s="23" t="n">
        <v>0</v>
      </c>
      <c r="O17" s="22" t="n">
        <f aca="false">SUM(I17:M17)</f>
        <v>0</v>
      </c>
      <c r="P17" s="27" t="n">
        <v>39999</v>
      </c>
      <c r="Q17" s="19" t="n">
        <v>0</v>
      </c>
      <c r="R17" s="18" t="s">
        <v>140</v>
      </c>
      <c r="S17" s="25" t="n">
        <f aca="false">I17*I$1*Q17</f>
        <v>0</v>
      </c>
      <c r="T17" s="25"/>
      <c r="U17" s="26" t="n">
        <v>149337</v>
      </c>
      <c r="V17" s="25"/>
      <c r="W17" s="27"/>
      <c r="X17" s="27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18" t="s">
        <v>138</v>
      </c>
      <c r="B18" s="19" t="s">
        <v>135</v>
      </c>
      <c r="C18" s="19" t="s">
        <v>139</v>
      </c>
      <c r="D18" s="20" t="n">
        <v>36526</v>
      </c>
      <c r="E18" s="20" t="s">
        <v>89</v>
      </c>
      <c r="F18" s="18" t="s">
        <v>136</v>
      </c>
      <c r="G18" s="18" t="s">
        <v>136</v>
      </c>
      <c r="H18" s="19"/>
      <c r="I18" s="21" t="n">
        <v>0</v>
      </c>
      <c r="J18" s="22" t="n">
        <v>0</v>
      </c>
      <c r="K18" s="22" t="n">
        <v>0</v>
      </c>
      <c r="L18" s="22" t="n">
        <v>0</v>
      </c>
      <c r="M18" s="22" t="n">
        <v>0</v>
      </c>
      <c r="N18" s="23" t="n">
        <v>0</v>
      </c>
      <c r="O18" s="22" t="n">
        <f aca="false">SUM(I18:M18)</f>
        <v>0</v>
      </c>
      <c r="P18" s="27" t="n">
        <v>48050</v>
      </c>
      <c r="Q18" s="19" t="n">
        <v>0</v>
      </c>
      <c r="R18" s="18" t="s">
        <v>140</v>
      </c>
      <c r="S18" s="25" t="n">
        <f aca="false">I18*I$1*Q18</f>
        <v>0</v>
      </c>
      <c r="T18" s="25"/>
      <c r="U18" s="26" t="n">
        <v>149338</v>
      </c>
      <c r="V18" s="25"/>
      <c r="W18" s="27"/>
      <c r="X18" s="27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18"/>
      <c r="B19" s="19"/>
      <c r="C19" s="19"/>
      <c r="D19" s="20" t="s">
        <v>9</v>
      </c>
      <c r="E19" s="20"/>
      <c r="F19" s="18"/>
      <c r="G19" s="18"/>
      <c r="H19" s="19"/>
      <c r="I19" s="21"/>
      <c r="J19" s="22"/>
      <c r="K19" s="69"/>
      <c r="L19" s="22"/>
      <c r="M19" s="22"/>
      <c r="N19" s="23"/>
      <c r="O19" s="22"/>
      <c r="P19" s="38"/>
      <c r="Q19" s="46"/>
      <c r="R19" s="70"/>
      <c r="S19" s="71"/>
      <c r="T19" s="36"/>
      <c r="U19" s="37"/>
      <c r="V19" s="36"/>
      <c r="W19" s="38"/>
      <c r="X19" s="38"/>
    </row>
    <row r="20" customFormat="false" ht="12.75" hidden="false" customHeight="false" outlineLevel="0" collapsed="false">
      <c r="A20" s="49" t="s">
        <v>109</v>
      </c>
      <c r="B20" s="50" t="s">
        <v>110</v>
      </c>
      <c r="C20" s="50" t="s">
        <v>111</v>
      </c>
      <c r="D20" s="51" t="s">
        <v>112</v>
      </c>
      <c r="E20" s="51"/>
      <c r="F20" s="49" t="s">
        <v>113</v>
      </c>
      <c r="G20" s="49" t="s">
        <v>114</v>
      </c>
      <c r="H20" s="50" t="s">
        <v>115</v>
      </c>
      <c r="I20" s="52" t="s">
        <v>116</v>
      </c>
      <c r="J20" s="50" t="s">
        <v>117</v>
      </c>
      <c r="K20" s="50" t="s">
        <v>118</v>
      </c>
      <c r="L20" s="50" t="s">
        <v>119</v>
      </c>
      <c r="M20" s="50" t="s">
        <v>120</v>
      </c>
      <c r="N20" s="53" t="s">
        <v>121</v>
      </c>
      <c r="O20" s="50" t="s">
        <v>122</v>
      </c>
      <c r="P20" s="54" t="s">
        <v>123</v>
      </c>
      <c r="Q20" s="50" t="s">
        <v>124</v>
      </c>
      <c r="R20" s="49" t="s">
        <v>125</v>
      </c>
      <c r="S20" s="55" t="s">
        <v>126</v>
      </c>
      <c r="T20" s="55" t="s">
        <v>127</v>
      </c>
      <c r="U20" s="56" t="s">
        <v>12</v>
      </c>
      <c r="V20" s="55" t="s">
        <v>128</v>
      </c>
      <c r="W20" s="27"/>
      <c r="X20" s="27"/>
    </row>
    <row r="21" customFormat="false" ht="12.75" hidden="false" customHeight="false" outlineLevel="0" collapsed="false">
      <c r="A21" s="18" t="s">
        <v>91</v>
      </c>
      <c r="B21" s="19" t="s">
        <v>141</v>
      </c>
      <c r="C21" s="19" t="s">
        <v>130</v>
      </c>
      <c r="D21" s="20" t="n">
        <v>36526</v>
      </c>
      <c r="E21" s="20" t="s">
        <v>89</v>
      </c>
      <c r="F21" s="18" t="s">
        <v>93</v>
      </c>
      <c r="G21" s="18" t="s">
        <v>93</v>
      </c>
      <c r="H21" s="19" t="s">
        <v>19</v>
      </c>
      <c r="I21" s="21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3" t="n">
        <v>0</v>
      </c>
      <c r="O21" s="22" t="n">
        <f aca="false">SUM(I21:M21)</f>
        <v>0</v>
      </c>
      <c r="P21" s="27" t="n">
        <v>238</v>
      </c>
      <c r="Q21" s="19" t="n">
        <v>0</v>
      </c>
      <c r="R21" s="18" t="s">
        <v>142</v>
      </c>
      <c r="S21" s="25" t="n">
        <f aca="false">I21*I$1*Q21</f>
        <v>0</v>
      </c>
      <c r="T21" s="25"/>
      <c r="U21" s="26" t="n">
        <v>149902</v>
      </c>
      <c r="V21" s="18"/>
      <c r="W21" s="27"/>
      <c r="X21" s="27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57" t="s">
        <v>9</v>
      </c>
      <c r="B22" s="58" t="s">
        <v>9</v>
      </c>
      <c r="C22" s="59" t="s">
        <v>9</v>
      </c>
      <c r="D22" s="60" t="s">
        <v>9</v>
      </c>
      <c r="E22" s="60"/>
      <c r="F22" s="57" t="s">
        <v>9</v>
      </c>
      <c r="G22" s="61" t="s">
        <v>9</v>
      </c>
      <c r="H22" s="58" t="s">
        <v>9</v>
      </c>
      <c r="I22" s="62"/>
      <c r="J22" s="63"/>
      <c r="K22" s="63"/>
      <c r="L22" s="63"/>
      <c r="M22" s="63"/>
      <c r="N22" s="64"/>
      <c r="O22" s="63"/>
      <c r="P22" s="65" t="s">
        <v>9</v>
      </c>
      <c r="Q22" s="58" t="n">
        <f aca="false">SUM(Q21)</f>
        <v>0</v>
      </c>
      <c r="R22" s="57" t="s">
        <v>9</v>
      </c>
      <c r="S22" s="66" t="n">
        <f aca="false">SUM(S21)</f>
        <v>0</v>
      </c>
      <c r="T22" s="66" t="n">
        <f aca="false">SUM(T21)</f>
        <v>0</v>
      </c>
      <c r="U22" s="67"/>
      <c r="V22" s="68"/>
      <c r="W22" s="27"/>
      <c r="X22" s="27"/>
    </row>
    <row r="23" customFormat="false" ht="12.75" hidden="false" customHeight="false" outlineLevel="0" collapsed="false">
      <c r="A23" s="49" t="s">
        <v>109</v>
      </c>
      <c r="B23" s="50" t="s">
        <v>110</v>
      </c>
      <c r="C23" s="50" t="s">
        <v>111</v>
      </c>
      <c r="D23" s="51" t="s">
        <v>112</v>
      </c>
      <c r="E23" s="51"/>
      <c r="F23" s="49" t="s">
        <v>113</v>
      </c>
      <c r="G23" s="49" t="s">
        <v>114</v>
      </c>
      <c r="H23" s="50" t="s">
        <v>115</v>
      </c>
      <c r="I23" s="52" t="s">
        <v>116</v>
      </c>
      <c r="J23" s="50" t="s">
        <v>117</v>
      </c>
      <c r="K23" s="50" t="s">
        <v>118</v>
      </c>
      <c r="L23" s="50" t="s">
        <v>119</v>
      </c>
      <c r="M23" s="50" t="s">
        <v>120</v>
      </c>
      <c r="N23" s="53" t="s">
        <v>121</v>
      </c>
      <c r="O23" s="50" t="s">
        <v>122</v>
      </c>
      <c r="P23" s="54" t="s">
        <v>123</v>
      </c>
      <c r="Q23" s="50" t="s">
        <v>124</v>
      </c>
      <c r="R23" s="49" t="s">
        <v>125</v>
      </c>
      <c r="S23" s="55" t="s">
        <v>126</v>
      </c>
      <c r="T23" s="55" t="s">
        <v>127</v>
      </c>
      <c r="U23" s="56" t="s">
        <v>12</v>
      </c>
      <c r="V23" s="55" t="s">
        <v>128</v>
      </c>
      <c r="W23" s="27"/>
      <c r="X23" s="27"/>
    </row>
    <row r="24" customFormat="false" ht="12.75" hidden="false" customHeight="false" outlineLevel="0" collapsed="false">
      <c r="A24" s="18" t="s">
        <v>91</v>
      </c>
      <c r="B24" s="19" t="s">
        <v>92</v>
      </c>
      <c r="C24" s="19" t="s">
        <v>130</v>
      </c>
      <c r="D24" s="20" t="n">
        <v>36526</v>
      </c>
      <c r="E24" s="20" t="s">
        <v>89</v>
      </c>
      <c r="F24" s="18" t="s">
        <v>93</v>
      </c>
      <c r="G24" s="18" t="s">
        <v>93</v>
      </c>
      <c r="H24" s="19" t="s">
        <v>19</v>
      </c>
      <c r="I24" s="21" t="n">
        <v>0</v>
      </c>
      <c r="J24" s="22" t="n">
        <v>0</v>
      </c>
      <c r="K24" s="22" t="n">
        <v>0</v>
      </c>
      <c r="L24" s="22" t="n">
        <v>0</v>
      </c>
      <c r="M24" s="22" t="n">
        <v>0</v>
      </c>
      <c r="N24" s="23" t="n">
        <v>0</v>
      </c>
      <c r="O24" s="22" t="n">
        <f aca="false">SUM(I24:M24)</f>
        <v>0</v>
      </c>
      <c r="P24" s="27" t="n">
        <v>3.2846</v>
      </c>
      <c r="Q24" s="19" t="n">
        <v>0</v>
      </c>
      <c r="R24" s="18" t="s">
        <v>142</v>
      </c>
      <c r="S24" s="25" t="n">
        <f aca="false">I24*I$1*Q24</f>
        <v>0</v>
      </c>
      <c r="T24" s="25"/>
      <c r="U24" s="26" t="n">
        <v>149876</v>
      </c>
      <c r="V24" s="18"/>
      <c r="W24" s="27"/>
      <c r="X24" s="27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57" t="s">
        <v>9</v>
      </c>
      <c r="B25" s="58" t="s">
        <v>9</v>
      </c>
      <c r="C25" s="59" t="s">
        <v>9</v>
      </c>
      <c r="D25" s="60" t="s">
        <v>9</v>
      </c>
      <c r="E25" s="60"/>
      <c r="F25" s="57" t="s">
        <v>9</v>
      </c>
      <c r="G25" s="61" t="s">
        <v>9</v>
      </c>
      <c r="H25" s="58" t="s">
        <v>9</v>
      </c>
      <c r="I25" s="62"/>
      <c r="J25" s="63"/>
      <c r="K25" s="63"/>
      <c r="L25" s="63"/>
      <c r="M25" s="63"/>
      <c r="N25" s="64"/>
      <c r="O25" s="63"/>
      <c r="P25" s="65" t="s">
        <v>9</v>
      </c>
      <c r="Q25" s="58" t="n">
        <f aca="false">SUM(Q24)</f>
        <v>0</v>
      </c>
      <c r="R25" s="57" t="s">
        <v>9</v>
      </c>
      <c r="S25" s="66" t="n">
        <f aca="false">SUM(S24)</f>
        <v>0</v>
      </c>
      <c r="T25" s="66" t="n">
        <f aca="false">SUM(T24)</f>
        <v>0</v>
      </c>
      <c r="U25" s="67"/>
      <c r="V25" s="68"/>
      <c r="W25" s="27"/>
      <c r="X25" s="27"/>
    </row>
    <row r="26" customFormat="false" ht="12.75" hidden="false" customHeight="false" outlineLevel="0" collapsed="false">
      <c r="A26" s="29"/>
      <c r="B26" s="19"/>
      <c r="C26" s="19"/>
      <c r="D26" s="20"/>
      <c r="E26" s="20"/>
      <c r="F26" s="18"/>
      <c r="G26" s="18"/>
      <c r="H26" s="19"/>
      <c r="I26" s="21"/>
      <c r="J26" s="22"/>
      <c r="K26" s="22"/>
      <c r="L26" s="22"/>
      <c r="M26" s="22"/>
      <c r="N26" s="23"/>
      <c r="O26" s="22"/>
      <c r="P26" s="38"/>
      <c r="Q26" s="72"/>
      <c r="R26" s="70"/>
      <c r="S26" s="36"/>
      <c r="T26" s="36"/>
      <c r="U26" s="37"/>
      <c r="V26" s="36"/>
      <c r="W26" s="38"/>
      <c r="X26" s="38"/>
    </row>
    <row r="27" customFormat="false" ht="12.75" hidden="false" customHeight="false" outlineLevel="0" collapsed="false">
      <c r="A27" s="29"/>
      <c r="B27" s="19"/>
      <c r="C27" s="19"/>
      <c r="D27" s="20"/>
      <c r="E27" s="20"/>
      <c r="F27" s="18"/>
      <c r="G27" s="18"/>
      <c r="H27" s="19"/>
      <c r="I27" s="22"/>
      <c r="J27" s="22"/>
      <c r="K27" s="22"/>
      <c r="L27" s="22"/>
      <c r="M27" s="22"/>
      <c r="N27" s="23"/>
      <c r="O27" s="22"/>
      <c r="P27" s="38"/>
      <c r="Q27" s="72"/>
      <c r="R27" s="36"/>
      <c r="S27" s="36"/>
      <c r="T27" s="36"/>
      <c r="U27" s="37"/>
      <c r="V27" s="36"/>
      <c r="W27" s="38"/>
      <c r="X27" s="38"/>
    </row>
    <row r="28" customFormat="false" ht="12.75" hidden="false" customHeight="false" outlineLevel="0" collapsed="false">
      <c r="A28" s="29"/>
      <c r="B28" s="19"/>
      <c r="C28" s="19"/>
      <c r="D28" s="20"/>
      <c r="E28" s="20"/>
      <c r="F28" s="18"/>
      <c r="G28" s="18"/>
      <c r="H28" s="19"/>
      <c r="I28" s="21"/>
      <c r="J28" s="22"/>
      <c r="K28" s="22"/>
      <c r="L28" s="22"/>
      <c r="M28" s="22"/>
      <c r="N28" s="23"/>
      <c r="O28" s="22"/>
      <c r="P28" s="38"/>
      <c r="Q28" s="72"/>
      <c r="R28" s="36"/>
      <c r="S28" s="36"/>
      <c r="T28" s="36"/>
      <c r="U28" s="37"/>
      <c r="V28" s="36"/>
      <c r="W28" s="38"/>
      <c r="X28" s="38"/>
    </row>
    <row r="29" customFormat="false" ht="12.75" hidden="false" customHeight="false" outlineLevel="0" collapsed="false">
      <c r="A29" s="29" t="s">
        <v>143</v>
      </c>
      <c r="B29" s="19"/>
      <c r="C29" s="19"/>
      <c r="D29" s="20"/>
      <c r="E29" s="20"/>
      <c r="F29" s="18"/>
      <c r="G29" s="18"/>
      <c r="H29" s="19"/>
      <c r="I29" s="22"/>
      <c r="J29" s="22"/>
      <c r="K29" s="22"/>
      <c r="L29" s="22"/>
      <c r="M29" s="22"/>
      <c r="N29" s="23"/>
      <c r="O29" s="22"/>
      <c r="P29" s="38"/>
      <c r="Q29" s="72"/>
      <c r="R29" s="36"/>
      <c r="S29" s="36"/>
      <c r="T29" s="36"/>
      <c r="U29" s="37"/>
      <c r="V29" s="36"/>
      <c r="W29" s="38"/>
      <c r="X29" s="38"/>
    </row>
    <row r="30" customFormat="false" ht="12.75" hidden="false" customHeight="false" outlineLevel="0" collapsed="false">
      <c r="A30" s="29"/>
      <c r="B30" s="18" t="s">
        <v>144</v>
      </c>
      <c r="C30" s="19"/>
      <c r="D30" s="20"/>
      <c r="E30" s="20"/>
      <c r="F30" s="18"/>
      <c r="G30" s="18"/>
      <c r="H30" s="19"/>
      <c r="I30" s="21"/>
      <c r="J30" s="22"/>
      <c r="K30" s="22"/>
      <c r="L30" s="22"/>
      <c r="M30" s="22"/>
      <c r="N30" s="23"/>
      <c r="O30" s="22"/>
      <c r="P30" s="38"/>
      <c r="Q30" s="72"/>
      <c r="R30" s="36"/>
      <c r="S30" s="36"/>
      <c r="T30" s="36"/>
      <c r="U30" s="37"/>
      <c r="V30" s="36"/>
      <c r="W30" s="38"/>
      <c r="X30" s="38"/>
    </row>
    <row r="31" customFormat="false" ht="12.75" hidden="false" customHeight="false" outlineLevel="0" collapsed="false">
      <c r="A31" s="29"/>
      <c r="B31" s="19" t="s">
        <v>145</v>
      </c>
      <c r="C31" s="27" t="n">
        <v>149776</v>
      </c>
      <c r="D31" s="20"/>
      <c r="E31" s="20"/>
      <c r="F31" s="18"/>
      <c r="G31" s="18"/>
      <c r="H31" s="19"/>
      <c r="I31" s="22"/>
      <c r="J31" s="22"/>
      <c r="K31" s="22"/>
      <c r="L31" s="22"/>
      <c r="M31" s="22"/>
      <c r="N31" s="23"/>
      <c r="O31" s="22"/>
      <c r="P31" s="38"/>
      <c r="Q31" s="72"/>
      <c r="R31" s="36"/>
      <c r="S31" s="36"/>
      <c r="T31" s="36"/>
      <c r="U31" s="37"/>
      <c r="V31" s="36"/>
      <c r="W31" s="38"/>
      <c r="X31" s="38"/>
    </row>
    <row r="32" customFormat="false" ht="12.75" hidden="false" customHeight="false" outlineLevel="0" collapsed="false">
      <c r="A32" s="29"/>
      <c r="B32" s="19" t="s">
        <v>146</v>
      </c>
      <c r="C32" s="27" t="n">
        <v>149775</v>
      </c>
      <c r="D32" s="20"/>
      <c r="E32" s="20"/>
      <c r="F32" s="18"/>
      <c r="G32" s="18"/>
      <c r="H32" s="19"/>
      <c r="I32" s="22"/>
      <c r="J32" s="22"/>
      <c r="K32" s="22"/>
      <c r="L32" s="22"/>
      <c r="M32" s="22"/>
      <c r="N32" s="23"/>
      <c r="O32" s="22"/>
      <c r="P32" s="38"/>
      <c r="Q32" s="72"/>
      <c r="R32" s="36"/>
      <c r="S32" s="36"/>
      <c r="T32" s="36"/>
      <c r="U32" s="37"/>
      <c r="V32" s="36"/>
      <c r="W32" s="70"/>
      <c r="X32" s="38"/>
    </row>
    <row r="33" customFormat="false" ht="12.75" hidden="false" customHeight="false" outlineLevel="0" collapsed="false">
      <c r="A33" s="29"/>
      <c r="B33" s="19"/>
      <c r="C33" s="19"/>
      <c r="D33" s="20"/>
      <c r="E33" s="20"/>
      <c r="F33" s="18"/>
      <c r="G33" s="18"/>
      <c r="H33" s="19"/>
      <c r="I33" s="22"/>
      <c r="J33" s="22"/>
      <c r="K33" s="22"/>
      <c r="L33" s="22"/>
      <c r="M33" s="22"/>
      <c r="N33" s="23"/>
      <c r="O33" s="22"/>
      <c r="P33" s="38"/>
      <c r="Q33" s="72"/>
      <c r="R33" s="36"/>
      <c r="S33" s="36"/>
      <c r="T33" s="36"/>
      <c r="U33" s="37"/>
      <c r="V33" s="36"/>
      <c r="W33" s="38"/>
      <c r="X33" s="38"/>
    </row>
    <row r="34" customFormat="false" ht="12.75" hidden="false" customHeight="false" outlineLevel="0" collapsed="false">
      <c r="A34" s="29"/>
      <c r="B34" s="19"/>
      <c r="C34" s="19"/>
      <c r="D34" s="20"/>
      <c r="E34" s="20"/>
      <c r="F34" s="18"/>
      <c r="G34" s="18"/>
      <c r="H34" s="19"/>
      <c r="I34" s="22"/>
      <c r="J34" s="22"/>
      <c r="K34" s="22"/>
      <c r="L34" s="22"/>
      <c r="M34" s="22"/>
      <c r="N34" s="23"/>
      <c r="O34" s="22"/>
      <c r="P34" s="38"/>
      <c r="Q34" s="72"/>
      <c r="R34" s="36"/>
      <c r="S34" s="36"/>
      <c r="T34" s="36"/>
      <c r="U34" s="37"/>
      <c r="V34" s="36"/>
      <c r="W34" s="38"/>
      <c r="X34" s="38"/>
    </row>
    <row r="35" customFormat="false" ht="12.75" hidden="false" customHeight="false" outlineLevel="0" collapsed="false">
      <c r="A35" s="29"/>
      <c r="B35" s="19"/>
      <c r="C35" s="19"/>
      <c r="D35" s="20"/>
      <c r="E35" s="20"/>
      <c r="F35" s="18"/>
      <c r="G35" s="18"/>
      <c r="H35" s="19"/>
      <c r="I35" s="21"/>
      <c r="J35" s="22"/>
      <c r="K35" s="22"/>
      <c r="L35" s="22"/>
      <c r="M35" s="22"/>
      <c r="N35" s="23"/>
      <c r="O35" s="22"/>
      <c r="P35" s="38"/>
      <c r="Q35" s="72"/>
      <c r="R35" s="70"/>
      <c r="S35" s="36"/>
      <c r="T35" s="36"/>
      <c r="U35" s="37"/>
      <c r="V35" s="36"/>
      <c r="W35" s="38"/>
      <c r="X35" s="38"/>
    </row>
    <row r="36" customFormat="false" ht="12.75" hidden="false" customHeight="false" outlineLevel="0" collapsed="false">
      <c r="A36" s="29"/>
      <c r="B36" s="19"/>
      <c r="C36" s="19"/>
      <c r="D36" s="20"/>
      <c r="E36" s="20"/>
      <c r="F36" s="18"/>
      <c r="G36" s="18"/>
      <c r="H36" s="19"/>
      <c r="I36" s="21"/>
      <c r="J36" s="22"/>
      <c r="K36" s="22"/>
      <c r="L36" s="22"/>
      <c r="M36" s="22"/>
      <c r="N36" s="23"/>
      <c r="O36" s="22"/>
      <c r="P36" s="38"/>
      <c r="Q36" s="72"/>
      <c r="R36" s="70"/>
      <c r="S36" s="36"/>
      <c r="T36" s="36"/>
      <c r="U36" s="37"/>
      <c r="V36" s="36"/>
      <c r="W36" s="38"/>
      <c r="X36" s="38"/>
    </row>
    <row r="37" customFormat="false" ht="12.75" hidden="false" customHeight="false" outlineLevel="0" collapsed="false">
      <c r="P37" s="73"/>
      <c r="Q37" s="74"/>
      <c r="R37" s="74"/>
      <c r="S37" s="74"/>
      <c r="T37" s="74"/>
      <c r="U37" s="73"/>
      <c r="V37" s="74"/>
      <c r="W37" s="73"/>
    </row>
    <row r="38" customFormat="false" ht="12.75" hidden="false" customHeight="false" outlineLevel="0" collapsed="false">
      <c r="P38" s="73"/>
      <c r="Q38" s="74"/>
      <c r="R38" s="74"/>
      <c r="S38" s="74"/>
      <c r="T38" s="74"/>
      <c r="U38" s="73"/>
      <c r="V38" s="74"/>
      <c r="W3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12" topLeftCell="G151" activePane="bottomRight" state="frozen"/>
      <selection pane="topLeft" activeCell="A1" activeCellId="0" sqref="A1"/>
      <selection pane="topRight" activeCell="G1" activeCellId="0" sqref="G1"/>
      <selection pane="bottomLeft" activeCell="A151" activeCellId="0" sqref="A151"/>
      <selection pane="bottomRight" activeCell="R164" activeCellId="0" sqref="R1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8.85"/>
    <col collapsed="false" customWidth="false" hidden="false" outlineLevel="0" max="2" min="2" style="28" width="9.14"/>
    <col collapsed="false" customWidth="true" hidden="false" outlineLevel="0" max="3" min="3" style="28" width="10.56"/>
    <col collapsed="false" customWidth="true" hidden="false" outlineLevel="0" max="4" min="4" style="28" width="8.7"/>
    <col collapsed="false" customWidth="true" hidden="false" outlineLevel="0" max="5" min="5" style="28" width="10.99"/>
    <col collapsed="false" customWidth="true" hidden="false" outlineLevel="0" max="6" min="6" style="29" width="12.42"/>
    <col collapsed="false" customWidth="true" hidden="false" outlineLevel="0" max="7" min="7" style="29" width="7.99"/>
    <col collapsed="false" customWidth="true" hidden="false" outlineLevel="0" max="8" min="8" style="28" width="6.41"/>
    <col collapsed="false" customWidth="true" hidden="false" outlineLevel="0" max="9" min="9" style="28" width="8.85"/>
    <col collapsed="false" customWidth="true" hidden="true" outlineLevel="0" max="13" min="10" style="28" width="9.06"/>
    <col collapsed="false" customWidth="true" hidden="true" outlineLevel="0" max="14" min="14" style="30" width="9.06"/>
    <col collapsed="false" customWidth="true" hidden="true" outlineLevel="0" max="15" min="15" style="28" width="9.06"/>
    <col collapsed="false" customWidth="true" hidden="false" outlineLevel="0" max="16" min="16" style="28" width="12.28"/>
    <col collapsed="false" customWidth="false" hidden="false" outlineLevel="0" max="17" min="17" style="28" width="9.14"/>
    <col collapsed="false" customWidth="true" hidden="false" outlineLevel="0" max="18" min="18" style="28" width="13.7"/>
    <col collapsed="false" customWidth="true" hidden="false" outlineLevel="0" max="19" min="19" style="4" width="12.85"/>
    <col collapsed="false" customWidth="true" hidden="false" outlineLevel="0" max="20" min="20" style="31" width="13.56"/>
    <col collapsed="false" customWidth="false" hidden="false" outlineLevel="0" max="22" min="21" style="31" width="9.14"/>
    <col collapsed="false" customWidth="true" hidden="false" outlineLevel="0" max="23" min="23" style="28" width="12.42"/>
    <col collapsed="false" customWidth="false" hidden="false" outlineLevel="0" max="257" min="24" style="28" width="9.14"/>
  </cols>
  <sheetData>
    <row r="1" customFormat="false" ht="12.75" hidden="false" customHeight="false" outlineLevel="0" collapsed="false">
      <c r="A1" s="32" t="s">
        <v>147</v>
      </c>
      <c r="B1" s="19"/>
      <c r="C1" s="19"/>
      <c r="D1" s="20"/>
      <c r="E1" s="20"/>
      <c r="F1" s="18" t="s">
        <v>148</v>
      </c>
      <c r="G1" s="18" t="n">
        <v>1</v>
      </c>
      <c r="H1" s="19" t="s">
        <v>99</v>
      </c>
      <c r="I1" s="33" t="n">
        <v>30</v>
      </c>
      <c r="J1" s="34" t="s">
        <v>100</v>
      </c>
      <c r="K1" s="22"/>
      <c r="L1" s="22"/>
      <c r="M1" s="22"/>
      <c r="N1" s="23"/>
      <c r="O1" s="22"/>
      <c r="P1" s="24"/>
      <c r="Q1" s="35"/>
      <c r="R1" s="36"/>
      <c r="S1" s="36"/>
      <c r="T1" s="37"/>
      <c r="U1" s="38"/>
      <c r="V1" s="38"/>
    </row>
    <row r="2" customFormat="false" ht="12.75" hidden="false" customHeight="false" outlineLevel="0" collapsed="false">
      <c r="A2" s="18" t="s">
        <v>101</v>
      </c>
      <c r="B2" s="18"/>
      <c r="C2" s="18"/>
      <c r="D2" s="20"/>
      <c r="E2" s="20"/>
      <c r="F2" s="18"/>
      <c r="G2" s="18"/>
      <c r="H2" s="19"/>
      <c r="I2" s="33"/>
      <c r="J2" s="34" t="s">
        <v>102</v>
      </c>
      <c r="K2" s="22"/>
      <c r="L2" s="22"/>
      <c r="M2" s="22"/>
      <c r="N2" s="23"/>
      <c r="O2" s="22"/>
      <c r="P2" s="24"/>
      <c r="Q2" s="35"/>
      <c r="R2" s="36"/>
      <c r="S2" s="36"/>
      <c r="T2" s="37"/>
      <c r="U2" s="38"/>
      <c r="V2" s="38"/>
    </row>
    <row r="3" customFormat="false" ht="12.75" hidden="false" customHeight="false" outlineLevel="0" collapsed="false">
      <c r="A3" s="18" t="s">
        <v>103</v>
      </c>
      <c r="B3" s="18"/>
      <c r="C3" s="18"/>
      <c r="D3" s="20"/>
      <c r="E3" s="20"/>
      <c r="F3" s="41" t="s">
        <v>9</v>
      </c>
      <c r="G3" s="18" t="s">
        <v>9</v>
      </c>
      <c r="H3" s="35" t="s">
        <v>9</v>
      </c>
      <c r="I3" s="21"/>
      <c r="J3" s="42" t="s">
        <v>9</v>
      </c>
      <c r="K3" s="22"/>
      <c r="L3" s="42" t="s">
        <v>9</v>
      </c>
      <c r="M3" s="22"/>
      <c r="N3" s="23"/>
      <c r="O3" s="42" t="s">
        <v>9</v>
      </c>
      <c r="P3" s="24"/>
      <c r="Q3" s="35"/>
      <c r="R3" s="36"/>
      <c r="S3" s="36"/>
      <c r="T3" s="37"/>
      <c r="U3" s="38"/>
      <c r="V3" s="38"/>
    </row>
    <row r="4" customFormat="false" ht="12.75" hidden="false" customHeight="false" outlineLevel="0" collapsed="false">
      <c r="A4" s="18" t="s">
        <v>104</v>
      </c>
      <c r="B4" s="19"/>
      <c r="C4" s="19"/>
      <c r="D4" s="20"/>
      <c r="E4" s="20"/>
      <c r="F4" s="45"/>
      <c r="G4" s="18"/>
      <c r="H4" s="45"/>
      <c r="I4" s="21"/>
      <c r="J4" s="45"/>
      <c r="K4" s="22"/>
      <c r="L4" s="45"/>
      <c r="M4" s="35"/>
      <c r="N4" s="23"/>
      <c r="O4" s="35"/>
      <c r="P4" s="24"/>
      <c r="Q4" s="35"/>
      <c r="R4" s="36"/>
      <c r="S4" s="36"/>
      <c r="T4" s="47"/>
      <c r="U4" s="38"/>
      <c r="V4" s="38"/>
    </row>
    <row r="5" customFormat="false" ht="12.75" hidden="false" customHeight="false" outlineLevel="0" collapsed="false">
      <c r="A5" s="18" t="s">
        <v>105</v>
      </c>
      <c r="B5" s="19"/>
      <c r="C5" s="48"/>
      <c r="D5" s="20"/>
      <c r="E5" s="20"/>
      <c r="F5" s="45"/>
      <c r="G5" s="18"/>
      <c r="H5" s="45"/>
      <c r="I5" s="21"/>
      <c r="J5" s="45"/>
      <c r="K5" s="22"/>
      <c r="L5" s="45"/>
      <c r="M5" s="35"/>
      <c r="N5" s="23"/>
      <c r="O5" s="35"/>
      <c r="P5" s="24"/>
      <c r="Q5" s="35"/>
      <c r="R5" s="36"/>
      <c r="S5" s="36"/>
      <c r="T5" s="47"/>
      <c r="U5" s="38"/>
      <c r="V5" s="38"/>
    </row>
    <row r="6" customFormat="false" ht="12.75" hidden="false" customHeight="false" outlineLevel="0" collapsed="false">
      <c r="A6" s="18"/>
      <c r="B6" s="19"/>
      <c r="C6" s="48"/>
      <c r="D6" s="20"/>
      <c r="E6" s="20"/>
      <c r="F6" s="45"/>
      <c r="G6" s="18"/>
      <c r="H6" s="45"/>
      <c r="I6" s="21"/>
      <c r="J6" s="45"/>
      <c r="K6" s="22"/>
      <c r="L6" s="45"/>
      <c r="M6" s="35"/>
      <c r="N6" s="23"/>
      <c r="O6" s="35"/>
      <c r="P6" s="24"/>
      <c r="Q6" s="35"/>
      <c r="R6" s="36"/>
      <c r="S6" s="36"/>
      <c r="T6" s="47"/>
      <c r="U6" s="38"/>
      <c r="V6" s="38"/>
    </row>
    <row r="7" customFormat="false" ht="12.75" hidden="false" customHeight="false" outlineLevel="0" collapsed="false">
      <c r="A7" s="18"/>
      <c r="B7" s="19"/>
      <c r="C7" s="48"/>
      <c r="D7" s="20"/>
      <c r="E7" s="20"/>
      <c r="F7" s="45"/>
      <c r="G7" s="18"/>
      <c r="H7" s="45"/>
      <c r="I7" s="21"/>
      <c r="J7" s="45"/>
      <c r="K7" s="22"/>
      <c r="L7" s="45"/>
      <c r="M7" s="35"/>
      <c r="N7" s="23"/>
      <c r="O7" s="35"/>
      <c r="P7" s="24"/>
      <c r="Q7" s="35"/>
      <c r="R7" s="36"/>
      <c r="S7" s="36"/>
      <c r="T7" s="47"/>
      <c r="U7" s="38"/>
      <c r="V7" s="38"/>
    </row>
    <row r="8" customFormat="false" ht="12.75" hidden="false" customHeight="false" outlineLevel="0" collapsed="false">
      <c r="A8" s="18"/>
      <c r="B8" s="19"/>
      <c r="C8" s="48"/>
      <c r="D8" s="20"/>
      <c r="E8" s="20"/>
      <c r="F8" s="45"/>
      <c r="G8" s="18"/>
      <c r="H8" s="45"/>
      <c r="I8" s="21"/>
      <c r="J8" s="45"/>
      <c r="K8" s="22"/>
      <c r="L8" s="45"/>
      <c r="M8" s="35"/>
      <c r="N8" s="23"/>
      <c r="O8" s="35"/>
      <c r="P8" s="24"/>
      <c r="Q8" s="35"/>
      <c r="R8" s="36"/>
      <c r="S8" s="36"/>
      <c r="T8" s="47"/>
      <c r="U8" s="38"/>
      <c r="V8" s="38"/>
    </row>
    <row r="9" customFormat="false" ht="12.75" hidden="false" customHeight="false" outlineLevel="0" collapsed="false">
      <c r="A9" s="18"/>
      <c r="B9" s="19"/>
      <c r="C9" s="48"/>
      <c r="D9" s="20"/>
      <c r="E9" s="20"/>
      <c r="F9" s="45"/>
      <c r="G9" s="18"/>
      <c r="H9" s="45"/>
      <c r="I9" s="21"/>
      <c r="J9" s="45"/>
      <c r="K9" s="22"/>
      <c r="L9" s="45"/>
      <c r="M9" s="35"/>
      <c r="N9" s="23"/>
      <c r="O9" s="35"/>
      <c r="P9" s="24"/>
      <c r="Q9" s="35"/>
      <c r="R9" s="36"/>
      <c r="S9" s="36"/>
      <c r="T9" s="47"/>
      <c r="U9" s="38"/>
      <c r="V9" s="38"/>
    </row>
    <row r="10" customFormat="false" ht="12.75" hidden="false" customHeight="false" outlineLevel="0" collapsed="false">
      <c r="A10" s="18"/>
      <c r="B10" s="19"/>
      <c r="C10" s="19"/>
      <c r="D10" s="20"/>
      <c r="E10" s="20"/>
      <c r="F10" s="45"/>
      <c r="G10" s="18"/>
      <c r="H10" s="45"/>
      <c r="I10" s="21"/>
      <c r="J10" s="45"/>
      <c r="K10" s="22"/>
      <c r="L10" s="45"/>
      <c r="M10" s="35"/>
      <c r="N10" s="23"/>
      <c r="O10" s="35"/>
      <c r="P10" s="24"/>
      <c r="Q10" s="35"/>
      <c r="R10" s="36"/>
      <c r="S10" s="36"/>
      <c r="T10" s="47"/>
      <c r="U10" s="38"/>
      <c r="V10" s="38"/>
    </row>
    <row r="11" customFormat="false" ht="12.75" hidden="false" customHeight="false" outlineLevel="0" collapsed="false">
      <c r="A11" s="75"/>
      <c r="B11" s="72"/>
      <c r="C11" s="70"/>
      <c r="D11" s="76"/>
      <c r="E11" s="76"/>
      <c r="F11" s="75"/>
      <c r="G11" s="77"/>
      <c r="H11" s="72"/>
      <c r="I11" s="78"/>
      <c r="J11" s="69"/>
      <c r="K11" s="69"/>
      <c r="L11" s="69"/>
      <c r="M11" s="69"/>
      <c r="N11" s="79"/>
      <c r="O11" s="69"/>
      <c r="P11" s="80"/>
      <c r="Q11" s="72"/>
      <c r="R11" s="75"/>
      <c r="S11" s="36"/>
      <c r="T11" s="47"/>
      <c r="U11" s="27"/>
      <c r="V11" s="27"/>
    </row>
    <row r="12" customFormat="false" ht="12.75" hidden="false" customHeight="false" outlineLevel="0" collapsed="false">
      <c r="A12" s="81" t="s">
        <v>109</v>
      </c>
      <c r="B12" s="82" t="s">
        <v>110</v>
      </c>
      <c r="C12" s="82" t="s">
        <v>111</v>
      </c>
      <c r="D12" s="83" t="s">
        <v>112</v>
      </c>
      <c r="E12" s="83"/>
      <c r="F12" s="81" t="s">
        <v>113</v>
      </c>
      <c r="G12" s="81" t="s">
        <v>114</v>
      </c>
      <c r="H12" s="82" t="s">
        <v>115</v>
      </c>
      <c r="I12" s="84" t="s">
        <v>116</v>
      </c>
      <c r="J12" s="82" t="s">
        <v>117</v>
      </c>
      <c r="K12" s="82" t="s">
        <v>118</v>
      </c>
      <c r="L12" s="82" t="s">
        <v>119</v>
      </c>
      <c r="M12" s="82" t="s">
        <v>120</v>
      </c>
      <c r="N12" s="85" t="s">
        <v>121</v>
      </c>
      <c r="O12" s="82" t="s">
        <v>122</v>
      </c>
      <c r="P12" s="86" t="s">
        <v>149</v>
      </c>
      <c r="Q12" s="82" t="s">
        <v>124</v>
      </c>
      <c r="R12" s="81" t="s">
        <v>125</v>
      </c>
      <c r="S12" s="87" t="s">
        <v>126</v>
      </c>
      <c r="T12" s="88" t="s">
        <v>150</v>
      </c>
      <c r="U12" s="89"/>
      <c r="V12" s="89" t="s">
        <v>151</v>
      </c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customFormat="false" ht="12.75" hidden="false" customHeight="false" outlineLevel="0" collapsed="false">
      <c r="A13" s="18" t="s">
        <v>152</v>
      </c>
      <c r="B13" s="19" t="s">
        <v>129</v>
      </c>
      <c r="C13" s="19" t="s">
        <v>129</v>
      </c>
      <c r="D13" s="20" t="n">
        <v>34274</v>
      </c>
      <c r="E13" s="20" t="n">
        <v>37042</v>
      </c>
      <c r="F13" s="18" t="s">
        <v>153</v>
      </c>
      <c r="G13" s="18" t="s">
        <v>154</v>
      </c>
      <c r="H13" s="19" t="s">
        <v>155</v>
      </c>
      <c r="I13" s="21" t="n">
        <f aca="false">1.0603/I$1</f>
        <v>0.0353433333333333</v>
      </c>
      <c r="J13" s="22" t="n">
        <v>0</v>
      </c>
      <c r="K13" s="22" t="n">
        <v>0</v>
      </c>
      <c r="L13" s="22" t="n">
        <v>0</v>
      </c>
      <c r="M13" s="22" t="n">
        <v>0</v>
      </c>
      <c r="N13" s="23" t="n">
        <v>0</v>
      </c>
      <c r="O13" s="22" t="n">
        <f aca="false">SUM(I13:M13)</f>
        <v>0.0353433333333333</v>
      </c>
      <c r="P13" s="24" t="n">
        <v>37393</v>
      </c>
      <c r="Q13" s="19" t="n">
        <v>20000</v>
      </c>
      <c r="R13" s="18" t="s">
        <v>156</v>
      </c>
      <c r="S13" s="25" t="n">
        <f aca="false">I13*I$1*Q13</f>
        <v>21206</v>
      </c>
      <c r="T13" s="26" t="n">
        <v>92346</v>
      </c>
      <c r="U13" s="27"/>
      <c r="V13" s="27" t="s">
        <v>157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18" t="s">
        <v>152</v>
      </c>
      <c r="B14" s="19" t="s">
        <v>129</v>
      </c>
      <c r="C14" s="19" t="s">
        <v>130</v>
      </c>
      <c r="D14" s="20" t="n">
        <v>36557</v>
      </c>
      <c r="E14" s="20" t="n">
        <v>37195</v>
      </c>
      <c r="F14" s="18" t="s">
        <v>131</v>
      </c>
      <c r="G14" s="18" t="s">
        <v>132</v>
      </c>
      <c r="H14" s="19"/>
      <c r="I14" s="21" t="n">
        <f aca="false">1.0603/I$1</f>
        <v>0.0353433333333333</v>
      </c>
      <c r="J14" s="22" t="n">
        <v>0</v>
      </c>
      <c r="K14" s="22" t="n">
        <v>0</v>
      </c>
      <c r="L14" s="22" t="n">
        <v>0</v>
      </c>
      <c r="M14" s="22" t="n">
        <v>0</v>
      </c>
      <c r="N14" s="23" t="n">
        <v>0</v>
      </c>
      <c r="O14" s="22" t="n">
        <f aca="false">SUM(I14:M14)</f>
        <v>0.0353433333333333</v>
      </c>
      <c r="P14" s="24" t="n">
        <v>42789</v>
      </c>
      <c r="Q14" s="19" t="n">
        <v>30000</v>
      </c>
      <c r="R14" s="18" t="s">
        <v>133</v>
      </c>
      <c r="S14" s="25" t="n">
        <f aca="false">I14*I$1*Q14</f>
        <v>31809</v>
      </c>
      <c r="T14" s="26" t="n">
        <v>156388</v>
      </c>
      <c r="U14" s="27"/>
      <c r="V14" s="27" t="s">
        <v>157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18" t="s">
        <v>152</v>
      </c>
      <c r="B15" s="19" t="s">
        <v>129</v>
      </c>
      <c r="C15" s="19" t="s">
        <v>130</v>
      </c>
      <c r="D15" s="20" t="n">
        <v>36557</v>
      </c>
      <c r="E15" s="20" t="n">
        <v>37103</v>
      </c>
      <c r="F15" s="18" t="s">
        <v>158</v>
      </c>
      <c r="G15" s="18" t="s">
        <v>132</v>
      </c>
      <c r="H15" s="19"/>
      <c r="I15" s="21" t="n">
        <f aca="false">1.0603/I$1</f>
        <v>0.0353433333333333</v>
      </c>
      <c r="J15" s="22" t="n">
        <v>0</v>
      </c>
      <c r="K15" s="22" t="n">
        <v>0</v>
      </c>
      <c r="L15" s="22" t="n">
        <v>0</v>
      </c>
      <c r="M15" s="22" t="n">
        <v>0</v>
      </c>
      <c r="N15" s="23" t="n">
        <v>0</v>
      </c>
      <c r="O15" s="22" t="n">
        <f aca="false">SUM(I15:M15)</f>
        <v>0.0353433333333333</v>
      </c>
      <c r="P15" s="24" t="n">
        <v>50250</v>
      </c>
      <c r="Q15" s="19" t="n">
        <v>20000</v>
      </c>
      <c r="R15" s="18" t="s">
        <v>159</v>
      </c>
      <c r="S15" s="25" t="n">
        <f aca="false">I15*I$1*Q15</f>
        <v>21206</v>
      </c>
      <c r="T15" s="26" t="n">
        <v>156399</v>
      </c>
      <c r="U15" s="27"/>
      <c r="V15" s="27" t="s">
        <v>157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18" t="s">
        <v>152</v>
      </c>
      <c r="B16" s="19" t="s">
        <v>129</v>
      </c>
      <c r="C16" s="19" t="s">
        <v>130</v>
      </c>
      <c r="D16" s="20" t="n">
        <v>36557</v>
      </c>
      <c r="E16" s="20" t="n">
        <v>37955</v>
      </c>
      <c r="F16" s="18" t="s">
        <v>160</v>
      </c>
      <c r="G16" s="18" t="s">
        <v>161</v>
      </c>
      <c r="H16" s="19"/>
      <c r="I16" s="21" t="n">
        <f aca="false">1.0603/I$1</f>
        <v>0.0353433333333333</v>
      </c>
      <c r="J16" s="22" t="n">
        <v>0</v>
      </c>
      <c r="K16" s="22" t="n">
        <v>0</v>
      </c>
      <c r="L16" s="22" t="n">
        <v>0</v>
      </c>
      <c r="M16" s="22" t="n">
        <v>0</v>
      </c>
      <c r="N16" s="23" t="n">
        <v>0</v>
      </c>
      <c r="O16" s="22" t="n">
        <f aca="false">SUM(I16:M16)</f>
        <v>0.0353433333333333</v>
      </c>
      <c r="P16" s="24" t="n">
        <v>62408</v>
      </c>
      <c r="Q16" s="19" t="n">
        <v>40000</v>
      </c>
      <c r="R16" s="18" t="s">
        <v>162</v>
      </c>
      <c r="S16" s="25" t="n">
        <f aca="false">I16*I$1*Q16</f>
        <v>42412</v>
      </c>
      <c r="T16" s="26" t="n">
        <v>156526</v>
      </c>
      <c r="U16" s="27"/>
      <c r="V16" s="27" t="s">
        <v>157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18" t="s">
        <v>152</v>
      </c>
      <c r="B17" s="19" t="s">
        <v>129</v>
      </c>
      <c r="C17" s="19" t="s">
        <v>130</v>
      </c>
      <c r="D17" s="20" t="n">
        <v>36557</v>
      </c>
      <c r="E17" s="20" t="n">
        <v>38291</v>
      </c>
      <c r="F17" s="18" t="s">
        <v>163</v>
      </c>
      <c r="G17" s="18" t="s">
        <v>132</v>
      </c>
      <c r="H17" s="19"/>
      <c r="I17" s="21" t="n">
        <f aca="false">1.0603/I$1</f>
        <v>0.0353433333333333</v>
      </c>
      <c r="J17" s="22" t="n">
        <v>0</v>
      </c>
      <c r="K17" s="22" t="n">
        <v>0</v>
      </c>
      <c r="L17" s="22" t="n">
        <v>0</v>
      </c>
      <c r="M17" s="22" t="n">
        <v>0</v>
      </c>
      <c r="N17" s="23" t="n">
        <v>0</v>
      </c>
      <c r="O17" s="22" t="n">
        <f aca="false">SUM(I17:M17)</f>
        <v>0.0353433333333333</v>
      </c>
      <c r="P17" s="24" t="n">
        <v>63922</v>
      </c>
      <c r="Q17" s="19" t="n">
        <v>25654</v>
      </c>
      <c r="R17" s="18" t="s">
        <v>164</v>
      </c>
      <c r="S17" s="25" t="n">
        <f aca="false">I17*I$1*Q17</f>
        <v>27200.9362</v>
      </c>
      <c r="T17" s="26" t="n">
        <v>156540</v>
      </c>
      <c r="U17" s="27"/>
      <c r="V17" s="27" t="s">
        <v>157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18" t="s">
        <v>152</v>
      </c>
      <c r="B18" s="19" t="s">
        <v>129</v>
      </c>
      <c r="C18" s="19" t="s">
        <v>129</v>
      </c>
      <c r="D18" s="20" t="n">
        <v>36434</v>
      </c>
      <c r="E18" s="20" t="n">
        <v>37164</v>
      </c>
      <c r="F18" s="18" t="s">
        <v>165</v>
      </c>
      <c r="G18" s="18" t="s">
        <v>166</v>
      </c>
      <c r="H18" s="19" t="s">
        <v>155</v>
      </c>
      <c r="I18" s="21" t="n">
        <v>0.015</v>
      </c>
      <c r="J18" s="22" t="n">
        <v>0</v>
      </c>
      <c r="K18" s="22" t="n">
        <v>0</v>
      </c>
      <c r="L18" s="22" t="n">
        <v>0</v>
      </c>
      <c r="M18" s="22" t="n">
        <v>0</v>
      </c>
      <c r="N18" s="23" t="n">
        <v>0</v>
      </c>
      <c r="O18" s="22" t="n">
        <f aca="false">SUM(I18:M18)</f>
        <v>0.015</v>
      </c>
      <c r="P18" s="24" t="n">
        <v>64937</v>
      </c>
      <c r="Q18" s="19" t="n">
        <v>10000</v>
      </c>
      <c r="R18" s="18" t="s">
        <v>167</v>
      </c>
      <c r="S18" s="25" t="n">
        <f aca="false">I18*I$1*Q18</f>
        <v>4500</v>
      </c>
      <c r="T18" s="26" t="n">
        <v>118000</v>
      </c>
      <c r="U18" s="27"/>
      <c r="V18" s="27" t="s">
        <v>157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18" t="s">
        <v>152</v>
      </c>
      <c r="B19" s="19" t="s">
        <v>129</v>
      </c>
      <c r="C19" s="19" t="s">
        <v>129</v>
      </c>
      <c r="D19" s="20" t="n">
        <v>36982</v>
      </c>
      <c r="E19" s="20" t="n">
        <v>37072</v>
      </c>
      <c r="F19" s="18" t="s">
        <v>168</v>
      </c>
      <c r="G19" s="18" t="s">
        <v>169</v>
      </c>
      <c r="H19" s="19" t="s">
        <v>155</v>
      </c>
      <c r="I19" s="21" t="n">
        <v>0.0525</v>
      </c>
      <c r="J19" s="22" t="n">
        <v>0</v>
      </c>
      <c r="K19" s="22" t="n">
        <v>0</v>
      </c>
      <c r="L19" s="22" t="n">
        <v>0</v>
      </c>
      <c r="M19" s="22" t="n">
        <v>0</v>
      </c>
      <c r="N19" s="23" t="n">
        <v>0</v>
      </c>
      <c r="O19" s="22" t="n">
        <f aca="false">SUM(I19:M19)</f>
        <v>0.0525</v>
      </c>
      <c r="P19" s="24"/>
      <c r="Q19" s="19" t="n">
        <v>4600</v>
      </c>
      <c r="R19" s="18" t="s">
        <v>170</v>
      </c>
      <c r="S19" s="25" t="n">
        <f aca="false">I19*I$1*Q19</f>
        <v>7245</v>
      </c>
      <c r="T19" s="26"/>
      <c r="U19" s="27"/>
      <c r="V19" s="27" t="s">
        <v>157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18"/>
      <c r="B20" s="19"/>
      <c r="C20" s="19"/>
      <c r="D20" s="20"/>
      <c r="E20" s="20"/>
      <c r="F20" s="18"/>
      <c r="G20" s="18"/>
      <c r="H20" s="19"/>
      <c r="I20" s="21"/>
      <c r="J20" s="22"/>
      <c r="K20" s="22"/>
      <c r="L20" s="22"/>
      <c r="M20" s="22"/>
      <c r="N20" s="23"/>
      <c r="O20" s="22"/>
      <c r="P20" s="24"/>
      <c r="Q20" s="19"/>
      <c r="R20" s="18"/>
      <c r="S20" s="25"/>
      <c r="T20" s="26"/>
      <c r="U20" s="27"/>
      <c r="V20" s="27" t="s">
        <v>157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18" t="s">
        <v>152</v>
      </c>
      <c r="B21" s="19" t="s">
        <v>129</v>
      </c>
      <c r="C21" s="19" t="s">
        <v>130</v>
      </c>
      <c r="D21" s="20" t="n">
        <v>36557</v>
      </c>
      <c r="E21" s="20" t="n">
        <v>37134</v>
      </c>
      <c r="F21" s="18" t="s">
        <v>171</v>
      </c>
      <c r="G21" s="18" t="s">
        <v>172</v>
      </c>
      <c r="H21" s="19"/>
      <c r="I21" s="21" t="n">
        <v>0.065</v>
      </c>
      <c r="J21" s="22" t="n">
        <v>0</v>
      </c>
      <c r="K21" s="22" t="n">
        <v>0</v>
      </c>
      <c r="L21" s="22" t="n">
        <v>0</v>
      </c>
      <c r="M21" s="22" t="n">
        <v>0</v>
      </c>
      <c r="N21" s="23" t="n">
        <v>0</v>
      </c>
      <c r="O21" s="22" t="n">
        <f aca="false">SUM(I21:M21)</f>
        <v>0.065</v>
      </c>
      <c r="P21" s="24" t="n">
        <v>64502</v>
      </c>
      <c r="Q21" s="19" t="n">
        <v>29000</v>
      </c>
      <c r="R21" s="18" t="s">
        <v>173</v>
      </c>
      <c r="S21" s="25" t="n">
        <f aca="false">I21*I$1*Q21</f>
        <v>56550</v>
      </c>
      <c r="T21" s="26" t="n">
        <v>158356</v>
      </c>
      <c r="U21" s="91" t="s">
        <v>174</v>
      </c>
      <c r="V21" s="27" t="s">
        <v>157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18"/>
      <c r="B22" s="19"/>
      <c r="C22" s="19"/>
      <c r="D22" s="20"/>
      <c r="E22" s="20"/>
      <c r="F22" s="18"/>
      <c r="G22" s="18"/>
      <c r="H22" s="19"/>
      <c r="I22" s="21"/>
      <c r="J22" s="22"/>
      <c r="K22" s="22"/>
      <c r="L22" s="22"/>
      <c r="M22" s="22"/>
      <c r="N22" s="23"/>
      <c r="O22" s="22"/>
      <c r="P22" s="24"/>
      <c r="Q22" s="19"/>
      <c r="R22" s="18"/>
      <c r="S22" s="25"/>
      <c r="T22" s="26"/>
      <c r="U22" s="27"/>
      <c r="V22" s="27" t="s">
        <v>157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18" t="s">
        <v>152</v>
      </c>
      <c r="B23" s="19" t="s">
        <v>129</v>
      </c>
      <c r="C23" s="19" t="s">
        <v>129</v>
      </c>
      <c r="D23" s="20" t="n">
        <v>34274</v>
      </c>
      <c r="E23" s="20" t="n">
        <v>40117</v>
      </c>
      <c r="F23" s="18" t="s">
        <v>154</v>
      </c>
      <c r="G23" s="18" t="s">
        <v>175</v>
      </c>
      <c r="H23" s="19" t="s">
        <v>155</v>
      </c>
      <c r="I23" s="21" t="n">
        <f aca="false">3.145/I$1</f>
        <v>0.104833333333333</v>
      </c>
      <c r="J23" s="22" t="n">
        <v>0</v>
      </c>
      <c r="K23" s="22" t="n">
        <v>0</v>
      </c>
      <c r="L23" s="22" t="n">
        <v>0</v>
      </c>
      <c r="M23" s="22" t="n">
        <v>0</v>
      </c>
      <c r="N23" s="23" t="n">
        <v>0</v>
      </c>
      <c r="O23" s="22" t="n">
        <f aca="false">SUM(I23:M23)</f>
        <v>0.104833333333333</v>
      </c>
      <c r="P23" s="24" t="n">
        <v>37861</v>
      </c>
      <c r="Q23" s="19" t="n">
        <v>15000</v>
      </c>
      <c r="R23" s="18" t="s">
        <v>176</v>
      </c>
      <c r="S23" s="25" t="n">
        <f aca="false">I23*I$1*Q23</f>
        <v>47175</v>
      </c>
      <c r="T23" s="26" t="n">
        <v>93034</v>
      </c>
      <c r="U23" s="27"/>
      <c r="V23" s="27" t="s">
        <v>157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18" t="s">
        <v>152</v>
      </c>
      <c r="B24" s="19" t="s">
        <v>129</v>
      </c>
      <c r="C24" s="19" t="s">
        <v>130</v>
      </c>
      <c r="D24" s="20" t="n">
        <v>36557</v>
      </c>
      <c r="E24" s="20" t="n">
        <v>38472</v>
      </c>
      <c r="F24" s="18" t="s">
        <v>132</v>
      </c>
      <c r="G24" s="18" t="s">
        <v>175</v>
      </c>
      <c r="H24" s="19"/>
      <c r="I24" s="21" t="n">
        <f aca="false">3.145/I$1</f>
        <v>0.104833333333333</v>
      </c>
      <c r="J24" s="22" t="n">
        <v>0</v>
      </c>
      <c r="K24" s="22" t="n">
        <v>0</v>
      </c>
      <c r="L24" s="22" t="n">
        <v>0</v>
      </c>
      <c r="M24" s="22" t="n">
        <v>0</v>
      </c>
      <c r="N24" s="23" t="n">
        <v>0</v>
      </c>
      <c r="O24" s="22" t="n">
        <f aca="false">SUM(I24:M24)</f>
        <v>0.104833333333333</v>
      </c>
      <c r="P24" s="24" t="n">
        <v>58654</v>
      </c>
      <c r="Q24" s="19" t="n">
        <v>15000</v>
      </c>
      <c r="R24" s="18" t="s">
        <v>177</v>
      </c>
      <c r="S24" s="25" t="n">
        <f aca="false">I24*I$1*Q24</f>
        <v>47175</v>
      </c>
      <c r="T24" s="26" t="n">
        <v>156408</v>
      </c>
      <c r="U24" s="27"/>
      <c r="V24" s="27" t="s">
        <v>157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18" t="s">
        <v>152</v>
      </c>
      <c r="B25" s="19" t="s">
        <v>129</v>
      </c>
      <c r="C25" s="19" t="s">
        <v>130</v>
      </c>
      <c r="D25" s="20" t="n">
        <v>36557</v>
      </c>
      <c r="E25" s="20" t="n">
        <v>37346</v>
      </c>
      <c r="F25" s="18" t="s">
        <v>132</v>
      </c>
      <c r="G25" s="18" t="s">
        <v>175</v>
      </c>
      <c r="H25" s="19"/>
      <c r="I25" s="21" t="n">
        <f aca="false">2.6805/I$1</f>
        <v>0.08935</v>
      </c>
      <c r="J25" s="22" t="n">
        <v>0</v>
      </c>
      <c r="K25" s="22" t="n">
        <v>0</v>
      </c>
      <c r="L25" s="22" t="n">
        <v>0</v>
      </c>
      <c r="M25" s="22" t="n">
        <v>0</v>
      </c>
      <c r="N25" s="23" t="n">
        <v>0</v>
      </c>
      <c r="O25" s="22" t="n">
        <f aca="false">SUM(I25:M25)</f>
        <v>0.08935</v>
      </c>
      <c r="P25" s="24" t="n">
        <v>63115</v>
      </c>
      <c r="Q25" s="19" t="n">
        <v>30000</v>
      </c>
      <c r="R25" s="18" t="s">
        <v>178</v>
      </c>
      <c r="S25" s="25" t="n">
        <f aca="false">I25*I$1*Q25</f>
        <v>80415</v>
      </c>
      <c r="T25" s="26" t="n">
        <v>156532</v>
      </c>
      <c r="U25" s="27"/>
      <c r="V25" s="27" t="s">
        <v>157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18" t="s">
        <v>152</v>
      </c>
      <c r="B26" s="19" t="s">
        <v>129</v>
      </c>
      <c r="C26" s="19" t="s">
        <v>179</v>
      </c>
      <c r="D26" s="20" t="n">
        <v>36746</v>
      </c>
      <c r="E26" s="20" t="n">
        <v>37103</v>
      </c>
      <c r="F26" s="18" t="s">
        <v>132</v>
      </c>
      <c r="G26" s="18" t="s">
        <v>175</v>
      </c>
      <c r="H26" s="19"/>
      <c r="I26" s="21" t="n">
        <f aca="false">3.14/I$1</f>
        <v>0.104666666666667</v>
      </c>
      <c r="J26" s="22"/>
      <c r="K26" s="22"/>
      <c r="L26" s="22"/>
      <c r="M26" s="22"/>
      <c r="N26" s="23"/>
      <c r="O26" s="22"/>
      <c r="P26" s="24" t="n">
        <v>69119</v>
      </c>
      <c r="Q26" s="19" t="n">
        <v>142</v>
      </c>
      <c r="R26" s="18" t="s">
        <v>180</v>
      </c>
      <c r="S26" s="25" t="n">
        <f aca="false">I26*I$1*Q26</f>
        <v>445.88</v>
      </c>
      <c r="T26" s="26" t="n">
        <v>360720</v>
      </c>
      <c r="U26" s="91"/>
      <c r="V26" s="27" t="s">
        <v>157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92" t="s">
        <v>152</v>
      </c>
      <c r="B27" s="93" t="s">
        <v>129</v>
      </c>
      <c r="C27" s="93" t="s">
        <v>181</v>
      </c>
      <c r="D27" s="94" t="n">
        <v>36923</v>
      </c>
      <c r="E27" s="94" t="n">
        <v>36950</v>
      </c>
      <c r="F27" s="92" t="s">
        <v>175</v>
      </c>
      <c r="G27" s="92" t="s">
        <v>132</v>
      </c>
      <c r="H27" s="93" t="s">
        <v>182</v>
      </c>
      <c r="I27" s="95" t="n">
        <f aca="false">1.12/I$1</f>
        <v>0.0373333333333333</v>
      </c>
      <c r="J27" s="96"/>
      <c r="K27" s="96"/>
      <c r="L27" s="96"/>
      <c r="M27" s="96"/>
      <c r="N27" s="97"/>
      <c r="O27" s="96"/>
      <c r="P27" s="98" t="n">
        <v>67144</v>
      </c>
      <c r="Q27" s="93"/>
      <c r="R27" s="92" t="s">
        <v>183</v>
      </c>
      <c r="S27" s="99" t="n">
        <f aca="false">I27*I$1*Q27</f>
        <v>0</v>
      </c>
      <c r="T27" s="100" t="n">
        <v>592084</v>
      </c>
      <c r="U27" s="101"/>
      <c r="V27" s="27" t="s">
        <v>157</v>
      </c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  <c r="IU27" s="102"/>
      <c r="IV27" s="102"/>
      <c r="IW27" s="102"/>
    </row>
    <row r="28" customFormat="false" ht="12.75" hidden="false" customHeight="false" outlineLevel="0" collapsed="false">
      <c r="A28" s="18" t="s">
        <v>152</v>
      </c>
      <c r="B28" s="19" t="s">
        <v>129</v>
      </c>
      <c r="C28" s="19" t="s">
        <v>181</v>
      </c>
      <c r="D28" s="20" t="n">
        <v>36831</v>
      </c>
      <c r="E28" s="20" t="n">
        <v>36981</v>
      </c>
      <c r="F28" s="18" t="s">
        <v>175</v>
      </c>
      <c r="G28" s="18" t="s">
        <v>132</v>
      </c>
      <c r="H28" s="19" t="s">
        <v>182</v>
      </c>
      <c r="I28" s="21" t="n">
        <f aca="false">1.2/I$1</f>
        <v>0.04</v>
      </c>
      <c r="J28" s="22"/>
      <c r="K28" s="22"/>
      <c r="L28" s="22"/>
      <c r="M28" s="22"/>
      <c r="N28" s="23"/>
      <c r="O28" s="22"/>
      <c r="P28" s="24" t="n">
        <v>0</v>
      </c>
      <c r="Q28" s="19"/>
      <c r="R28" s="18" t="s">
        <v>184</v>
      </c>
      <c r="S28" s="25"/>
      <c r="T28" s="26"/>
      <c r="U28" s="91"/>
      <c r="V28" s="27" t="s">
        <v>157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18"/>
      <c r="B29" s="19"/>
      <c r="C29" s="19"/>
      <c r="D29" s="20"/>
      <c r="E29" s="20"/>
      <c r="F29" s="18"/>
      <c r="G29" s="18"/>
      <c r="H29" s="19"/>
      <c r="I29" s="21"/>
      <c r="J29" s="22"/>
      <c r="K29" s="22"/>
      <c r="L29" s="22"/>
      <c r="M29" s="22"/>
      <c r="N29" s="23"/>
      <c r="O29" s="22"/>
      <c r="P29" s="24"/>
      <c r="Q29" s="103"/>
      <c r="R29" s="18"/>
      <c r="S29" s="25"/>
      <c r="T29" s="26"/>
      <c r="U29" s="27"/>
      <c r="V29" s="27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75" t="s">
        <v>9</v>
      </c>
      <c r="B30" s="72" t="s">
        <v>9</v>
      </c>
      <c r="C30" s="70" t="s">
        <v>9</v>
      </c>
      <c r="D30" s="76" t="s">
        <v>9</v>
      </c>
      <c r="E30" s="76"/>
      <c r="F30" s="75" t="s">
        <v>9</v>
      </c>
      <c r="G30" s="77" t="s">
        <v>9</v>
      </c>
      <c r="H30" s="72" t="s">
        <v>9</v>
      </c>
      <c r="I30" s="78"/>
      <c r="J30" s="69"/>
      <c r="K30" s="69"/>
      <c r="L30" s="69"/>
      <c r="M30" s="69"/>
      <c r="N30" s="79"/>
      <c r="O30" s="69"/>
      <c r="P30" s="80" t="s">
        <v>9</v>
      </c>
      <c r="Q30" s="70" t="n">
        <f aca="false">SUM(Q13:Q29)</f>
        <v>239396</v>
      </c>
      <c r="R30" s="75" t="s">
        <v>185</v>
      </c>
      <c r="S30" s="36" t="n">
        <f aca="false">SUM(S13:S29)</f>
        <v>387339.8162</v>
      </c>
      <c r="T30" s="47"/>
      <c r="U30" s="38"/>
      <c r="V30" s="38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</row>
    <row r="31" customFormat="false" ht="12.75" hidden="false" customHeight="false" outlineLevel="0" collapsed="false">
      <c r="A31" s="75"/>
      <c r="B31" s="72"/>
      <c r="C31" s="70"/>
      <c r="D31" s="76"/>
      <c r="E31" s="76"/>
      <c r="F31" s="75"/>
      <c r="G31" s="77"/>
      <c r="H31" s="72"/>
      <c r="I31" s="78"/>
      <c r="J31" s="69"/>
      <c r="K31" s="69"/>
      <c r="L31" s="69"/>
      <c r="M31" s="69"/>
      <c r="N31" s="79"/>
      <c r="O31" s="69"/>
      <c r="P31" s="80"/>
      <c r="Q31" s="72"/>
      <c r="R31" s="75" t="s">
        <v>186</v>
      </c>
      <c r="S31" s="36" t="n">
        <v>0</v>
      </c>
      <c r="T31" s="47"/>
      <c r="U31" s="38"/>
      <c r="V31" s="38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  <c r="IW31" s="74"/>
    </row>
    <row r="32" customFormat="false" ht="13.5" hidden="false" customHeight="false" outlineLevel="0" collapsed="false">
      <c r="A32" s="75"/>
      <c r="B32" s="72"/>
      <c r="C32" s="70"/>
      <c r="D32" s="76"/>
      <c r="E32" s="76"/>
      <c r="F32" s="75"/>
      <c r="G32" s="77"/>
      <c r="H32" s="72"/>
      <c r="I32" s="78"/>
      <c r="J32" s="69"/>
      <c r="K32" s="69"/>
      <c r="L32" s="69"/>
      <c r="M32" s="69"/>
      <c r="N32" s="79"/>
      <c r="O32" s="69"/>
      <c r="P32" s="80"/>
      <c r="Q32" s="72"/>
      <c r="R32" s="75" t="s">
        <v>187</v>
      </c>
      <c r="S32" s="104" t="n">
        <f aca="false">+S30-S31</f>
        <v>387339.8162</v>
      </c>
      <c r="T32" s="47"/>
      <c r="U32" s="27"/>
      <c r="V32" s="27"/>
    </row>
    <row r="33" customFormat="false" ht="13.5" hidden="false" customHeight="false" outlineLevel="0" collapsed="false">
      <c r="A33" s="75"/>
      <c r="B33" s="72"/>
      <c r="C33" s="70"/>
      <c r="D33" s="76"/>
      <c r="E33" s="76"/>
      <c r="F33" s="75"/>
      <c r="G33" s="77"/>
      <c r="H33" s="72"/>
      <c r="I33" s="78"/>
      <c r="J33" s="69"/>
      <c r="K33" s="69"/>
      <c r="L33" s="69"/>
      <c r="M33" s="69"/>
      <c r="N33" s="79"/>
      <c r="O33" s="69"/>
      <c r="P33" s="80"/>
      <c r="Q33" s="72"/>
      <c r="R33" s="75"/>
      <c r="S33" s="36"/>
      <c r="T33" s="47"/>
      <c r="U33" s="27"/>
      <c r="V33" s="27"/>
    </row>
    <row r="34" customFormat="false" ht="12.75" hidden="false" customHeight="false" outlineLevel="0" collapsed="false">
      <c r="A34" s="81" t="s">
        <v>109</v>
      </c>
      <c r="B34" s="82" t="s">
        <v>110</v>
      </c>
      <c r="C34" s="82" t="s">
        <v>111</v>
      </c>
      <c r="D34" s="83" t="s">
        <v>112</v>
      </c>
      <c r="E34" s="83"/>
      <c r="F34" s="81" t="s">
        <v>113</v>
      </c>
      <c r="G34" s="81" t="s">
        <v>114</v>
      </c>
      <c r="H34" s="82" t="s">
        <v>115</v>
      </c>
      <c r="I34" s="84" t="s">
        <v>116</v>
      </c>
      <c r="J34" s="82" t="s">
        <v>117</v>
      </c>
      <c r="K34" s="82" t="s">
        <v>118</v>
      </c>
      <c r="L34" s="82" t="s">
        <v>119</v>
      </c>
      <c r="M34" s="82" t="s">
        <v>120</v>
      </c>
      <c r="N34" s="85" t="s">
        <v>121</v>
      </c>
      <c r="O34" s="82" t="s">
        <v>122</v>
      </c>
      <c r="P34" s="86" t="s">
        <v>149</v>
      </c>
      <c r="Q34" s="82" t="s">
        <v>124</v>
      </c>
      <c r="R34" s="81" t="s">
        <v>125</v>
      </c>
      <c r="S34" s="87" t="s">
        <v>134</v>
      </c>
      <c r="T34" s="105" t="s">
        <v>134</v>
      </c>
      <c r="U34" s="88"/>
      <c r="V34" s="89"/>
      <c r="W34" s="89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  <c r="IV34" s="90"/>
      <c r="IW34" s="90"/>
    </row>
    <row r="35" customFormat="false" ht="12.75" hidden="false" customHeight="false" outlineLevel="0" collapsed="false">
      <c r="A35" s="18" t="s">
        <v>152</v>
      </c>
      <c r="B35" s="19" t="s">
        <v>135</v>
      </c>
      <c r="C35" s="19" t="s">
        <v>56</v>
      </c>
      <c r="D35" s="20" t="n">
        <v>36312</v>
      </c>
      <c r="E35" s="20" t="n">
        <v>37011</v>
      </c>
      <c r="F35" s="18" t="s">
        <v>188</v>
      </c>
      <c r="G35" s="18" t="s">
        <v>189</v>
      </c>
      <c r="H35" s="19" t="s">
        <v>190</v>
      </c>
      <c r="I35" s="21" t="n">
        <v>0.16</v>
      </c>
      <c r="J35" s="22"/>
      <c r="K35" s="22"/>
      <c r="L35" s="22"/>
      <c r="M35" s="22"/>
      <c r="N35" s="23"/>
      <c r="O35" s="22"/>
      <c r="P35" s="24" t="n">
        <v>65403</v>
      </c>
      <c r="Q35" s="19" t="n">
        <v>19293</v>
      </c>
      <c r="R35" s="18" t="s">
        <v>191</v>
      </c>
      <c r="S35" s="25" t="n">
        <f aca="false">I35*I$1*Q35</f>
        <v>92606.4</v>
      </c>
      <c r="T35" s="106" t="n">
        <f aca="false">0.16*30.417</f>
        <v>4.86672</v>
      </c>
      <c r="U35" s="26" t="n">
        <v>214854</v>
      </c>
      <c r="V35" s="18"/>
      <c r="W35" s="27" t="s">
        <v>192</v>
      </c>
      <c r="X35" s="27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39" t="s">
        <v>193</v>
      </c>
      <c r="B36" s="107" t="s">
        <v>135</v>
      </c>
      <c r="C36" s="107" t="s">
        <v>135</v>
      </c>
      <c r="D36" s="108" t="n">
        <v>36982</v>
      </c>
      <c r="E36" s="108" t="n">
        <v>37346</v>
      </c>
      <c r="F36" s="39" t="s">
        <v>194</v>
      </c>
      <c r="G36" s="39" t="s">
        <v>195</v>
      </c>
      <c r="H36" s="107" t="s">
        <v>155</v>
      </c>
      <c r="I36" s="109" t="n">
        <f aca="false">6.195/I$1</f>
        <v>0.2065</v>
      </c>
      <c r="J36" s="110" t="n">
        <v>0</v>
      </c>
      <c r="K36" s="110" t="n">
        <v>0</v>
      </c>
      <c r="L36" s="110" t="n">
        <v>0</v>
      </c>
      <c r="M36" s="110" t="n">
        <v>0</v>
      </c>
      <c r="N36" s="111" t="n">
        <v>0</v>
      </c>
      <c r="O36" s="110" t="n">
        <f aca="false">SUM(I36:M36)</f>
        <v>0.2065</v>
      </c>
      <c r="P36" s="112" t="n">
        <v>67133</v>
      </c>
      <c r="Q36" s="107" t="n">
        <v>4000</v>
      </c>
      <c r="R36" s="39" t="s">
        <v>196</v>
      </c>
      <c r="S36" s="25" t="n">
        <f aca="false">I36*I$1*Q36</f>
        <v>24780</v>
      </c>
      <c r="T36" s="113" t="n">
        <v>4.41</v>
      </c>
      <c r="U36" s="114" t="n">
        <v>690593</v>
      </c>
      <c r="V36" s="115"/>
      <c r="W36" s="115" t="s">
        <v>192</v>
      </c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</row>
    <row r="37" customFormat="false" ht="12.75" hidden="false" customHeight="false" outlineLevel="0" collapsed="false">
      <c r="A37" s="39" t="s">
        <v>193</v>
      </c>
      <c r="B37" s="107" t="s">
        <v>135</v>
      </c>
      <c r="C37" s="107" t="s">
        <v>135</v>
      </c>
      <c r="D37" s="108" t="n">
        <v>36982</v>
      </c>
      <c r="E37" s="108" t="n">
        <v>37346</v>
      </c>
      <c r="F37" s="39" t="s">
        <v>194</v>
      </c>
      <c r="G37" s="39" t="s">
        <v>197</v>
      </c>
      <c r="H37" s="107" t="s">
        <v>155</v>
      </c>
      <c r="I37" s="109" t="n">
        <f aca="false">6.231/I$1</f>
        <v>0.2077</v>
      </c>
      <c r="J37" s="110" t="n">
        <v>0</v>
      </c>
      <c r="K37" s="110" t="n">
        <v>0</v>
      </c>
      <c r="L37" s="110" t="n">
        <v>0</v>
      </c>
      <c r="M37" s="110" t="n">
        <v>0</v>
      </c>
      <c r="N37" s="111" t="n">
        <v>0</v>
      </c>
      <c r="O37" s="110" t="n">
        <f aca="false">SUM(I37:M37)</f>
        <v>0.2077</v>
      </c>
      <c r="P37" s="112" t="n">
        <v>70197</v>
      </c>
      <c r="Q37" s="107" t="n">
        <v>4000</v>
      </c>
      <c r="R37" s="39" t="s">
        <v>196</v>
      </c>
      <c r="S37" s="25" t="n">
        <f aca="false">I37*I$1*Q37</f>
        <v>24924</v>
      </c>
      <c r="T37" s="113" t="n">
        <v>6.201</v>
      </c>
      <c r="U37" s="114" t="n">
        <v>544527</v>
      </c>
      <c r="V37" s="115"/>
      <c r="W37" s="115" t="s">
        <v>192</v>
      </c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</row>
    <row r="38" customFormat="false" ht="12.75" hidden="false" customHeight="false" outlineLevel="0" collapsed="false">
      <c r="A38" s="18" t="s">
        <v>152</v>
      </c>
      <c r="B38" s="19" t="s">
        <v>135</v>
      </c>
      <c r="C38" s="18" t="s">
        <v>198</v>
      </c>
      <c r="D38" s="20" t="n">
        <v>36770</v>
      </c>
      <c r="E38" s="20" t="n">
        <v>37134</v>
      </c>
      <c r="F38" s="18" t="s">
        <v>199</v>
      </c>
      <c r="G38" s="18" t="s">
        <v>200</v>
      </c>
      <c r="H38" s="19"/>
      <c r="I38" s="21" t="n">
        <f aca="false">6.201/I$1</f>
        <v>0.2067</v>
      </c>
      <c r="J38" s="22" t="n">
        <v>0</v>
      </c>
      <c r="K38" s="22" t="n">
        <v>0</v>
      </c>
      <c r="L38" s="22" t="n">
        <v>0</v>
      </c>
      <c r="M38" s="22" t="n">
        <v>0</v>
      </c>
      <c r="N38" s="23" t="n">
        <v>0</v>
      </c>
      <c r="O38" s="22" t="n">
        <f aca="false">SUM(I38:M38)</f>
        <v>0.2067</v>
      </c>
      <c r="P38" s="24" t="n">
        <v>69204</v>
      </c>
      <c r="Q38" s="70" t="n">
        <v>2048</v>
      </c>
      <c r="R38" s="18" t="s">
        <v>201</v>
      </c>
      <c r="S38" s="25" t="n">
        <f aca="false">I38*I$1*Q38</f>
        <v>12699.648</v>
      </c>
      <c r="T38" s="106"/>
      <c r="U38" s="26" t="n">
        <v>382565</v>
      </c>
      <c r="V38" s="27"/>
      <c r="W38" s="27" t="s">
        <v>192</v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18" t="s">
        <v>152</v>
      </c>
      <c r="B39" s="19" t="s">
        <v>135</v>
      </c>
      <c r="C39" s="18" t="s">
        <v>198</v>
      </c>
      <c r="D39" s="20" t="n">
        <v>36770</v>
      </c>
      <c r="E39" s="20" t="n">
        <v>37134</v>
      </c>
      <c r="F39" s="18" t="s">
        <v>199</v>
      </c>
      <c r="G39" s="18" t="s">
        <v>200</v>
      </c>
      <c r="H39" s="19"/>
      <c r="I39" s="21" t="n">
        <f aca="false">6.201/I$1</f>
        <v>0.2067</v>
      </c>
      <c r="J39" s="22" t="n">
        <v>0</v>
      </c>
      <c r="K39" s="22" t="n">
        <v>0</v>
      </c>
      <c r="L39" s="22" t="n">
        <v>0</v>
      </c>
      <c r="M39" s="22" t="n">
        <v>0</v>
      </c>
      <c r="N39" s="23" t="n">
        <v>0</v>
      </c>
      <c r="O39" s="22" t="n">
        <f aca="false">SUM(I39:M39)</f>
        <v>0.2067</v>
      </c>
      <c r="P39" s="24" t="n">
        <v>69205</v>
      </c>
      <c r="Q39" s="70" t="n">
        <v>2048</v>
      </c>
      <c r="R39" s="18" t="s">
        <v>202</v>
      </c>
      <c r="S39" s="25" t="n">
        <f aca="false">I39*I$1*Q39</f>
        <v>12699.648</v>
      </c>
      <c r="T39" s="106"/>
      <c r="U39" s="26" t="n">
        <v>382544</v>
      </c>
      <c r="V39" s="27"/>
      <c r="W39" s="27" t="s">
        <v>192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18" t="s">
        <v>152</v>
      </c>
      <c r="B40" s="19" t="s">
        <v>135</v>
      </c>
      <c r="C40" s="18" t="s">
        <v>198</v>
      </c>
      <c r="D40" s="20" t="n">
        <v>36770</v>
      </c>
      <c r="E40" s="20" t="n">
        <v>37134</v>
      </c>
      <c r="F40" s="18" t="s">
        <v>199</v>
      </c>
      <c r="G40" s="18" t="s">
        <v>200</v>
      </c>
      <c r="H40" s="19"/>
      <c r="I40" s="21" t="n">
        <f aca="false">6.201/I$1</f>
        <v>0.2067</v>
      </c>
      <c r="J40" s="22" t="n">
        <v>0</v>
      </c>
      <c r="K40" s="22" t="n">
        <v>0</v>
      </c>
      <c r="L40" s="22" t="n">
        <v>0</v>
      </c>
      <c r="M40" s="22" t="n">
        <v>0</v>
      </c>
      <c r="N40" s="23" t="n">
        <v>0</v>
      </c>
      <c r="O40" s="22" t="n">
        <f aca="false">SUM(I40:M40)</f>
        <v>0.2067</v>
      </c>
      <c r="P40" s="24" t="n">
        <v>69310</v>
      </c>
      <c r="Q40" s="70" t="n">
        <v>2048</v>
      </c>
      <c r="R40" s="18" t="s">
        <v>203</v>
      </c>
      <c r="S40" s="25" t="n">
        <f aca="false">I40*I$1*Q40</f>
        <v>12699.648</v>
      </c>
      <c r="T40" s="106"/>
      <c r="U40" s="26" t="n">
        <v>386340</v>
      </c>
      <c r="V40" s="27"/>
      <c r="W40" s="27" t="s">
        <v>192</v>
      </c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18" t="s">
        <v>204</v>
      </c>
      <c r="B41" s="19" t="s">
        <v>135</v>
      </c>
      <c r="C41" s="19" t="s">
        <v>205</v>
      </c>
      <c r="D41" s="20" t="n">
        <v>36434</v>
      </c>
      <c r="E41" s="20" t="n">
        <v>36714</v>
      </c>
      <c r="F41" s="18" t="s">
        <v>206</v>
      </c>
      <c r="G41" s="18" t="s">
        <v>205</v>
      </c>
      <c r="H41" s="19"/>
      <c r="I41" s="21" t="n">
        <v>0</v>
      </c>
      <c r="J41" s="22" t="n">
        <v>0</v>
      </c>
      <c r="K41" s="22" t="n">
        <v>0</v>
      </c>
      <c r="L41" s="22" t="n">
        <v>0</v>
      </c>
      <c r="M41" s="22" t="n">
        <v>0</v>
      </c>
      <c r="N41" s="23" t="n">
        <v>0</v>
      </c>
      <c r="O41" s="22" t="n">
        <f aca="false">SUM(I41:M41)</f>
        <v>0</v>
      </c>
      <c r="P41" s="24"/>
      <c r="Q41" s="19" t="n">
        <v>40000</v>
      </c>
      <c r="R41" s="18"/>
      <c r="S41" s="25" t="n">
        <f aca="false">I41*I$1*Q41</f>
        <v>0</v>
      </c>
      <c r="T41" s="25"/>
      <c r="U41" s="26"/>
      <c r="V41" s="27"/>
      <c r="W41" s="27" t="s">
        <v>192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18"/>
      <c r="B42" s="19"/>
      <c r="C42" s="19"/>
      <c r="D42" s="20"/>
      <c r="E42" s="20"/>
      <c r="F42" s="18"/>
      <c r="G42" s="18"/>
      <c r="H42" s="19"/>
      <c r="I42" s="21"/>
      <c r="J42" s="22"/>
      <c r="K42" s="22"/>
      <c r="L42" s="22"/>
      <c r="M42" s="22"/>
      <c r="N42" s="23"/>
      <c r="O42" s="22"/>
      <c r="P42" s="24"/>
      <c r="Q42" s="19"/>
      <c r="R42" s="18"/>
      <c r="S42" s="25"/>
      <c r="T42" s="25"/>
      <c r="U42" s="26"/>
      <c r="V42" s="27"/>
      <c r="W42" s="27" t="s">
        <v>192</v>
      </c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18"/>
      <c r="B43" s="19"/>
      <c r="C43" s="19"/>
      <c r="D43" s="117"/>
      <c r="E43" s="20"/>
      <c r="F43" s="18"/>
      <c r="G43" s="18"/>
      <c r="H43" s="19"/>
      <c r="I43" s="21"/>
      <c r="J43" s="22"/>
      <c r="K43" s="22"/>
      <c r="L43" s="22"/>
      <c r="M43" s="22"/>
      <c r="N43" s="23"/>
      <c r="O43" s="22"/>
      <c r="P43" s="24"/>
      <c r="Q43" s="70" t="n">
        <f aca="false">SUM(Q35:Q42)</f>
        <v>73437</v>
      </c>
      <c r="R43" s="75" t="s">
        <v>185</v>
      </c>
      <c r="S43" s="36" t="n">
        <f aca="false">SUM(S35:S42)</f>
        <v>180409.344</v>
      </c>
      <c r="T43" s="25"/>
      <c r="U43" s="26"/>
      <c r="V43" s="27"/>
      <c r="W43" s="27" t="s">
        <v>192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18"/>
      <c r="B44" s="19"/>
      <c r="C44" s="19"/>
      <c r="D44" s="117"/>
      <c r="E44" s="20"/>
      <c r="F44" s="18"/>
      <c r="G44" s="18"/>
      <c r="H44" s="19"/>
      <c r="I44" s="21"/>
      <c r="J44" s="22"/>
      <c r="K44" s="22"/>
      <c r="L44" s="22"/>
      <c r="M44" s="22"/>
      <c r="N44" s="23"/>
      <c r="O44" s="22"/>
      <c r="P44" s="24"/>
      <c r="Q44" s="70"/>
      <c r="R44" s="75" t="s">
        <v>207</v>
      </c>
      <c r="S44" s="36" t="n">
        <v>0</v>
      </c>
      <c r="T44" s="18"/>
      <c r="U44" s="26"/>
      <c r="V44" s="27"/>
      <c r="W44" s="27" t="s">
        <v>192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18"/>
      <c r="B45" s="19"/>
      <c r="C45" s="19"/>
      <c r="D45" s="20"/>
      <c r="E45" s="20"/>
      <c r="F45" s="18"/>
      <c r="G45" s="18"/>
      <c r="H45" s="19"/>
      <c r="I45" s="21"/>
      <c r="J45" s="22"/>
      <c r="K45" s="22"/>
      <c r="L45" s="22"/>
      <c r="M45" s="22"/>
      <c r="N45" s="23"/>
      <c r="O45" s="22"/>
      <c r="P45" s="24"/>
      <c r="Q45" s="72"/>
      <c r="R45" s="75" t="s">
        <v>186</v>
      </c>
      <c r="S45" s="36" t="n">
        <v>0</v>
      </c>
      <c r="T45" s="25"/>
      <c r="U45" s="26"/>
      <c r="V45" s="27"/>
      <c r="W45" s="27" t="s">
        <v>192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3.5" hidden="false" customHeight="false" outlineLevel="0" collapsed="false">
      <c r="A46" s="18"/>
      <c r="B46" s="19"/>
      <c r="C46" s="19"/>
      <c r="D46" s="20"/>
      <c r="E46" s="20"/>
      <c r="F46" s="18"/>
      <c r="G46" s="18"/>
      <c r="H46" s="19"/>
      <c r="I46" s="21"/>
      <c r="J46" s="22"/>
      <c r="K46" s="22"/>
      <c r="L46" s="22"/>
      <c r="M46" s="22"/>
      <c r="N46" s="23"/>
      <c r="O46" s="22"/>
      <c r="P46" s="24"/>
      <c r="Q46" s="72"/>
      <c r="R46" s="75" t="s">
        <v>187</v>
      </c>
      <c r="S46" s="118" t="n">
        <f aca="false">+S43-S45</f>
        <v>180409.344</v>
      </c>
      <c r="T46" s="25"/>
      <c r="U46" s="26"/>
      <c r="V46" s="27"/>
      <c r="W46" s="27" t="s">
        <v>192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3.5" hidden="false" customHeight="false" outlineLevel="0" collapsed="false">
      <c r="A47" s="18"/>
      <c r="B47" s="19"/>
      <c r="C47" s="19"/>
      <c r="D47" s="20"/>
      <c r="E47" s="20"/>
      <c r="F47" s="18"/>
      <c r="G47" s="18"/>
      <c r="H47" s="19"/>
      <c r="I47" s="21"/>
      <c r="J47" s="22"/>
      <c r="K47" s="22"/>
      <c r="L47" s="22"/>
      <c r="M47" s="22"/>
      <c r="N47" s="23"/>
      <c r="O47" s="22"/>
      <c r="P47" s="24"/>
      <c r="Q47" s="19"/>
      <c r="R47" s="18"/>
      <c r="S47" s="25"/>
      <c r="T47" s="25"/>
      <c r="U47" s="26"/>
      <c r="V47" s="27"/>
      <c r="W47" s="27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18"/>
      <c r="B48" s="19"/>
      <c r="C48" s="19"/>
      <c r="D48" s="20"/>
      <c r="E48" s="20"/>
      <c r="F48" s="18"/>
      <c r="G48" s="18"/>
      <c r="H48" s="19"/>
      <c r="I48" s="21"/>
      <c r="J48" s="22"/>
      <c r="K48" s="22"/>
      <c r="L48" s="22"/>
      <c r="M48" s="22"/>
      <c r="N48" s="23"/>
      <c r="O48" s="22"/>
      <c r="P48" s="24"/>
      <c r="Q48" s="19"/>
      <c r="R48" s="18"/>
      <c r="S48" s="25"/>
      <c r="T48" s="25"/>
      <c r="U48" s="26"/>
      <c r="V48" s="27"/>
      <c r="W48" s="27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81" t="s">
        <v>109</v>
      </c>
      <c r="B49" s="82" t="s">
        <v>110</v>
      </c>
      <c r="C49" s="82" t="s">
        <v>111</v>
      </c>
      <c r="D49" s="83" t="s">
        <v>112</v>
      </c>
      <c r="E49" s="83"/>
      <c r="F49" s="81" t="s">
        <v>113</v>
      </c>
      <c r="G49" s="81" t="s">
        <v>114</v>
      </c>
      <c r="H49" s="82" t="s">
        <v>115</v>
      </c>
      <c r="I49" s="84" t="s">
        <v>116</v>
      </c>
      <c r="J49" s="82" t="s">
        <v>117</v>
      </c>
      <c r="K49" s="82" t="s">
        <v>118</v>
      </c>
      <c r="L49" s="82" t="s">
        <v>119</v>
      </c>
      <c r="M49" s="82" t="s">
        <v>120</v>
      </c>
      <c r="N49" s="85" t="s">
        <v>121</v>
      </c>
      <c r="O49" s="82" t="s">
        <v>122</v>
      </c>
      <c r="P49" s="86" t="s">
        <v>149</v>
      </c>
      <c r="Q49" s="82" t="s">
        <v>124</v>
      </c>
      <c r="R49" s="81" t="s">
        <v>125</v>
      </c>
      <c r="S49" s="87" t="s">
        <v>126</v>
      </c>
      <c r="T49" s="88" t="s">
        <v>150</v>
      </c>
      <c r="U49" s="89"/>
      <c r="V49" s="89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90"/>
      <c r="DT49" s="90"/>
      <c r="DU49" s="90"/>
      <c r="DV49" s="90"/>
      <c r="DW49" s="90"/>
      <c r="DX49" s="90"/>
      <c r="DY49" s="90"/>
      <c r="DZ49" s="90"/>
      <c r="EA49" s="90"/>
      <c r="EB49" s="90"/>
      <c r="EC49" s="90"/>
      <c r="ED49" s="90"/>
      <c r="EE49" s="90"/>
      <c r="EF49" s="90"/>
      <c r="EG49" s="90"/>
      <c r="EH49" s="90"/>
      <c r="EI49" s="90"/>
      <c r="EJ49" s="90"/>
      <c r="EK49" s="90"/>
      <c r="EL49" s="90"/>
      <c r="EM49" s="90"/>
      <c r="EN49" s="90"/>
      <c r="EO49" s="90"/>
      <c r="EP49" s="90"/>
      <c r="EQ49" s="90"/>
      <c r="ER49" s="90"/>
      <c r="ES49" s="90"/>
      <c r="ET49" s="90"/>
      <c r="EU49" s="90"/>
      <c r="EV49" s="90"/>
      <c r="EW49" s="90"/>
      <c r="EX49" s="90"/>
      <c r="EY49" s="90"/>
      <c r="EZ49" s="90"/>
      <c r="FA49" s="90"/>
      <c r="FB49" s="90"/>
      <c r="FC49" s="90"/>
      <c r="FD49" s="90"/>
      <c r="FE49" s="90"/>
      <c r="FF49" s="90"/>
      <c r="FG49" s="90"/>
      <c r="FH49" s="90"/>
      <c r="FI49" s="90"/>
      <c r="FJ49" s="90"/>
      <c r="FK49" s="90"/>
      <c r="FL49" s="90"/>
      <c r="FM49" s="90"/>
      <c r="FN49" s="90"/>
      <c r="FO49" s="90"/>
      <c r="FP49" s="90"/>
      <c r="FQ49" s="90"/>
      <c r="FR49" s="90"/>
      <c r="FS49" s="90"/>
      <c r="FT49" s="90"/>
      <c r="FU49" s="90"/>
      <c r="FV49" s="90"/>
      <c r="FW49" s="90"/>
      <c r="FX49" s="90"/>
      <c r="FY49" s="90"/>
      <c r="FZ49" s="90"/>
      <c r="GA49" s="90"/>
      <c r="GB49" s="90"/>
      <c r="GC49" s="90"/>
      <c r="GD49" s="90"/>
      <c r="GE49" s="90"/>
      <c r="GF49" s="90"/>
      <c r="GG49" s="90"/>
      <c r="GH49" s="90"/>
      <c r="GI49" s="90"/>
      <c r="GJ49" s="90"/>
      <c r="GK49" s="90"/>
      <c r="GL49" s="90"/>
      <c r="GM49" s="90"/>
      <c r="GN49" s="90"/>
      <c r="GO49" s="90"/>
      <c r="GP49" s="90"/>
      <c r="GQ49" s="90"/>
      <c r="GR49" s="90"/>
      <c r="GS49" s="90"/>
      <c r="GT49" s="90"/>
      <c r="GU49" s="90"/>
      <c r="GV49" s="90"/>
      <c r="GW49" s="90"/>
      <c r="GX49" s="90"/>
      <c r="GY49" s="90"/>
      <c r="GZ49" s="90"/>
      <c r="HA49" s="90"/>
      <c r="HB49" s="90"/>
      <c r="HC49" s="90"/>
      <c r="HD49" s="90"/>
      <c r="HE49" s="90"/>
      <c r="HF49" s="90"/>
      <c r="HG49" s="90"/>
      <c r="HH49" s="90"/>
      <c r="HI49" s="90"/>
      <c r="HJ49" s="90"/>
      <c r="HK49" s="90"/>
      <c r="HL49" s="90"/>
      <c r="HM49" s="90"/>
      <c r="HN49" s="90"/>
      <c r="HO49" s="90"/>
      <c r="HP49" s="90"/>
      <c r="HQ49" s="90"/>
      <c r="HR49" s="90"/>
      <c r="HS49" s="90"/>
      <c r="HT49" s="90"/>
      <c r="HU49" s="90"/>
      <c r="HV49" s="90"/>
      <c r="HW49" s="90"/>
      <c r="HX49" s="90"/>
      <c r="HY49" s="90"/>
      <c r="HZ49" s="90"/>
      <c r="IA49" s="90"/>
      <c r="IB49" s="90"/>
      <c r="IC49" s="90"/>
      <c r="ID49" s="90"/>
      <c r="IE49" s="90"/>
      <c r="IF49" s="90"/>
      <c r="IG49" s="90"/>
      <c r="IH49" s="90"/>
      <c r="II49" s="90"/>
      <c r="IJ49" s="90"/>
      <c r="IK49" s="90"/>
      <c r="IL49" s="90"/>
      <c r="IM49" s="90"/>
      <c r="IN49" s="90"/>
      <c r="IO49" s="90"/>
      <c r="IP49" s="90"/>
      <c r="IQ49" s="90"/>
      <c r="IR49" s="90"/>
      <c r="IS49" s="90"/>
      <c r="IT49" s="90"/>
      <c r="IU49" s="90"/>
      <c r="IV49" s="90"/>
      <c r="IW49" s="90"/>
    </row>
    <row r="50" customFormat="false" ht="12.75" hidden="false" customHeight="false" outlineLevel="0" collapsed="false">
      <c r="A50" s="18" t="s">
        <v>208</v>
      </c>
      <c r="B50" s="19" t="s">
        <v>209</v>
      </c>
      <c r="C50" s="19" t="s">
        <v>209</v>
      </c>
      <c r="D50" s="20" t="s">
        <v>21</v>
      </c>
      <c r="E50" s="20" t="s">
        <v>21</v>
      </c>
      <c r="F50" s="18" t="s">
        <v>210</v>
      </c>
      <c r="G50" s="18" t="s">
        <v>210</v>
      </c>
      <c r="H50" s="19" t="s">
        <v>155</v>
      </c>
      <c r="I50" s="21" t="n">
        <v>0.3753</v>
      </c>
      <c r="J50" s="22" t="n">
        <v>0</v>
      </c>
      <c r="K50" s="22" t="n">
        <v>0</v>
      </c>
      <c r="L50" s="22" t="n">
        <v>0</v>
      </c>
      <c r="M50" s="22" t="n">
        <v>0</v>
      </c>
      <c r="N50" s="23" t="n">
        <v>0</v>
      </c>
      <c r="O50" s="22" t="n">
        <f aca="false">SUM(I50:M50)</f>
        <v>0.3753</v>
      </c>
      <c r="P50" s="24" t="n">
        <v>5085</v>
      </c>
      <c r="Q50" s="19" t="n">
        <v>1722</v>
      </c>
      <c r="R50" s="18"/>
      <c r="S50" s="25" t="n">
        <f aca="false">I50*I$1*Q50</f>
        <v>19387.998</v>
      </c>
      <c r="T50" s="26"/>
      <c r="U50" s="27"/>
      <c r="V50" s="27" t="s">
        <v>211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18" t="s">
        <v>208</v>
      </c>
      <c r="B51" s="19" t="s">
        <v>209</v>
      </c>
      <c r="C51" s="19" t="s">
        <v>209</v>
      </c>
      <c r="D51" s="20" t="s">
        <v>21</v>
      </c>
      <c r="E51" s="20" t="s">
        <v>21</v>
      </c>
      <c r="F51" s="18" t="s">
        <v>210</v>
      </c>
      <c r="G51" s="18" t="s">
        <v>210</v>
      </c>
      <c r="H51" s="19" t="s">
        <v>155</v>
      </c>
      <c r="I51" s="21" t="n">
        <v>0.3753</v>
      </c>
      <c r="J51" s="22" t="n">
        <v>0</v>
      </c>
      <c r="K51" s="22" t="n">
        <v>0</v>
      </c>
      <c r="L51" s="22" t="n">
        <v>0</v>
      </c>
      <c r="M51" s="22" t="n">
        <v>0</v>
      </c>
      <c r="N51" s="23" t="n">
        <v>0</v>
      </c>
      <c r="O51" s="22" t="n">
        <f aca="false">SUM(I51:M51)</f>
        <v>0.3753</v>
      </c>
      <c r="P51" s="24" t="n">
        <v>5085</v>
      </c>
      <c r="Q51" s="19" t="n">
        <v>1000</v>
      </c>
      <c r="R51" s="18"/>
      <c r="S51" s="25" t="n">
        <f aca="false">I51*I$1*Q51</f>
        <v>11259</v>
      </c>
      <c r="T51" s="26"/>
      <c r="U51" s="27"/>
      <c r="V51" s="27" t="s">
        <v>211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18" t="s">
        <v>208</v>
      </c>
      <c r="B52" s="19" t="s">
        <v>209</v>
      </c>
      <c r="C52" s="19" t="s">
        <v>209</v>
      </c>
      <c r="D52" s="20" t="s">
        <v>21</v>
      </c>
      <c r="E52" s="20" t="s">
        <v>21</v>
      </c>
      <c r="F52" s="18" t="s">
        <v>210</v>
      </c>
      <c r="G52" s="18" t="s">
        <v>210</v>
      </c>
      <c r="H52" s="19" t="s">
        <v>155</v>
      </c>
      <c r="I52" s="21" t="n">
        <v>0.059</v>
      </c>
      <c r="J52" s="22" t="n">
        <v>0</v>
      </c>
      <c r="K52" s="22" t="n">
        <v>0</v>
      </c>
      <c r="L52" s="22" t="n">
        <v>0</v>
      </c>
      <c r="M52" s="22" t="n">
        <v>0</v>
      </c>
      <c r="N52" s="23" t="n">
        <v>0</v>
      </c>
      <c r="O52" s="22" t="n">
        <f aca="false">SUM(I52:M52)</f>
        <v>0.059</v>
      </c>
      <c r="P52" s="24" t="n">
        <v>5085</v>
      </c>
      <c r="Q52" s="19" t="n">
        <v>122</v>
      </c>
      <c r="R52" s="18"/>
      <c r="S52" s="25" t="n">
        <f aca="false">I52*I$1*Q52</f>
        <v>215.94</v>
      </c>
      <c r="T52" s="26"/>
      <c r="U52" s="27"/>
      <c r="V52" s="27" t="s">
        <v>211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18" t="s">
        <v>208</v>
      </c>
      <c r="B53" s="19" t="s">
        <v>209</v>
      </c>
      <c r="C53" s="19" t="s">
        <v>209</v>
      </c>
      <c r="D53" s="20" t="s">
        <v>21</v>
      </c>
      <c r="E53" s="20" t="s">
        <v>21</v>
      </c>
      <c r="F53" s="18" t="s">
        <v>210</v>
      </c>
      <c r="G53" s="18" t="s">
        <v>210</v>
      </c>
      <c r="H53" s="19" t="s">
        <v>155</v>
      </c>
      <c r="I53" s="21" t="n">
        <v>0.3923</v>
      </c>
      <c r="J53" s="22" t="n">
        <v>0</v>
      </c>
      <c r="K53" s="22" t="n">
        <v>0</v>
      </c>
      <c r="L53" s="22" t="n">
        <v>0</v>
      </c>
      <c r="M53" s="22" t="n">
        <v>0</v>
      </c>
      <c r="N53" s="23" t="n">
        <v>0</v>
      </c>
      <c r="O53" s="22" t="n">
        <f aca="false">SUM(I53:M53)</f>
        <v>0.3923</v>
      </c>
      <c r="P53" s="24" t="n">
        <v>5626</v>
      </c>
      <c r="Q53" s="19" t="n">
        <v>350</v>
      </c>
      <c r="R53" s="18"/>
      <c r="S53" s="25" t="n">
        <f aca="false">I53*I$1*Q53</f>
        <v>4119.15</v>
      </c>
      <c r="T53" s="26"/>
      <c r="U53" s="27"/>
      <c r="V53" s="27" t="s">
        <v>211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18" t="s">
        <v>208</v>
      </c>
      <c r="B54" s="19" t="s">
        <v>209</v>
      </c>
      <c r="C54" s="19" t="s">
        <v>209</v>
      </c>
      <c r="D54" s="20" t="s">
        <v>21</v>
      </c>
      <c r="E54" s="20" t="s">
        <v>21</v>
      </c>
      <c r="F54" s="18" t="s">
        <v>210</v>
      </c>
      <c r="G54" s="18" t="s">
        <v>210</v>
      </c>
      <c r="H54" s="19" t="s">
        <v>155</v>
      </c>
      <c r="I54" s="21" t="n">
        <v>0.4498</v>
      </c>
      <c r="J54" s="22" t="n">
        <v>0</v>
      </c>
      <c r="K54" s="22" t="n">
        <v>0</v>
      </c>
      <c r="L54" s="22" t="n">
        <v>0</v>
      </c>
      <c r="M54" s="22" t="n">
        <v>0</v>
      </c>
      <c r="N54" s="23" t="n">
        <v>0</v>
      </c>
      <c r="O54" s="22" t="n">
        <f aca="false">SUM(I54:M54)</f>
        <v>0.4498</v>
      </c>
      <c r="P54" s="24" t="n">
        <v>5626</v>
      </c>
      <c r="Q54" s="19" t="n">
        <v>138</v>
      </c>
      <c r="R54" s="18"/>
      <c r="S54" s="25" t="n">
        <f aca="false">I54*I$1*Q54</f>
        <v>1862.172</v>
      </c>
      <c r="T54" s="26"/>
      <c r="U54" s="27"/>
      <c r="V54" s="27" t="s">
        <v>211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18" t="s">
        <v>208</v>
      </c>
      <c r="B55" s="19" t="s">
        <v>209</v>
      </c>
      <c r="C55" s="19" t="s">
        <v>209</v>
      </c>
      <c r="D55" s="20" t="s">
        <v>21</v>
      </c>
      <c r="E55" s="20" t="s">
        <v>21</v>
      </c>
      <c r="F55" s="18" t="s">
        <v>210</v>
      </c>
      <c r="G55" s="18" t="s">
        <v>210</v>
      </c>
      <c r="H55" s="19" t="s">
        <v>155</v>
      </c>
      <c r="I55" s="21" t="n">
        <v>0.7684</v>
      </c>
      <c r="J55" s="22" t="n">
        <v>0</v>
      </c>
      <c r="K55" s="22" t="n">
        <v>0</v>
      </c>
      <c r="L55" s="22" t="n">
        <v>0</v>
      </c>
      <c r="M55" s="22" t="n">
        <v>0</v>
      </c>
      <c r="N55" s="23" t="n">
        <v>0</v>
      </c>
      <c r="O55" s="22" t="n">
        <f aca="false">SUM(I55:M55)</f>
        <v>0.7684</v>
      </c>
      <c r="P55" s="24" t="n">
        <v>5626</v>
      </c>
      <c r="Q55" s="19" t="n">
        <v>75</v>
      </c>
      <c r="R55" s="18"/>
      <c r="S55" s="25" t="n">
        <f aca="false">I55*I$1*Q55</f>
        <v>1728.9</v>
      </c>
      <c r="T55" s="26"/>
      <c r="U55" s="27"/>
      <c r="V55" s="27" t="s">
        <v>211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18" t="s">
        <v>212</v>
      </c>
      <c r="B56" s="19" t="s">
        <v>209</v>
      </c>
      <c r="C56" s="19" t="s">
        <v>209</v>
      </c>
      <c r="D56" s="20" t="s">
        <v>21</v>
      </c>
      <c r="E56" s="20" t="s">
        <v>21</v>
      </c>
      <c r="F56" s="18" t="s">
        <v>210</v>
      </c>
      <c r="G56" s="18" t="s">
        <v>210</v>
      </c>
      <c r="H56" s="19" t="s">
        <v>155</v>
      </c>
      <c r="I56" s="21" t="n">
        <v>0.3753</v>
      </c>
      <c r="J56" s="22" t="n">
        <v>0</v>
      </c>
      <c r="K56" s="22" t="n">
        <v>0</v>
      </c>
      <c r="L56" s="22" t="n">
        <v>0</v>
      </c>
      <c r="M56" s="22" t="n">
        <v>0</v>
      </c>
      <c r="N56" s="23" t="n">
        <v>0</v>
      </c>
      <c r="O56" s="22" t="n">
        <f aca="false">SUM(I56:M56)</f>
        <v>0.3753</v>
      </c>
      <c r="P56" s="24" t="n">
        <v>5879</v>
      </c>
      <c r="Q56" s="19" t="n">
        <v>2002</v>
      </c>
      <c r="R56" s="18"/>
      <c r="S56" s="25" t="n">
        <f aca="false">I56*I$1*Q56</f>
        <v>22540.518</v>
      </c>
      <c r="T56" s="26"/>
      <c r="U56" s="27"/>
      <c r="V56" s="27" t="s">
        <v>211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18" t="s">
        <v>212</v>
      </c>
      <c r="B57" s="19" t="s">
        <v>209</v>
      </c>
      <c r="C57" s="19" t="s">
        <v>209</v>
      </c>
      <c r="D57" s="20" t="s">
        <v>21</v>
      </c>
      <c r="E57" s="20" t="s">
        <v>21</v>
      </c>
      <c r="F57" s="18" t="s">
        <v>210</v>
      </c>
      <c r="G57" s="18" t="s">
        <v>210</v>
      </c>
      <c r="H57" s="19" t="s">
        <v>155</v>
      </c>
      <c r="I57" s="21" t="n">
        <v>0.27</v>
      </c>
      <c r="J57" s="22" t="n">
        <v>0</v>
      </c>
      <c r="K57" s="22" t="n">
        <v>0</v>
      </c>
      <c r="L57" s="22" t="n">
        <v>0</v>
      </c>
      <c r="M57" s="22" t="n">
        <v>0</v>
      </c>
      <c r="N57" s="23" t="n">
        <v>0</v>
      </c>
      <c r="O57" s="22" t="n">
        <f aca="false">SUM(I57:M57)</f>
        <v>0.27</v>
      </c>
      <c r="P57" s="24" t="n">
        <v>5925</v>
      </c>
      <c r="Q57" s="19" t="n">
        <v>22852</v>
      </c>
      <c r="R57" s="18"/>
      <c r="S57" s="25" t="n">
        <f aca="false">I57*I$1*Q57</f>
        <v>185101.2</v>
      </c>
      <c r="T57" s="26"/>
      <c r="U57" s="27"/>
      <c r="V57" s="27" t="s">
        <v>211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18" t="s">
        <v>212</v>
      </c>
      <c r="B58" s="19" t="s">
        <v>209</v>
      </c>
      <c r="C58" s="19" t="s">
        <v>209</v>
      </c>
      <c r="D58" s="20" t="s">
        <v>21</v>
      </c>
      <c r="E58" s="20" t="s">
        <v>21</v>
      </c>
      <c r="F58" s="18" t="s">
        <v>210</v>
      </c>
      <c r="G58" s="18" t="s">
        <v>210</v>
      </c>
      <c r="H58" s="19" t="s">
        <v>155</v>
      </c>
      <c r="I58" s="21" t="n">
        <v>0.3753</v>
      </c>
      <c r="J58" s="22" t="n">
        <v>0</v>
      </c>
      <c r="K58" s="22" t="n">
        <v>0</v>
      </c>
      <c r="L58" s="22" t="n">
        <v>0</v>
      </c>
      <c r="M58" s="22" t="n">
        <v>0</v>
      </c>
      <c r="N58" s="23" t="n">
        <v>0</v>
      </c>
      <c r="O58" s="22" t="n">
        <f aca="false">SUM(I58:M58)</f>
        <v>0.3753</v>
      </c>
      <c r="P58" s="24" t="n">
        <v>6020</v>
      </c>
      <c r="Q58" s="19" t="n">
        <v>1100</v>
      </c>
      <c r="R58" s="18"/>
      <c r="S58" s="25" t="n">
        <f aca="false">I58*I$1*Q58</f>
        <v>12384.9</v>
      </c>
      <c r="T58" s="26"/>
      <c r="U58" s="27"/>
      <c r="V58" s="27" t="s">
        <v>211</v>
      </c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18" t="s">
        <v>212</v>
      </c>
      <c r="B59" s="19" t="s">
        <v>209</v>
      </c>
      <c r="C59" s="19" t="s">
        <v>209</v>
      </c>
      <c r="D59" s="20" t="s">
        <v>21</v>
      </c>
      <c r="E59" s="20" t="s">
        <v>21</v>
      </c>
      <c r="F59" s="18" t="s">
        <v>210</v>
      </c>
      <c r="G59" s="18" t="s">
        <v>210</v>
      </c>
      <c r="H59" s="19" t="s">
        <v>155</v>
      </c>
      <c r="I59" s="21" t="n">
        <v>0.29</v>
      </c>
      <c r="J59" s="22" t="n">
        <v>0</v>
      </c>
      <c r="K59" s="22" t="n">
        <v>0</v>
      </c>
      <c r="L59" s="22" t="n">
        <v>0</v>
      </c>
      <c r="M59" s="22" t="n">
        <v>0</v>
      </c>
      <c r="N59" s="23" t="n">
        <v>0</v>
      </c>
      <c r="O59" s="22" t="n">
        <f aca="false">SUM(I59:M59)</f>
        <v>0.29</v>
      </c>
      <c r="P59" s="24" t="n">
        <v>6020</v>
      </c>
      <c r="Q59" s="19" t="n">
        <v>3500</v>
      </c>
      <c r="R59" s="18"/>
      <c r="S59" s="25" t="n">
        <f aca="false">I59*I$1*Q59</f>
        <v>30450</v>
      </c>
      <c r="T59" s="26"/>
      <c r="U59" s="27"/>
      <c r="V59" s="27" t="s">
        <v>211</v>
      </c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18" t="s">
        <v>212</v>
      </c>
      <c r="B60" s="19" t="s">
        <v>209</v>
      </c>
      <c r="C60" s="19" t="s">
        <v>209</v>
      </c>
      <c r="D60" s="20" t="s">
        <v>21</v>
      </c>
      <c r="E60" s="20" t="s">
        <v>21</v>
      </c>
      <c r="F60" s="18" t="s">
        <v>210</v>
      </c>
      <c r="G60" s="18" t="s">
        <v>210</v>
      </c>
      <c r="H60" s="19" t="s">
        <v>155</v>
      </c>
      <c r="I60" s="21" t="n">
        <v>0.3753</v>
      </c>
      <c r="J60" s="22" t="n">
        <v>0</v>
      </c>
      <c r="K60" s="22" t="n">
        <v>0</v>
      </c>
      <c r="L60" s="22" t="n">
        <v>0</v>
      </c>
      <c r="M60" s="22" t="n">
        <v>0</v>
      </c>
      <c r="N60" s="23" t="n">
        <v>0</v>
      </c>
      <c r="O60" s="22" t="n">
        <f aca="false">SUM(I60:M60)</f>
        <v>0.3753</v>
      </c>
      <c r="P60" s="24" t="n">
        <v>6089</v>
      </c>
      <c r="Q60" s="19" t="n">
        <v>6669</v>
      </c>
      <c r="R60" s="18"/>
      <c r="S60" s="25" t="n">
        <f aca="false">I60*I$1*Q60</f>
        <v>75086.271</v>
      </c>
      <c r="T60" s="26"/>
      <c r="U60" s="27"/>
      <c r="V60" s="27" t="s">
        <v>211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18"/>
      <c r="B61" s="19"/>
      <c r="C61" s="19"/>
      <c r="D61" s="20"/>
      <c r="E61" s="20"/>
      <c r="F61" s="18"/>
      <c r="G61" s="18"/>
      <c r="H61" s="19"/>
      <c r="I61" s="21"/>
      <c r="J61" s="22"/>
      <c r="K61" s="22"/>
      <c r="L61" s="22"/>
      <c r="M61" s="22"/>
      <c r="N61" s="23"/>
      <c r="O61" s="22"/>
      <c r="P61" s="24"/>
      <c r="Q61" s="103"/>
      <c r="R61" s="18"/>
      <c r="S61" s="25"/>
      <c r="T61" s="26"/>
      <c r="U61" s="27"/>
      <c r="V61" s="27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75" t="s">
        <v>9</v>
      </c>
      <c r="B62" s="72" t="s">
        <v>9</v>
      </c>
      <c r="C62" s="70" t="s">
        <v>9</v>
      </c>
      <c r="D62" s="76" t="s">
        <v>9</v>
      </c>
      <c r="E62" s="76"/>
      <c r="F62" s="75" t="s">
        <v>9</v>
      </c>
      <c r="G62" s="77" t="s">
        <v>9</v>
      </c>
      <c r="H62" s="72" t="s">
        <v>9</v>
      </c>
      <c r="I62" s="78"/>
      <c r="J62" s="69"/>
      <c r="K62" s="69"/>
      <c r="L62" s="69"/>
      <c r="M62" s="69"/>
      <c r="N62" s="79"/>
      <c r="O62" s="69"/>
      <c r="P62" s="80" t="s">
        <v>9</v>
      </c>
      <c r="Q62" s="70" t="n">
        <f aca="false">SUM(Q50:Q61)</f>
        <v>39530</v>
      </c>
      <c r="R62" s="75" t="s">
        <v>185</v>
      </c>
      <c r="S62" s="36" t="n">
        <f aca="false">SUM(S50:S61)</f>
        <v>364136.049</v>
      </c>
      <c r="T62" s="47"/>
      <c r="U62" s="38"/>
      <c r="V62" s="38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  <c r="EO62" s="74"/>
      <c r="EP62" s="74"/>
      <c r="EQ62" s="74"/>
      <c r="ER62" s="74"/>
      <c r="ES62" s="74"/>
      <c r="ET62" s="74"/>
      <c r="EU62" s="74"/>
      <c r="EV62" s="74"/>
      <c r="EW62" s="74"/>
      <c r="EX62" s="74"/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4"/>
      <c r="FK62" s="74"/>
      <c r="FL62" s="74"/>
      <c r="FM62" s="74"/>
      <c r="FN62" s="74"/>
      <c r="FO62" s="74"/>
      <c r="FP62" s="74"/>
      <c r="FQ62" s="74"/>
      <c r="FR62" s="74"/>
      <c r="FS62" s="74"/>
      <c r="FT62" s="74"/>
      <c r="FU62" s="74"/>
      <c r="FV62" s="74"/>
      <c r="FW62" s="74"/>
      <c r="FX62" s="74"/>
      <c r="FY62" s="74"/>
      <c r="FZ62" s="74"/>
      <c r="GA62" s="74"/>
      <c r="GB62" s="74"/>
      <c r="GC62" s="74"/>
      <c r="GD62" s="74"/>
      <c r="GE62" s="74"/>
      <c r="GF62" s="74"/>
      <c r="GG62" s="74"/>
      <c r="GH62" s="74"/>
      <c r="GI62" s="74"/>
      <c r="GJ62" s="74"/>
      <c r="GK62" s="74"/>
      <c r="GL62" s="74"/>
      <c r="GM62" s="74"/>
      <c r="GN62" s="74"/>
      <c r="GO62" s="74"/>
      <c r="GP62" s="74"/>
      <c r="GQ62" s="74"/>
      <c r="GR62" s="74"/>
      <c r="GS62" s="74"/>
      <c r="GT62" s="74"/>
      <c r="GU62" s="74"/>
      <c r="GV62" s="74"/>
      <c r="GW62" s="74"/>
      <c r="GX62" s="74"/>
      <c r="GY62" s="74"/>
      <c r="GZ62" s="74"/>
      <c r="HA62" s="74"/>
      <c r="HB62" s="74"/>
      <c r="HC62" s="74"/>
      <c r="HD62" s="74"/>
      <c r="HE62" s="74"/>
      <c r="HF62" s="74"/>
      <c r="HG62" s="74"/>
      <c r="HH62" s="74"/>
      <c r="HI62" s="74"/>
      <c r="HJ62" s="74"/>
      <c r="HK62" s="74"/>
      <c r="HL62" s="74"/>
      <c r="HM62" s="74"/>
      <c r="HN62" s="74"/>
      <c r="HO62" s="74"/>
      <c r="HP62" s="74"/>
      <c r="HQ62" s="74"/>
      <c r="HR62" s="74"/>
      <c r="HS62" s="74"/>
      <c r="HT62" s="74"/>
      <c r="HU62" s="74"/>
      <c r="HV62" s="74"/>
      <c r="HW62" s="74"/>
      <c r="HX62" s="74"/>
      <c r="HY62" s="74"/>
      <c r="HZ62" s="74"/>
      <c r="IA62" s="74"/>
      <c r="IB62" s="74"/>
      <c r="IC62" s="74"/>
      <c r="ID62" s="74"/>
      <c r="IE62" s="74"/>
      <c r="IF62" s="74"/>
      <c r="IG62" s="74"/>
      <c r="IH62" s="74"/>
      <c r="II62" s="74"/>
      <c r="IJ62" s="74"/>
      <c r="IK62" s="74"/>
      <c r="IL62" s="74"/>
      <c r="IM62" s="74"/>
      <c r="IN62" s="74"/>
      <c r="IO62" s="74"/>
      <c r="IP62" s="74"/>
      <c r="IQ62" s="74"/>
      <c r="IR62" s="74"/>
      <c r="IS62" s="74"/>
      <c r="IT62" s="74"/>
      <c r="IU62" s="74"/>
      <c r="IV62" s="74"/>
      <c r="IW62" s="74"/>
    </row>
    <row r="63" customFormat="false" ht="12.75" hidden="false" customHeight="false" outlineLevel="0" collapsed="false">
      <c r="A63" s="75"/>
      <c r="B63" s="72"/>
      <c r="C63" s="70"/>
      <c r="D63" s="76"/>
      <c r="E63" s="76"/>
      <c r="F63" s="75"/>
      <c r="G63" s="77"/>
      <c r="H63" s="72"/>
      <c r="I63" s="78"/>
      <c r="J63" s="69"/>
      <c r="K63" s="69"/>
      <c r="L63" s="69"/>
      <c r="M63" s="69"/>
      <c r="N63" s="79"/>
      <c r="O63" s="69"/>
      <c r="P63" s="80"/>
      <c r="Q63" s="72"/>
      <c r="R63" s="75" t="s">
        <v>186</v>
      </c>
      <c r="S63" s="36" t="n">
        <f aca="false">SUM(S50:S55)</f>
        <v>38573.16</v>
      </c>
      <c r="T63" s="47"/>
      <c r="U63" s="38"/>
      <c r="V63" s="38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  <c r="EO63" s="74"/>
      <c r="EP63" s="74"/>
      <c r="EQ63" s="74"/>
      <c r="ER63" s="74"/>
      <c r="ES63" s="74"/>
      <c r="ET63" s="74"/>
      <c r="EU63" s="74"/>
      <c r="EV63" s="74"/>
      <c r="EW63" s="74"/>
      <c r="EX63" s="74"/>
      <c r="EY63" s="74"/>
      <c r="EZ63" s="74"/>
      <c r="FA63" s="74"/>
      <c r="FB63" s="74"/>
      <c r="FC63" s="74"/>
      <c r="FD63" s="74"/>
      <c r="FE63" s="74"/>
      <c r="FF63" s="74"/>
      <c r="FG63" s="74"/>
      <c r="FH63" s="74"/>
      <c r="FI63" s="74"/>
      <c r="FJ63" s="74"/>
      <c r="FK63" s="74"/>
      <c r="FL63" s="74"/>
      <c r="FM63" s="74"/>
      <c r="FN63" s="74"/>
      <c r="FO63" s="74"/>
      <c r="FP63" s="74"/>
      <c r="FQ63" s="74"/>
      <c r="FR63" s="74"/>
      <c r="FS63" s="74"/>
      <c r="FT63" s="74"/>
      <c r="FU63" s="74"/>
      <c r="FV63" s="74"/>
      <c r="FW63" s="74"/>
      <c r="FX63" s="74"/>
      <c r="FY63" s="74"/>
      <c r="FZ63" s="74"/>
      <c r="GA63" s="74"/>
      <c r="GB63" s="74"/>
      <c r="GC63" s="74"/>
      <c r="GD63" s="74"/>
      <c r="GE63" s="74"/>
      <c r="GF63" s="74"/>
      <c r="GG63" s="74"/>
      <c r="GH63" s="74"/>
      <c r="GI63" s="74"/>
      <c r="GJ63" s="74"/>
      <c r="GK63" s="74"/>
      <c r="GL63" s="74"/>
      <c r="GM63" s="74"/>
      <c r="GN63" s="74"/>
      <c r="GO63" s="74"/>
      <c r="GP63" s="74"/>
      <c r="GQ63" s="74"/>
      <c r="GR63" s="74"/>
      <c r="GS63" s="74"/>
      <c r="GT63" s="74"/>
      <c r="GU63" s="74"/>
      <c r="GV63" s="74"/>
      <c r="GW63" s="74"/>
      <c r="GX63" s="74"/>
      <c r="GY63" s="74"/>
      <c r="GZ63" s="74"/>
      <c r="HA63" s="74"/>
      <c r="HB63" s="74"/>
      <c r="HC63" s="74"/>
      <c r="HD63" s="74"/>
      <c r="HE63" s="74"/>
      <c r="HF63" s="74"/>
      <c r="HG63" s="74"/>
      <c r="HH63" s="74"/>
      <c r="HI63" s="74"/>
      <c r="HJ63" s="74"/>
      <c r="HK63" s="74"/>
      <c r="HL63" s="74"/>
      <c r="HM63" s="74"/>
      <c r="HN63" s="74"/>
      <c r="HO63" s="74"/>
      <c r="HP63" s="74"/>
      <c r="HQ63" s="74"/>
      <c r="HR63" s="74"/>
      <c r="HS63" s="74"/>
      <c r="HT63" s="74"/>
      <c r="HU63" s="74"/>
      <c r="HV63" s="74"/>
      <c r="HW63" s="74"/>
      <c r="HX63" s="74"/>
      <c r="HY63" s="74"/>
      <c r="HZ63" s="74"/>
      <c r="IA63" s="74"/>
      <c r="IB63" s="74"/>
      <c r="IC63" s="74"/>
      <c r="ID63" s="74"/>
      <c r="IE63" s="74"/>
      <c r="IF63" s="74"/>
      <c r="IG63" s="74"/>
      <c r="IH63" s="74"/>
      <c r="II63" s="74"/>
      <c r="IJ63" s="74"/>
      <c r="IK63" s="74"/>
      <c r="IL63" s="74"/>
      <c r="IM63" s="74"/>
      <c r="IN63" s="74"/>
      <c r="IO63" s="74"/>
      <c r="IP63" s="74"/>
      <c r="IQ63" s="74"/>
      <c r="IR63" s="74"/>
      <c r="IS63" s="74"/>
      <c r="IT63" s="74"/>
      <c r="IU63" s="74"/>
      <c r="IV63" s="74"/>
      <c r="IW63" s="74"/>
    </row>
    <row r="64" customFormat="false" ht="13.5" hidden="false" customHeight="false" outlineLevel="0" collapsed="false">
      <c r="A64" s="75"/>
      <c r="B64" s="72"/>
      <c r="C64" s="70"/>
      <c r="D64" s="76"/>
      <c r="E64" s="76"/>
      <c r="F64" s="75"/>
      <c r="G64" s="77"/>
      <c r="H64" s="72"/>
      <c r="I64" s="78"/>
      <c r="J64" s="69"/>
      <c r="K64" s="69"/>
      <c r="L64" s="69"/>
      <c r="M64" s="69"/>
      <c r="N64" s="79"/>
      <c r="O64" s="69"/>
      <c r="P64" s="80"/>
      <c r="Q64" s="72"/>
      <c r="R64" s="75" t="s">
        <v>187</v>
      </c>
      <c r="S64" s="104" t="n">
        <f aca="false">+S62-S63</f>
        <v>325562.889</v>
      </c>
      <c r="T64" s="47"/>
      <c r="U64" s="27"/>
      <c r="V64" s="27"/>
    </row>
    <row r="65" customFormat="false" ht="13.5" hidden="false" customHeight="false" outlineLevel="0" collapsed="false">
      <c r="A65" s="75"/>
      <c r="B65" s="72"/>
      <c r="C65" s="70"/>
      <c r="D65" s="76"/>
      <c r="E65" s="76"/>
      <c r="F65" s="75"/>
      <c r="G65" s="77"/>
      <c r="H65" s="72"/>
      <c r="I65" s="78"/>
      <c r="J65" s="69"/>
      <c r="K65" s="69"/>
      <c r="L65" s="69"/>
      <c r="M65" s="69"/>
      <c r="N65" s="79"/>
      <c r="O65" s="69"/>
      <c r="P65" s="80"/>
      <c r="Q65" s="72"/>
      <c r="R65" s="75"/>
      <c r="S65" s="36"/>
      <c r="T65" s="47"/>
      <c r="U65" s="27"/>
      <c r="V65" s="27"/>
    </row>
    <row r="66" customFormat="false" ht="12.75" hidden="false" customHeight="false" outlineLevel="0" collapsed="false">
      <c r="A66" s="119" t="s">
        <v>109</v>
      </c>
      <c r="B66" s="120" t="s">
        <v>110</v>
      </c>
      <c r="C66" s="120" t="s">
        <v>111</v>
      </c>
      <c r="D66" s="121" t="s">
        <v>112</v>
      </c>
      <c r="E66" s="121"/>
      <c r="F66" s="119" t="s">
        <v>113</v>
      </c>
      <c r="G66" s="119" t="s">
        <v>114</v>
      </c>
      <c r="H66" s="120" t="s">
        <v>115</v>
      </c>
      <c r="I66" s="122" t="s">
        <v>116</v>
      </c>
      <c r="J66" s="120" t="s">
        <v>117</v>
      </c>
      <c r="K66" s="120" t="s">
        <v>118</v>
      </c>
      <c r="L66" s="120" t="s">
        <v>119</v>
      </c>
      <c r="M66" s="120" t="s">
        <v>120</v>
      </c>
      <c r="N66" s="123" t="s">
        <v>121</v>
      </c>
      <c r="O66" s="120" t="s">
        <v>122</v>
      </c>
      <c r="P66" s="124" t="s">
        <v>123</v>
      </c>
      <c r="Q66" s="120" t="s">
        <v>124</v>
      </c>
      <c r="R66" s="119" t="s">
        <v>125</v>
      </c>
      <c r="S66" s="87" t="s">
        <v>213</v>
      </c>
      <c r="T66" s="89"/>
      <c r="U66" s="89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  <c r="BI66" s="125"/>
      <c r="BJ66" s="125"/>
      <c r="BK66" s="125"/>
      <c r="BL66" s="125"/>
      <c r="BM66" s="125"/>
      <c r="BN66" s="125"/>
      <c r="BO66" s="125"/>
      <c r="BP66" s="125"/>
      <c r="BQ66" s="125"/>
      <c r="BR66" s="125"/>
      <c r="BS66" s="125"/>
      <c r="BT66" s="125"/>
      <c r="BU66" s="125"/>
      <c r="BV66" s="125"/>
      <c r="BW66" s="125"/>
      <c r="BX66" s="125"/>
      <c r="BY66" s="125"/>
      <c r="BZ66" s="125"/>
      <c r="CA66" s="125"/>
      <c r="CB66" s="125"/>
      <c r="CC66" s="125"/>
      <c r="CD66" s="125"/>
      <c r="CE66" s="125"/>
      <c r="CF66" s="125"/>
      <c r="CG66" s="125"/>
      <c r="CH66" s="125"/>
      <c r="CI66" s="125"/>
      <c r="CJ66" s="125"/>
      <c r="CK66" s="125"/>
      <c r="CL66" s="125"/>
      <c r="CM66" s="125"/>
      <c r="CN66" s="125"/>
      <c r="CO66" s="125"/>
      <c r="CP66" s="125"/>
      <c r="CQ66" s="125"/>
      <c r="CR66" s="125"/>
      <c r="CS66" s="125"/>
      <c r="CT66" s="125"/>
      <c r="CU66" s="125"/>
      <c r="CV66" s="125"/>
      <c r="CW66" s="125"/>
      <c r="CX66" s="125"/>
      <c r="CY66" s="125"/>
      <c r="CZ66" s="125"/>
      <c r="DA66" s="125"/>
      <c r="DB66" s="125"/>
      <c r="DC66" s="125"/>
      <c r="DD66" s="125"/>
      <c r="DE66" s="125"/>
      <c r="DF66" s="125"/>
      <c r="DG66" s="125"/>
      <c r="DH66" s="125"/>
      <c r="DI66" s="125"/>
      <c r="DJ66" s="125"/>
      <c r="DK66" s="125"/>
      <c r="DL66" s="125"/>
      <c r="DM66" s="125"/>
      <c r="DN66" s="125"/>
      <c r="DO66" s="125"/>
      <c r="DP66" s="125"/>
      <c r="DQ66" s="125"/>
      <c r="DR66" s="125"/>
      <c r="DS66" s="125"/>
      <c r="DT66" s="125"/>
      <c r="DU66" s="125"/>
      <c r="DV66" s="125"/>
      <c r="DW66" s="125"/>
      <c r="DX66" s="125"/>
      <c r="DY66" s="125"/>
      <c r="DZ66" s="125"/>
      <c r="EA66" s="125"/>
      <c r="EB66" s="125"/>
      <c r="EC66" s="125"/>
      <c r="ED66" s="125"/>
      <c r="EE66" s="125"/>
      <c r="EF66" s="125"/>
      <c r="EG66" s="125"/>
      <c r="EH66" s="125"/>
      <c r="EI66" s="125"/>
      <c r="EJ66" s="125"/>
      <c r="EK66" s="125"/>
      <c r="EL66" s="125"/>
      <c r="EM66" s="125"/>
      <c r="EN66" s="125"/>
      <c r="EO66" s="125"/>
      <c r="EP66" s="125"/>
      <c r="EQ66" s="125"/>
      <c r="ER66" s="125"/>
      <c r="ES66" s="125"/>
      <c r="ET66" s="125"/>
      <c r="EU66" s="125"/>
      <c r="EV66" s="125"/>
      <c r="EW66" s="125"/>
      <c r="EX66" s="125"/>
      <c r="EY66" s="125"/>
      <c r="EZ66" s="125"/>
      <c r="FA66" s="125"/>
      <c r="FB66" s="125"/>
      <c r="FC66" s="125"/>
      <c r="FD66" s="125"/>
      <c r="FE66" s="125"/>
      <c r="FF66" s="125"/>
      <c r="FG66" s="125"/>
      <c r="FH66" s="125"/>
      <c r="FI66" s="125"/>
      <c r="FJ66" s="125"/>
      <c r="FK66" s="125"/>
      <c r="FL66" s="125"/>
      <c r="FM66" s="125"/>
      <c r="FN66" s="125"/>
      <c r="FO66" s="125"/>
      <c r="FP66" s="125"/>
      <c r="FQ66" s="125"/>
      <c r="FR66" s="125"/>
      <c r="FS66" s="125"/>
      <c r="FT66" s="125"/>
      <c r="FU66" s="125"/>
      <c r="FV66" s="125"/>
      <c r="FW66" s="125"/>
      <c r="FX66" s="125"/>
      <c r="FY66" s="125"/>
      <c r="FZ66" s="125"/>
      <c r="GA66" s="125"/>
      <c r="GB66" s="125"/>
      <c r="GC66" s="125"/>
      <c r="GD66" s="125"/>
      <c r="GE66" s="125"/>
      <c r="GF66" s="125"/>
      <c r="GG66" s="125"/>
      <c r="GH66" s="125"/>
      <c r="GI66" s="125"/>
      <c r="GJ66" s="125"/>
      <c r="GK66" s="125"/>
      <c r="GL66" s="125"/>
      <c r="GM66" s="125"/>
      <c r="GN66" s="125"/>
      <c r="GO66" s="125"/>
      <c r="GP66" s="125"/>
      <c r="GQ66" s="125"/>
      <c r="GR66" s="125"/>
      <c r="GS66" s="125"/>
      <c r="GT66" s="125"/>
      <c r="GU66" s="125"/>
      <c r="GV66" s="125"/>
      <c r="GW66" s="125"/>
      <c r="GX66" s="125"/>
      <c r="GY66" s="125"/>
      <c r="GZ66" s="125"/>
      <c r="HA66" s="125"/>
      <c r="HB66" s="125"/>
      <c r="HC66" s="125"/>
      <c r="HD66" s="125"/>
      <c r="HE66" s="125"/>
      <c r="HF66" s="125"/>
      <c r="HG66" s="125"/>
      <c r="HH66" s="125"/>
      <c r="HI66" s="125"/>
      <c r="HJ66" s="125"/>
      <c r="HK66" s="125"/>
      <c r="HL66" s="125"/>
      <c r="HM66" s="125"/>
      <c r="HN66" s="125"/>
      <c r="HO66" s="125"/>
      <c r="HP66" s="125"/>
      <c r="HQ66" s="125"/>
      <c r="HR66" s="125"/>
      <c r="HS66" s="125"/>
      <c r="HT66" s="125"/>
      <c r="HU66" s="125"/>
      <c r="HV66" s="125"/>
      <c r="HW66" s="125"/>
      <c r="HX66" s="125"/>
      <c r="HY66" s="125"/>
      <c r="HZ66" s="125"/>
      <c r="IA66" s="125"/>
      <c r="IB66" s="125"/>
      <c r="IC66" s="125"/>
      <c r="ID66" s="125"/>
      <c r="IE66" s="125"/>
      <c r="IF66" s="125"/>
      <c r="IG66" s="125"/>
      <c r="IH66" s="125"/>
      <c r="II66" s="125"/>
      <c r="IJ66" s="125"/>
      <c r="IK66" s="125"/>
      <c r="IL66" s="125"/>
      <c r="IM66" s="125"/>
      <c r="IN66" s="125"/>
      <c r="IO66" s="125"/>
      <c r="IP66" s="125"/>
      <c r="IQ66" s="125"/>
      <c r="IR66" s="125"/>
      <c r="IS66" s="125"/>
      <c r="IT66" s="125"/>
      <c r="IU66" s="125"/>
      <c r="IV66" s="125"/>
      <c r="IW66" s="125"/>
    </row>
    <row r="67" customFormat="false" ht="12.75" hidden="false" customHeight="false" outlineLevel="0" collapsed="false">
      <c r="A67" s="18" t="s">
        <v>204</v>
      </c>
      <c r="B67" s="18" t="s">
        <v>214</v>
      </c>
      <c r="C67" s="19" t="s">
        <v>215</v>
      </c>
      <c r="D67" s="20" t="n">
        <v>36251</v>
      </c>
      <c r="E67" s="20" t="n">
        <v>37346</v>
      </c>
      <c r="F67" s="18" t="s">
        <v>216</v>
      </c>
      <c r="G67" s="18" t="s">
        <v>217</v>
      </c>
      <c r="H67" s="19" t="s">
        <v>9</v>
      </c>
      <c r="I67" s="22" t="n">
        <f aca="false">6.38/I$1</f>
        <v>0.212666666666667</v>
      </c>
      <c r="J67" s="22" t="n">
        <v>0.003</v>
      </c>
      <c r="K67" s="22" t="n">
        <v>0.0022</v>
      </c>
      <c r="L67" s="22" t="n">
        <v>0</v>
      </c>
      <c r="M67" s="22" t="n">
        <v>0</v>
      </c>
      <c r="N67" s="126" t="n">
        <v>0</v>
      </c>
      <c r="O67" s="22" t="n">
        <f aca="false">SUM(I67:M67)</f>
        <v>0.217866666666667</v>
      </c>
      <c r="P67" s="24" t="n">
        <v>28223</v>
      </c>
      <c r="Q67" s="19" t="n">
        <v>29750</v>
      </c>
      <c r="R67" s="18" t="s">
        <v>218</v>
      </c>
      <c r="S67" s="127" t="n">
        <f aca="false">I67*I$1*Q67</f>
        <v>189805</v>
      </c>
      <c r="T67" s="27" t="s">
        <v>219</v>
      </c>
      <c r="U67" s="27"/>
      <c r="V67" s="27" t="s">
        <v>211</v>
      </c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18" t="s">
        <v>109</v>
      </c>
      <c r="B68" s="18" t="s">
        <v>214</v>
      </c>
      <c r="C68" s="19" t="s">
        <v>220</v>
      </c>
      <c r="D68" s="20" t="n">
        <v>36923</v>
      </c>
      <c r="E68" s="20" t="n">
        <v>37802</v>
      </c>
      <c r="F68" s="18"/>
      <c r="G68" s="18"/>
      <c r="H68" s="19" t="s">
        <v>9</v>
      </c>
      <c r="I68" s="22" t="n">
        <f aca="false">1.3566/I1</f>
        <v>0.04522</v>
      </c>
      <c r="J68" s="22" t="n">
        <v>0.003</v>
      </c>
      <c r="K68" s="22" t="n">
        <v>0.0022</v>
      </c>
      <c r="L68" s="22" t="n">
        <v>0</v>
      </c>
      <c r="M68" s="22" t="n">
        <v>0</v>
      </c>
      <c r="N68" s="126" t="n">
        <v>0</v>
      </c>
      <c r="O68" s="22" t="n">
        <f aca="false">SUM(I68:M68)</f>
        <v>0.05042</v>
      </c>
      <c r="P68" s="24" t="n">
        <v>28754</v>
      </c>
      <c r="Q68" s="19" t="n">
        <v>15000</v>
      </c>
      <c r="R68" s="18" t="s">
        <v>221</v>
      </c>
      <c r="S68" s="127" t="n">
        <f aca="false">I68*I$1*Q68</f>
        <v>20349</v>
      </c>
      <c r="T68" s="27" t="n">
        <v>592256</v>
      </c>
      <c r="U68" s="27"/>
      <c r="V68" s="27" t="s">
        <v>211</v>
      </c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18"/>
      <c r="B69" s="19"/>
      <c r="C69" s="19"/>
      <c r="D69" s="20"/>
      <c r="E69" s="20"/>
      <c r="F69" s="18"/>
      <c r="G69" s="18"/>
      <c r="H69" s="19"/>
      <c r="I69" s="21"/>
      <c r="J69" s="22"/>
      <c r="K69" s="69"/>
      <c r="L69" s="22"/>
      <c r="M69" s="22"/>
      <c r="N69" s="126"/>
      <c r="O69" s="22"/>
      <c r="P69" s="24"/>
      <c r="Q69" s="19"/>
      <c r="R69" s="19"/>
      <c r="S69" s="128"/>
      <c r="T69" s="27"/>
      <c r="U69" s="27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18"/>
      <c r="B70" s="19"/>
      <c r="C70" s="19"/>
      <c r="D70" s="20"/>
      <c r="E70" s="20"/>
      <c r="F70" s="18"/>
      <c r="G70" s="18"/>
      <c r="H70" s="19"/>
      <c r="I70" s="21"/>
      <c r="J70" s="22"/>
      <c r="K70" s="22"/>
      <c r="L70" s="22"/>
      <c r="M70" s="22"/>
      <c r="N70" s="23"/>
      <c r="O70" s="22"/>
      <c r="P70" s="24"/>
      <c r="Q70" s="70" t="n">
        <f aca="false">SUM(Q67:Q69)</f>
        <v>44750</v>
      </c>
      <c r="R70" s="75" t="s">
        <v>185</v>
      </c>
      <c r="S70" s="36" t="n">
        <f aca="false">SUM(S67:S69)</f>
        <v>210154</v>
      </c>
      <c r="T70" s="26"/>
      <c r="U70" s="27"/>
      <c r="V70" s="27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18"/>
      <c r="B71" s="19"/>
      <c r="C71" s="19"/>
      <c r="D71" s="20"/>
      <c r="E71" s="20"/>
      <c r="F71" s="18"/>
      <c r="G71" s="18"/>
      <c r="H71" s="19"/>
      <c r="I71" s="21"/>
      <c r="J71" s="22"/>
      <c r="K71" s="22"/>
      <c r="L71" s="22"/>
      <c r="M71" s="22"/>
      <c r="N71" s="23"/>
      <c r="O71" s="22"/>
      <c r="P71" s="24"/>
      <c r="Q71" s="72"/>
      <c r="R71" s="75" t="s">
        <v>186</v>
      </c>
      <c r="S71" s="36" t="n">
        <f aca="false">+S67</f>
        <v>189805</v>
      </c>
      <c r="T71" s="26"/>
      <c r="U71" s="27"/>
      <c r="V71" s="27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3.5" hidden="false" customHeight="false" outlineLevel="0" collapsed="false">
      <c r="A72" s="18"/>
      <c r="B72" s="19"/>
      <c r="C72" s="19"/>
      <c r="D72" s="20"/>
      <c r="E72" s="20"/>
      <c r="F72" s="18"/>
      <c r="G72" s="18"/>
      <c r="H72" s="19"/>
      <c r="I72" s="21"/>
      <c r="J72" s="22"/>
      <c r="K72" s="22"/>
      <c r="L72" s="22"/>
      <c r="M72" s="22"/>
      <c r="N72" s="23"/>
      <c r="O72" s="22"/>
      <c r="P72" s="24"/>
      <c r="Q72" s="72"/>
      <c r="R72" s="75" t="s">
        <v>187</v>
      </c>
      <c r="S72" s="104" t="n">
        <f aca="false">+S70-S71</f>
        <v>20349</v>
      </c>
      <c r="T72" s="26"/>
      <c r="U72" s="27"/>
      <c r="V72" s="27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3.5" hidden="false" customHeight="false" outlineLevel="0" collapsed="false">
      <c r="A73" s="57"/>
      <c r="B73" s="59"/>
      <c r="C73" s="59"/>
      <c r="D73" s="60"/>
      <c r="E73" s="60"/>
      <c r="F73" s="57"/>
      <c r="G73" s="57"/>
      <c r="H73" s="59"/>
      <c r="I73" s="62"/>
      <c r="J73" s="63"/>
      <c r="K73" s="63"/>
      <c r="L73" s="63"/>
      <c r="M73" s="63"/>
      <c r="N73" s="64"/>
      <c r="O73" s="63"/>
      <c r="P73" s="129"/>
      <c r="Q73" s="59"/>
      <c r="R73" s="57"/>
      <c r="S73" s="68"/>
      <c r="T73" s="130"/>
      <c r="U73" s="131"/>
      <c r="V73" s="131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Q73" s="132"/>
      <c r="BR73" s="132"/>
      <c r="BS73" s="132"/>
      <c r="BT73" s="132"/>
      <c r="BU73" s="132"/>
      <c r="BV73" s="132"/>
      <c r="BW73" s="132"/>
      <c r="BX73" s="132"/>
      <c r="BY73" s="132"/>
      <c r="BZ73" s="132"/>
      <c r="CA73" s="132"/>
      <c r="CB73" s="132"/>
      <c r="CC73" s="132"/>
      <c r="CD73" s="132"/>
      <c r="CE73" s="132"/>
      <c r="CF73" s="132"/>
      <c r="CG73" s="132"/>
      <c r="CH73" s="132"/>
      <c r="CI73" s="132"/>
      <c r="CJ73" s="132"/>
      <c r="CK73" s="132"/>
      <c r="CL73" s="132"/>
      <c r="CM73" s="132"/>
      <c r="CN73" s="132"/>
      <c r="CO73" s="132"/>
      <c r="CP73" s="132"/>
      <c r="CQ73" s="132"/>
      <c r="CR73" s="132"/>
      <c r="CS73" s="132"/>
      <c r="CT73" s="132"/>
      <c r="CU73" s="132"/>
      <c r="CV73" s="132"/>
      <c r="CW73" s="132"/>
      <c r="CX73" s="132"/>
      <c r="CY73" s="132"/>
      <c r="CZ73" s="132"/>
      <c r="DA73" s="132"/>
      <c r="DB73" s="132"/>
      <c r="DC73" s="132"/>
      <c r="DD73" s="132"/>
      <c r="DE73" s="132"/>
      <c r="DF73" s="132"/>
      <c r="DG73" s="132"/>
      <c r="DH73" s="132"/>
      <c r="DI73" s="132"/>
      <c r="DJ73" s="132"/>
      <c r="DK73" s="132"/>
      <c r="DL73" s="132"/>
      <c r="DM73" s="132"/>
      <c r="DN73" s="132"/>
      <c r="DO73" s="132"/>
      <c r="DP73" s="132"/>
      <c r="DQ73" s="132"/>
      <c r="DR73" s="132"/>
      <c r="DS73" s="132"/>
      <c r="DT73" s="132"/>
      <c r="DU73" s="132"/>
      <c r="DV73" s="132"/>
      <c r="DW73" s="132"/>
      <c r="DX73" s="132"/>
      <c r="DY73" s="132"/>
      <c r="DZ73" s="132"/>
      <c r="EA73" s="132"/>
      <c r="EB73" s="132"/>
      <c r="EC73" s="132"/>
      <c r="ED73" s="132"/>
      <c r="EE73" s="132"/>
      <c r="EF73" s="132"/>
      <c r="EG73" s="132"/>
      <c r="EH73" s="132"/>
      <c r="EI73" s="132"/>
      <c r="EJ73" s="132"/>
      <c r="EK73" s="132"/>
      <c r="EL73" s="132"/>
      <c r="EM73" s="132"/>
      <c r="EN73" s="132"/>
      <c r="EO73" s="132"/>
      <c r="EP73" s="132"/>
      <c r="EQ73" s="132"/>
      <c r="ER73" s="132"/>
      <c r="ES73" s="132"/>
      <c r="ET73" s="132"/>
      <c r="EU73" s="132"/>
      <c r="EV73" s="132"/>
      <c r="EW73" s="132"/>
      <c r="EX73" s="132"/>
      <c r="EY73" s="132"/>
      <c r="EZ73" s="132"/>
      <c r="FA73" s="132"/>
      <c r="FB73" s="132"/>
      <c r="FC73" s="132"/>
      <c r="FD73" s="132"/>
      <c r="FE73" s="132"/>
      <c r="FF73" s="132"/>
      <c r="FG73" s="132"/>
      <c r="FH73" s="132"/>
      <c r="FI73" s="132"/>
      <c r="FJ73" s="132"/>
      <c r="FK73" s="132"/>
      <c r="FL73" s="132"/>
      <c r="FM73" s="132"/>
      <c r="FN73" s="132"/>
      <c r="FO73" s="132"/>
      <c r="FP73" s="132"/>
      <c r="FQ73" s="132"/>
      <c r="FR73" s="132"/>
      <c r="FS73" s="132"/>
      <c r="FT73" s="132"/>
      <c r="FU73" s="132"/>
      <c r="FV73" s="132"/>
      <c r="FW73" s="132"/>
      <c r="FX73" s="132"/>
      <c r="FY73" s="132"/>
      <c r="FZ73" s="132"/>
      <c r="GA73" s="132"/>
      <c r="GB73" s="132"/>
      <c r="GC73" s="132"/>
      <c r="GD73" s="132"/>
      <c r="GE73" s="132"/>
      <c r="GF73" s="132"/>
      <c r="GG73" s="132"/>
      <c r="GH73" s="132"/>
      <c r="GI73" s="132"/>
      <c r="GJ73" s="132"/>
      <c r="GK73" s="132"/>
      <c r="GL73" s="132"/>
      <c r="GM73" s="132"/>
      <c r="GN73" s="132"/>
      <c r="GO73" s="132"/>
      <c r="GP73" s="132"/>
      <c r="GQ73" s="132"/>
      <c r="GR73" s="132"/>
      <c r="GS73" s="132"/>
      <c r="GT73" s="132"/>
      <c r="GU73" s="132"/>
      <c r="GV73" s="132"/>
      <c r="GW73" s="132"/>
      <c r="GX73" s="132"/>
      <c r="GY73" s="132"/>
      <c r="GZ73" s="132"/>
      <c r="HA73" s="132"/>
      <c r="HB73" s="132"/>
      <c r="HC73" s="132"/>
      <c r="HD73" s="132"/>
      <c r="HE73" s="132"/>
      <c r="HF73" s="132"/>
      <c r="HG73" s="132"/>
      <c r="HH73" s="132"/>
      <c r="HI73" s="132"/>
      <c r="HJ73" s="132"/>
      <c r="HK73" s="132"/>
      <c r="HL73" s="132"/>
      <c r="HM73" s="132"/>
      <c r="HN73" s="132"/>
      <c r="HO73" s="132"/>
      <c r="HP73" s="132"/>
      <c r="HQ73" s="132"/>
      <c r="HR73" s="132"/>
      <c r="HS73" s="132"/>
      <c r="HT73" s="132"/>
      <c r="HU73" s="132"/>
      <c r="HV73" s="132"/>
      <c r="HW73" s="132"/>
      <c r="HX73" s="132"/>
      <c r="HY73" s="132"/>
      <c r="HZ73" s="132"/>
      <c r="IA73" s="132"/>
      <c r="IB73" s="132"/>
      <c r="IC73" s="132"/>
      <c r="ID73" s="132"/>
      <c r="IE73" s="132"/>
      <c r="IF73" s="132"/>
      <c r="IG73" s="132"/>
      <c r="IH73" s="132"/>
      <c r="II73" s="132"/>
      <c r="IJ73" s="132"/>
      <c r="IK73" s="132"/>
      <c r="IL73" s="132"/>
      <c r="IM73" s="132"/>
      <c r="IN73" s="132"/>
      <c r="IO73" s="132"/>
      <c r="IP73" s="132"/>
      <c r="IQ73" s="132"/>
      <c r="IR73" s="132"/>
      <c r="IS73" s="132"/>
      <c r="IT73" s="132"/>
      <c r="IU73" s="132"/>
      <c r="IV73" s="132"/>
      <c r="IW73" s="132"/>
    </row>
    <row r="74" customFormat="false" ht="12.75" hidden="false" customHeight="false" outlineLevel="0" collapsed="false">
      <c r="A74" s="49" t="s">
        <v>109</v>
      </c>
      <c r="B74" s="50" t="s">
        <v>110</v>
      </c>
      <c r="C74" s="50" t="s">
        <v>111</v>
      </c>
      <c r="D74" s="51" t="s">
        <v>112</v>
      </c>
      <c r="E74" s="51"/>
      <c r="F74" s="49" t="s">
        <v>113</v>
      </c>
      <c r="G74" s="49" t="s">
        <v>114</v>
      </c>
      <c r="H74" s="50" t="s">
        <v>222</v>
      </c>
      <c r="I74" s="52" t="s">
        <v>116</v>
      </c>
      <c r="J74" s="50" t="s">
        <v>117</v>
      </c>
      <c r="K74" s="50" t="s">
        <v>118</v>
      </c>
      <c r="L74" s="50" t="s">
        <v>119</v>
      </c>
      <c r="M74" s="50" t="s">
        <v>120</v>
      </c>
      <c r="N74" s="53" t="s">
        <v>121</v>
      </c>
      <c r="O74" s="50" t="s">
        <v>122</v>
      </c>
      <c r="P74" s="133" t="s">
        <v>149</v>
      </c>
      <c r="Q74" s="50" t="s">
        <v>124</v>
      </c>
      <c r="R74" s="49" t="s">
        <v>125</v>
      </c>
      <c r="S74" s="134" t="s">
        <v>126</v>
      </c>
      <c r="T74" s="55" t="s">
        <v>127</v>
      </c>
      <c r="U74" s="56" t="s">
        <v>150</v>
      </c>
      <c r="V74" s="27"/>
      <c r="W74" s="27"/>
    </row>
    <row r="75" customFormat="false" ht="12.75" hidden="false" customHeight="false" outlineLevel="0" collapsed="false">
      <c r="A75" s="18" t="s">
        <v>223</v>
      </c>
      <c r="B75" s="19" t="s">
        <v>224</v>
      </c>
      <c r="C75" s="19" t="s">
        <v>224</v>
      </c>
      <c r="D75" s="20" t="n">
        <v>36100</v>
      </c>
      <c r="E75" s="20" t="n">
        <v>39022</v>
      </c>
      <c r="F75" s="18" t="n">
        <v>1</v>
      </c>
      <c r="G75" s="18" t="n">
        <v>2</v>
      </c>
      <c r="H75" s="19" t="s">
        <v>155</v>
      </c>
      <c r="I75" s="21" t="n">
        <f aca="false">(14.1123+0.2)/I$1</f>
        <v>0.477076666666667</v>
      </c>
      <c r="J75" s="22" t="n">
        <v>0.0054</v>
      </c>
      <c r="K75" s="22" t="n">
        <v>0.0022</v>
      </c>
      <c r="L75" s="22" t="n">
        <v>0.0075</v>
      </c>
      <c r="M75" s="22" t="n">
        <v>0.0012</v>
      </c>
      <c r="N75" s="126" t="n">
        <v>0.007</v>
      </c>
      <c r="O75" s="22" t="n">
        <f aca="false">SUM(I75:M75)</f>
        <v>0.493376666666667</v>
      </c>
      <c r="P75" s="24" t="s">
        <v>225</v>
      </c>
      <c r="Q75" s="19" t="n">
        <v>2017</v>
      </c>
      <c r="R75" s="18" t="s">
        <v>226</v>
      </c>
      <c r="S75" s="25" t="n">
        <f aca="false">I75*I$1*Q75</f>
        <v>28867.9091</v>
      </c>
      <c r="T75" s="25"/>
      <c r="U75" s="27" t="n">
        <v>77758</v>
      </c>
      <c r="V75" s="27"/>
      <c r="W75" s="4" t="s">
        <v>157</v>
      </c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18" t="s">
        <v>223</v>
      </c>
      <c r="B76" s="19" t="s">
        <v>224</v>
      </c>
      <c r="C76" s="19" t="s">
        <v>227</v>
      </c>
      <c r="D76" s="20" t="n">
        <v>36100</v>
      </c>
      <c r="E76" s="20" t="n">
        <v>39539</v>
      </c>
      <c r="F76" s="18" t="s">
        <v>228</v>
      </c>
      <c r="G76" s="18" t="s">
        <v>229</v>
      </c>
      <c r="H76" s="19" t="s">
        <v>9</v>
      </c>
      <c r="I76" s="21" t="n">
        <f aca="false">(8.5058)/I$1</f>
        <v>0.283526666666667</v>
      </c>
      <c r="J76" s="22" t="n">
        <v>0.003</v>
      </c>
      <c r="K76" s="22" t="n">
        <v>0.0022</v>
      </c>
      <c r="L76" s="22" t="n">
        <v>0</v>
      </c>
      <c r="M76" s="22" t="n">
        <v>0.0007</v>
      </c>
      <c r="N76" s="126" t="n">
        <v>0</v>
      </c>
      <c r="O76" s="22" t="n">
        <f aca="false">SUM(I76:M76)</f>
        <v>0.289426666666667</v>
      </c>
      <c r="P76" s="24" t="s">
        <v>230</v>
      </c>
      <c r="Q76" s="19" t="n">
        <v>35465</v>
      </c>
      <c r="R76" s="18" t="s">
        <v>231</v>
      </c>
      <c r="S76" s="25" t="n">
        <f aca="false">I76*I$1*Q76</f>
        <v>301658.197</v>
      </c>
      <c r="T76" s="25"/>
      <c r="U76" s="27" t="n">
        <v>77729</v>
      </c>
      <c r="V76" s="27"/>
      <c r="W76" s="4" t="s">
        <v>232</v>
      </c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18"/>
      <c r="B77" s="19"/>
      <c r="C77" s="19"/>
      <c r="D77" s="20"/>
      <c r="E77" s="20"/>
      <c r="F77" s="18"/>
      <c r="G77" s="18"/>
      <c r="H77" s="19"/>
      <c r="I77" s="21"/>
      <c r="J77" s="22"/>
      <c r="K77" s="22"/>
      <c r="L77" s="22"/>
      <c r="M77" s="22"/>
      <c r="N77" s="126"/>
      <c r="O77" s="22"/>
      <c r="P77" s="24"/>
      <c r="Q77" s="19"/>
      <c r="R77" s="18"/>
      <c r="S77" s="25"/>
      <c r="T77" s="25"/>
      <c r="U77" s="27"/>
      <c r="V77" s="27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18"/>
      <c r="B78" s="19"/>
      <c r="C78" s="19"/>
      <c r="D78" s="20"/>
      <c r="E78" s="20"/>
      <c r="F78" s="18"/>
      <c r="G78" s="18"/>
      <c r="H78" s="19"/>
      <c r="I78" s="21"/>
      <c r="J78" s="22"/>
      <c r="K78" s="22"/>
      <c r="L78" s="22"/>
      <c r="M78" s="22"/>
      <c r="N78" s="23"/>
      <c r="O78" s="22"/>
      <c r="P78" s="24"/>
      <c r="Q78" s="70" t="n">
        <f aca="false">SUM(Q75:Q77)</f>
        <v>37482</v>
      </c>
      <c r="R78" s="75" t="s">
        <v>185</v>
      </c>
      <c r="S78" s="36" t="n">
        <f aca="false">SUM(S75:S77)</f>
        <v>330526.1061</v>
      </c>
      <c r="T78" s="25"/>
      <c r="U78" s="26"/>
      <c r="V78" s="27"/>
      <c r="W78" s="27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18"/>
      <c r="B79" s="19"/>
      <c r="C79" s="19"/>
      <c r="D79" s="20"/>
      <c r="E79" s="20"/>
      <c r="F79" s="18"/>
      <c r="G79" s="18"/>
      <c r="H79" s="19"/>
      <c r="I79" s="21"/>
      <c r="J79" s="22"/>
      <c r="K79" s="22"/>
      <c r="L79" s="22"/>
      <c r="M79" s="22"/>
      <c r="N79" s="23"/>
      <c r="O79" s="22"/>
      <c r="P79" s="24"/>
      <c r="Q79" s="72"/>
      <c r="R79" s="75" t="s">
        <v>186</v>
      </c>
      <c r="S79" s="36" t="n">
        <f aca="false">SUM(S76)</f>
        <v>301658.197</v>
      </c>
      <c r="T79" s="25"/>
      <c r="U79" s="26"/>
      <c r="V79" s="27"/>
      <c r="W79" s="27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3.5" hidden="false" customHeight="false" outlineLevel="0" collapsed="false">
      <c r="A80" s="18"/>
      <c r="B80" s="19"/>
      <c r="C80" s="19"/>
      <c r="D80" s="20"/>
      <c r="E80" s="20"/>
      <c r="F80" s="18"/>
      <c r="G80" s="18"/>
      <c r="H80" s="19"/>
      <c r="I80" s="21"/>
      <c r="J80" s="22"/>
      <c r="K80" s="22"/>
      <c r="L80" s="22"/>
      <c r="M80" s="22"/>
      <c r="N80" s="23"/>
      <c r="O80" s="22"/>
      <c r="P80" s="24"/>
      <c r="Q80" s="72"/>
      <c r="R80" s="75" t="s">
        <v>187</v>
      </c>
      <c r="S80" s="104" t="n">
        <f aca="false">+S78-S79</f>
        <v>28867.9091</v>
      </c>
      <c r="T80" s="25"/>
      <c r="U80" s="26"/>
      <c r="V80" s="27"/>
      <c r="W80" s="27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3.5" hidden="false" customHeight="false" outlineLevel="0" collapsed="false">
      <c r="A81" s="18"/>
      <c r="B81" s="19"/>
      <c r="C81" s="19"/>
      <c r="D81" s="20"/>
      <c r="E81" s="20"/>
      <c r="F81" s="18"/>
      <c r="G81" s="18"/>
      <c r="H81" s="19"/>
      <c r="I81" s="21"/>
      <c r="J81" s="22"/>
      <c r="K81" s="22"/>
      <c r="L81" s="22"/>
      <c r="M81" s="22"/>
      <c r="N81" s="23"/>
      <c r="O81" s="22"/>
      <c r="P81" s="24"/>
      <c r="Q81" s="19"/>
      <c r="R81" s="18"/>
      <c r="S81" s="25"/>
      <c r="T81" s="25"/>
      <c r="U81" s="26"/>
      <c r="V81" s="27"/>
      <c r="W81" s="27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57"/>
      <c r="B82" s="59"/>
      <c r="C82" s="59"/>
      <c r="D82" s="60"/>
      <c r="E82" s="60"/>
      <c r="F82" s="57"/>
      <c r="G82" s="57"/>
      <c r="H82" s="59"/>
      <c r="I82" s="62"/>
      <c r="J82" s="63"/>
      <c r="K82" s="63"/>
      <c r="L82" s="63"/>
      <c r="M82" s="63"/>
      <c r="N82" s="64"/>
      <c r="O82" s="63"/>
      <c r="P82" s="129"/>
      <c r="Q82" s="59"/>
      <c r="R82" s="57"/>
      <c r="S82" s="68"/>
      <c r="T82" s="130"/>
      <c r="U82" s="131"/>
      <c r="V82" s="131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132"/>
      <c r="CZ82" s="132"/>
      <c r="DA82" s="132"/>
      <c r="DB82" s="132"/>
      <c r="DC82" s="132"/>
      <c r="DD82" s="132"/>
      <c r="DE82" s="132"/>
      <c r="DF82" s="132"/>
      <c r="DG82" s="132"/>
      <c r="DH82" s="132"/>
      <c r="DI82" s="132"/>
      <c r="DJ82" s="132"/>
      <c r="DK82" s="132"/>
      <c r="DL82" s="132"/>
      <c r="DM82" s="132"/>
      <c r="DN82" s="132"/>
      <c r="DO82" s="132"/>
      <c r="DP82" s="132"/>
      <c r="DQ82" s="132"/>
      <c r="DR82" s="132"/>
      <c r="DS82" s="132"/>
      <c r="DT82" s="132"/>
      <c r="DU82" s="132"/>
      <c r="DV82" s="132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2"/>
      <c r="FF82" s="132"/>
      <c r="FG82" s="132"/>
      <c r="FH82" s="132"/>
      <c r="FI82" s="132"/>
      <c r="FJ82" s="132"/>
      <c r="FK82" s="132"/>
      <c r="FL82" s="132"/>
      <c r="FM82" s="132"/>
      <c r="FN82" s="132"/>
      <c r="FO82" s="132"/>
      <c r="FP82" s="132"/>
      <c r="FQ82" s="132"/>
      <c r="FR82" s="132"/>
      <c r="FS82" s="132"/>
      <c r="FT82" s="132"/>
      <c r="FU82" s="132"/>
      <c r="FV82" s="132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132"/>
      <c r="IK82" s="132"/>
      <c r="IL82" s="132"/>
      <c r="IM82" s="132"/>
      <c r="IN82" s="132"/>
      <c r="IO82" s="132"/>
      <c r="IP82" s="132"/>
      <c r="IQ82" s="132"/>
      <c r="IR82" s="132"/>
      <c r="IS82" s="132"/>
      <c r="IT82" s="132"/>
      <c r="IU82" s="132"/>
      <c r="IV82" s="132"/>
      <c r="IW82" s="132"/>
    </row>
    <row r="83" customFormat="false" ht="12.75" hidden="false" customHeight="false" outlineLevel="0" collapsed="false">
      <c r="A83" s="18"/>
      <c r="B83" s="19"/>
      <c r="C83" s="19"/>
      <c r="D83" s="20"/>
      <c r="E83" s="20"/>
      <c r="F83" s="18"/>
      <c r="G83" s="18"/>
      <c r="H83" s="19"/>
      <c r="I83" s="21"/>
      <c r="J83" s="22"/>
      <c r="K83" s="22"/>
      <c r="L83" s="22"/>
      <c r="M83" s="22"/>
      <c r="N83" s="23"/>
      <c r="O83" s="22"/>
      <c r="P83" s="24"/>
      <c r="Q83" s="19"/>
      <c r="R83" s="18"/>
      <c r="S83" s="25"/>
      <c r="T83" s="26"/>
      <c r="U83" s="27"/>
      <c r="V83" s="27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119" t="s">
        <v>109</v>
      </c>
      <c r="B84" s="120" t="s">
        <v>110</v>
      </c>
      <c r="C84" s="120" t="s">
        <v>111</v>
      </c>
      <c r="D84" s="121" t="s">
        <v>112</v>
      </c>
      <c r="E84" s="121"/>
      <c r="F84" s="119" t="s">
        <v>113</v>
      </c>
      <c r="G84" s="119" t="s">
        <v>114</v>
      </c>
      <c r="H84" s="120" t="s">
        <v>115</v>
      </c>
      <c r="I84" s="122" t="s">
        <v>116</v>
      </c>
      <c r="J84" s="120" t="s">
        <v>117</v>
      </c>
      <c r="K84" s="120" t="s">
        <v>118</v>
      </c>
      <c r="L84" s="120" t="s">
        <v>119</v>
      </c>
      <c r="M84" s="120" t="s">
        <v>120</v>
      </c>
      <c r="N84" s="123" t="s">
        <v>121</v>
      </c>
      <c r="O84" s="120" t="s">
        <v>122</v>
      </c>
      <c r="P84" s="124" t="s">
        <v>123</v>
      </c>
      <c r="Q84" s="120" t="s">
        <v>124</v>
      </c>
      <c r="R84" s="119" t="s">
        <v>125</v>
      </c>
      <c r="S84" s="87" t="s">
        <v>213</v>
      </c>
      <c r="T84" s="87" t="s">
        <v>233</v>
      </c>
      <c r="U84" s="89"/>
      <c r="V84" s="89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  <c r="BT84" s="125"/>
      <c r="BU84" s="125"/>
      <c r="BV84" s="125"/>
      <c r="BW84" s="125"/>
      <c r="BX84" s="125"/>
      <c r="BY84" s="125"/>
      <c r="BZ84" s="125"/>
      <c r="CA84" s="125"/>
      <c r="CB84" s="125"/>
      <c r="CC84" s="125"/>
      <c r="CD84" s="125"/>
      <c r="CE84" s="125"/>
      <c r="CF84" s="125"/>
      <c r="CG84" s="125"/>
      <c r="CH84" s="125"/>
      <c r="CI84" s="125"/>
      <c r="CJ84" s="125"/>
      <c r="CK84" s="125"/>
      <c r="CL84" s="125"/>
      <c r="CM84" s="125"/>
      <c r="CN84" s="125"/>
      <c r="CO84" s="125"/>
      <c r="CP84" s="125"/>
      <c r="CQ84" s="125"/>
      <c r="CR84" s="125"/>
      <c r="CS84" s="125"/>
      <c r="CT84" s="125"/>
      <c r="CU84" s="125"/>
      <c r="CV84" s="125"/>
      <c r="CW84" s="125"/>
      <c r="CX84" s="125"/>
      <c r="CY84" s="125"/>
      <c r="CZ84" s="125"/>
      <c r="DA84" s="125"/>
      <c r="DB84" s="125"/>
      <c r="DC84" s="125"/>
      <c r="DD84" s="125"/>
      <c r="DE84" s="125"/>
      <c r="DF84" s="125"/>
      <c r="DG84" s="125"/>
      <c r="DH84" s="125"/>
      <c r="DI84" s="125"/>
      <c r="DJ84" s="125"/>
      <c r="DK84" s="125"/>
      <c r="DL84" s="125"/>
      <c r="DM84" s="125"/>
      <c r="DN84" s="125"/>
      <c r="DO84" s="125"/>
      <c r="DP84" s="125"/>
      <c r="DQ84" s="125"/>
      <c r="DR84" s="125"/>
      <c r="DS84" s="125"/>
      <c r="DT84" s="125"/>
      <c r="DU84" s="125"/>
      <c r="DV84" s="125"/>
      <c r="DW84" s="125"/>
      <c r="DX84" s="125"/>
      <c r="DY84" s="125"/>
      <c r="DZ84" s="125"/>
      <c r="EA84" s="125"/>
      <c r="EB84" s="125"/>
      <c r="EC84" s="125"/>
      <c r="ED84" s="125"/>
      <c r="EE84" s="125"/>
      <c r="EF84" s="125"/>
      <c r="EG84" s="125"/>
      <c r="EH84" s="125"/>
      <c r="EI84" s="125"/>
      <c r="EJ84" s="125"/>
      <c r="EK84" s="125"/>
      <c r="EL84" s="125"/>
      <c r="EM84" s="125"/>
      <c r="EN84" s="125"/>
      <c r="EO84" s="125"/>
      <c r="EP84" s="125"/>
      <c r="EQ84" s="125"/>
      <c r="ER84" s="125"/>
      <c r="ES84" s="125"/>
      <c r="ET84" s="125"/>
      <c r="EU84" s="125"/>
      <c r="EV84" s="125"/>
      <c r="EW84" s="125"/>
      <c r="EX84" s="125"/>
      <c r="EY84" s="125"/>
      <c r="EZ84" s="125"/>
      <c r="FA84" s="125"/>
      <c r="FB84" s="125"/>
      <c r="FC84" s="125"/>
      <c r="FD84" s="125"/>
      <c r="FE84" s="125"/>
      <c r="FF84" s="125"/>
      <c r="FG84" s="125"/>
      <c r="FH84" s="125"/>
      <c r="FI84" s="125"/>
      <c r="FJ84" s="125"/>
      <c r="FK84" s="125"/>
      <c r="FL84" s="125"/>
      <c r="FM84" s="125"/>
      <c r="FN84" s="125"/>
      <c r="FO84" s="125"/>
      <c r="FP84" s="125"/>
      <c r="FQ84" s="125"/>
      <c r="FR84" s="125"/>
      <c r="FS84" s="125"/>
      <c r="FT84" s="125"/>
      <c r="FU84" s="125"/>
      <c r="FV84" s="125"/>
      <c r="FW84" s="125"/>
      <c r="FX84" s="125"/>
      <c r="FY84" s="125"/>
      <c r="FZ84" s="125"/>
      <c r="GA84" s="125"/>
      <c r="GB84" s="125"/>
      <c r="GC84" s="125"/>
      <c r="GD84" s="125"/>
      <c r="GE84" s="125"/>
      <c r="GF84" s="125"/>
      <c r="GG84" s="125"/>
      <c r="GH84" s="125"/>
      <c r="GI84" s="125"/>
      <c r="GJ84" s="125"/>
      <c r="GK84" s="125"/>
      <c r="GL84" s="125"/>
      <c r="GM84" s="125"/>
      <c r="GN84" s="125"/>
      <c r="GO84" s="125"/>
      <c r="GP84" s="125"/>
      <c r="GQ84" s="125"/>
      <c r="GR84" s="125"/>
      <c r="GS84" s="125"/>
      <c r="GT84" s="125"/>
      <c r="GU84" s="125"/>
      <c r="GV84" s="125"/>
      <c r="GW84" s="125"/>
      <c r="GX84" s="125"/>
      <c r="GY84" s="125"/>
      <c r="GZ84" s="125"/>
      <c r="HA84" s="125"/>
      <c r="HB84" s="125"/>
      <c r="HC84" s="125"/>
      <c r="HD84" s="125"/>
      <c r="HE84" s="125"/>
      <c r="HF84" s="125"/>
      <c r="HG84" s="125"/>
      <c r="HH84" s="125"/>
      <c r="HI84" s="125"/>
      <c r="HJ84" s="125"/>
      <c r="HK84" s="125"/>
      <c r="HL84" s="125"/>
      <c r="HM84" s="125"/>
      <c r="HN84" s="125"/>
      <c r="HO84" s="125"/>
      <c r="HP84" s="125"/>
      <c r="HQ84" s="125"/>
      <c r="HR84" s="125"/>
      <c r="HS84" s="125"/>
      <c r="HT84" s="125"/>
      <c r="HU84" s="125"/>
      <c r="HV84" s="125"/>
      <c r="HW84" s="125"/>
      <c r="HX84" s="125"/>
      <c r="HY84" s="125"/>
      <c r="HZ84" s="125"/>
      <c r="IA84" s="125"/>
      <c r="IB84" s="125"/>
      <c r="IC84" s="125"/>
      <c r="ID84" s="125"/>
      <c r="IE84" s="125"/>
      <c r="IF84" s="125"/>
      <c r="IG84" s="125"/>
      <c r="IH84" s="125"/>
      <c r="II84" s="125"/>
      <c r="IJ84" s="125"/>
      <c r="IK84" s="125"/>
      <c r="IL84" s="125"/>
      <c r="IM84" s="125"/>
      <c r="IN84" s="125"/>
      <c r="IO84" s="125"/>
      <c r="IP84" s="125"/>
      <c r="IQ84" s="125"/>
      <c r="IR84" s="125"/>
      <c r="IS84" s="125"/>
      <c r="IT84" s="125"/>
      <c r="IU84" s="125"/>
      <c r="IV84" s="125"/>
      <c r="IW84" s="125"/>
    </row>
    <row r="85" customFormat="false" ht="12.75" hidden="false" customHeight="false" outlineLevel="0" collapsed="false">
      <c r="A85" s="18" t="s">
        <v>223</v>
      </c>
      <c r="B85" s="19" t="s">
        <v>234</v>
      </c>
      <c r="C85" s="19" t="s">
        <v>235</v>
      </c>
      <c r="D85" s="20" t="n">
        <v>36100</v>
      </c>
      <c r="E85" s="20" t="n">
        <v>39387</v>
      </c>
      <c r="F85" s="18" t="s">
        <v>236</v>
      </c>
      <c r="G85" s="18" t="s">
        <v>237</v>
      </c>
      <c r="H85" s="19" t="s">
        <v>9</v>
      </c>
      <c r="I85" s="22" t="n">
        <f aca="false">6.1038/I$1</f>
        <v>0.20346</v>
      </c>
      <c r="J85" s="22" t="n">
        <v>0.0013</v>
      </c>
      <c r="K85" s="22" t="n">
        <v>0.0022</v>
      </c>
      <c r="L85" s="22" t="n">
        <v>0</v>
      </c>
      <c r="M85" s="22" t="n">
        <v>0</v>
      </c>
      <c r="N85" s="126" t="n">
        <v>0.02</v>
      </c>
      <c r="O85" s="22" t="n">
        <f aca="false">SUM(I85:M85)</f>
        <v>0.20696</v>
      </c>
      <c r="P85" s="24" t="s">
        <v>238</v>
      </c>
      <c r="Q85" s="19" t="n">
        <v>117</v>
      </c>
      <c r="R85" s="18" t="s">
        <v>239</v>
      </c>
      <c r="S85" s="25" t="n">
        <f aca="false">I85*I$1*Q85</f>
        <v>714.1446</v>
      </c>
      <c r="T85" s="127"/>
      <c r="U85" s="27" t="n">
        <v>79923</v>
      </c>
      <c r="V85" s="27"/>
      <c r="W85" s="4" t="s">
        <v>240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18" t="s">
        <v>223</v>
      </c>
      <c r="B86" s="19" t="s">
        <v>234</v>
      </c>
      <c r="C86" s="19" t="s">
        <v>235</v>
      </c>
      <c r="D86" s="20" t="n">
        <v>36861</v>
      </c>
      <c r="E86" s="20" t="n">
        <v>37195</v>
      </c>
      <c r="F86" s="18" t="s">
        <v>236</v>
      </c>
      <c r="G86" s="18" t="s">
        <v>237</v>
      </c>
      <c r="H86" s="19" t="s">
        <v>9</v>
      </c>
      <c r="I86" s="22" t="n">
        <f aca="false">6.1038/I$1</f>
        <v>0.20346</v>
      </c>
      <c r="J86" s="22" t="n">
        <v>0.0013</v>
      </c>
      <c r="K86" s="22" t="n">
        <v>0.0022</v>
      </c>
      <c r="L86" s="22" t="n">
        <v>0</v>
      </c>
      <c r="M86" s="22" t="n">
        <v>0</v>
      </c>
      <c r="N86" s="126" t="n">
        <v>0.02</v>
      </c>
      <c r="O86" s="22" t="n">
        <f aca="false">SUM(I86:M86)</f>
        <v>0.20696</v>
      </c>
      <c r="P86" s="24" t="s">
        <v>241</v>
      </c>
      <c r="Q86" s="19" t="n">
        <v>9189</v>
      </c>
      <c r="R86" s="18" t="s">
        <v>242</v>
      </c>
      <c r="S86" s="25" t="n">
        <f aca="false">I86*I$1*Q86</f>
        <v>56087.8182</v>
      </c>
      <c r="T86" s="127"/>
      <c r="U86" s="27" t="n">
        <v>506530</v>
      </c>
      <c r="V86" s="27"/>
      <c r="W86" s="4" t="s">
        <v>240</v>
      </c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18"/>
      <c r="B87" s="19"/>
      <c r="C87" s="19"/>
      <c r="D87" s="20"/>
      <c r="E87" s="20"/>
      <c r="F87" s="18"/>
      <c r="G87" s="18"/>
      <c r="H87" s="19"/>
      <c r="I87" s="21"/>
      <c r="J87" s="22"/>
      <c r="K87" s="22"/>
      <c r="L87" s="22"/>
      <c r="M87" s="22"/>
      <c r="N87" s="126"/>
      <c r="O87" s="22"/>
      <c r="P87" s="24"/>
      <c r="Q87" s="19"/>
      <c r="R87" s="18"/>
      <c r="S87" s="25"/>
      <c r="T87" s="25" t="n">
        <f aca="false">SUM(T85:T86)</f>
        <v>0</v>
      </c>
      <c r="U87" s="27"/>
      <c r="V87" s="27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18"/>
      <c r="B88" s="19"/>
      <c r="C88" s="19"/>
      <c r="D88" s="20"/>
      <c r="E88" s="20"/>
      <c r="F88" s="18"/>
      <c r="G88" s="18"/>
      <c r="H88" s="19"/>
      <c r="I88" s="21"/>
      <c r="J88" s="22"/>
      <c r="K88" s="22"/>
      <c r="L88" s="22"/>
      <c r="M88" s="22"/>
      <c r="N88" s="23"/>
      <c r="O88" s="22"/>
      <c r="P88" s="24"/>
      <c r="Q88" s="70" t="n">
        <f aca="false">SUM(Q85:Q87)</f>
        <v>9306</v>
      </c>
      <c r="R88" s="75" t="s">
        <v>185</v>
      </c>
      <c r="S88" s="36" t="n">
        <f aca="false">SUM(S85:S87)</f>
        <v>56801.9628</v>
      </c>
      <c r="T88" s="25"/>
      <c r="U88" s="26"/>
      <c r="V88" s="27"/>
      <c r="W88" s="27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18"/>
      <c r="B89" s="19"/>
      <c r="C89" s="19"/>
      <c r="D89" s="20"/>
      <c r="E89" s="20"/>
      <c r="F89" s="18"/>
      <c r="G89" s="18"/>
      <c r="H89" s="19"/>
      <c r="I89" s="21"/>
      <c r="J89" s="22"/>
      <c r="K89" s="22"/>
      <c r="L89" s="22"/>
      <c r="M89" s="22"/>
      <c r="N89" s="23"/>
      <c r="O89" s="22"/>
      <c r="P89" s="24"/>
      <c r="Q89" s="72"/>
      <c r="R89" s="75" t="s">
        <v>186</v>
      </c>
      <c r="S89" s="36" t="n">
        <f aca="false">SUM(S86)</f>
        <v>56087.8182</v>
      </c>
      <c r="T89" s="25"/>
      <c r="U89" s="26"/>
      <c r="V89" s="27"/>
      <c r="W89" s="27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3.5" hidden="false" customHeight="false" outlineLevel="0" collapsed="false">
      <c r="A90" s="18"/>
      <c r="B90" s="19"/>
      <c r="C90" s="19"/>
      <c r="D90" s="20"/>
      <c r="E90" s="20"/>
      <c r="F90" s="18"/>
      <c r="G90" s="18"/>
      <c r="H90" s="19"/>
      <c r="I90" s="21"/>
      <c r="J90" s="22"/>
      <c r="K90" s="22"/>
      <c r="L90" s="22"/>
      <c r="M90" s="22"/>
      <c r="N90" s="23"/>
      <c r="O90" s="22"/>
      <c r="P90" s="24"/>
      <c r="Q90" s="72"/>
      <c r="R90" s="75" t="s">
        <v>187</v>
      </c>
      <c r="S90" s="104" t="n">
        <f aca="false">+S88-S89</f>
        <v>714.1446</v>
      </c>
      <c r="T90" s="25"/>
      <c r="U90" s="26"/>
      <c r="V90" s="27"/>
      <c r="W90" s="27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3.5" hidden="false" customHeight="false" outlineLevel="0" collapsed="false">
      <c r="A91" s="18"/>
      <c r="B91" s="19"/>
      <c r="C91" s="19"/>
      <c r="D91" s="20"/>
      <c r="E91" s="20"/>
      <c r="F91" s="18"/>
      <c r="G91" s="18"/>
      <c r="H91" s="19"/>
      <c r="I91" s="21"/>
      <c r="J91" s="22"/>
      <c r="K91" s="22"/>
      <c r="L91" s="22"/>
      <c r="M91" s="22"/>
      <c r="N91" s="23"/>
      <c r="O91" s="22"/>
      <c r="P91" s="24"/>
      <c r="Q91" s="19"/>
      <c r="R91" s="18"/>
      <c r="S91" s="25"/>
      <c r="T91" s="25"/>
      <c r="U91" s="26"/>
      <c r="V91" s="27"/>
      <c r="W91" s="27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119" t="s">
        <v>109</v>
      </c>
      <c r="B92" s="120" t="s">
        <v>110</v>
      </c>
      <c r="C92" s="120" t="s">
        <v>111</v>
      </c>
      <c r="D92" s="121" t="s">
        <v>112</v>
      </c>
      <c r="E92" s="121"/>
      <c r="F92" s="119" t="s">
        <v>113</v>
      </c>
      <c r="G92" s="119" t="s">
        <v>114</v>
      </c>
      <c r="H92" s="120" t="s">
        <v>115</v>
      </c>
      <c r="I92" s="122" t="s">
        <v>116</v>
      </c>
      <c r="J92" s="120" t="s">
        <v>117</v>
      </c>
      <c r="K92" s="120" t="s">
        <v>118</v>
      </c>
      <c r="L92" s="120" t="s">
        <v>119</v>
      </c>
      <c r="M92" s="120" t="s">
        <v>120</v>
      </c>
      <c r="N92" s="123" t="s">
        <v>121</v>
      </c>
      <c r="O92" s="120" t="s">
        <v>122</v>
      </c>
      <c r="P92" s="124" t="s">
        <v>123</v>
      </c>
      <c r="Q92" s="120" t="s">
        <v>124</v>
      </c>
      <c r="R92" s="119" t="s">
        <v>125</v>
      </c>
      <c r="S92" s="87" t="s">
        <v>213</v>
      </c>
      <c r="T92" s="89"/>
      <c r="U92" s="89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  <c r="BT92" s="125"/>
      <c r="BU92" s="125"/>
      <c r="BV92" s="125"/>
      <c r="BW92" s="125"/>
      <c r="BX92" s="125"/>
      <c r="BY92" s="125"/>
      <c r="BZ92" s="125"/>
      <c r="CA92" s="125"/>
      <c r="CB92" s="125"/>
      <c r="CC92" s="125"/>
      <c r="CD92" s="125"/>
      <c r="CE92" s="125"/>
      <c r="CF92" s="125"/>
      <c r="CG92" s="125"/>
      <c r="CH92" s="125"/>
      <c r="CI92" s="125"/>
      <c r="CJ92" s="125"/>
      <c r="CK92" s="125"/>
      <c r="CL92" s="125"/>
      <c r="CM92" s="125"/>
      <c r="CN92" s="125"/>
      <c r="CO92" s="125"/>
      <c r="CP92" s="125"/>
      <c r="CQ92" s="125"/>
      <c r="CR92" s="125"/>
      <c r="CS92" s="125"/>
      <c r="CT92" s="125"/>
      <c r="CU92" s="125"/>
      <c r="CV92" s="125"/>
      <c r="CW92" s="125"/>
      <c r="CX92" s="125"/>
      <c r="CY92" s="125"/>
      <c r="CZ92" s="125"/>
      <c r="DA92" s="125"/>
      <c r="DB92" s="125"/>
      <c r="DC92" s="125"/>
      <c r="DD92" s="125"/>
      <c r="DE92" s="125"/>
      <c r="DF92" s="125"/>
      <c r="DG92" s="125"/>
      <c r="DH92" s="125"/>
      <c r="DI92" s="125"/>
      <c r="DJ92" s="125"/>
      <c r="DK92" s="125"/>
      <c r="DL92" s="125"/>
      <c r="DM92" s="125"/>
      <c r="DN92" s="125"/>
      <c r="DO92" s="125"/>
      <c r="DP92" s="125"/>
      <c r="DQ92" s="125"/>
      <c r="DR92" s="125"/>
      <c r="DS92" s="125"/>
      <c r="DT92" s="125"/>
      <c r="DU92" s="125"/>
      <c r="DV92" s="125"/>
      <c r="DW92" s="125"/>
      <c r="DX92" s="125"/>
      <c r="DY92" s="125"/>
      <c r="DZ92" s="125"/>
      <c r="EA92" s="125"/>
      <c r="EB92" s="125"/>
      <c r="EC92" s="125"/>
      <c r="ED92" s="125"/>
      <c r="EE92" s="125"/>
      <c r="EF92" s="125"/>
      <c r="EG92" s="125"/>
      <c r="EH92" s="125"/>
      <c r="EI92" s="125"/>
      <c r="EJ92" s="125"/>
      <c r="EK92" s="125"/>
      <c r="EL92" s="125"/>
      <c r="EM92" s="125"/>
      <c r="EN92" s="125"/>
      <c r="EO92" s="125"/>
      <c r="EP92" s="125"/>
      <c r="EQ92" s="125"/>
      <c r="ER92" s="125"/>
      <c r="ES92" s="125"/>
      <c r="ET92" s="125"/>
      <c r="EU92" s="125"/>
      <c r="EV92" s="125"/>
      <c r="EW92" s="125"/>
      <c r="EX92" s="125"/>
      <c r="EY92" s="125"/>
      <c r="EZ92" s="125"/>
      <c r="FA92" s="125"/>
      <c r="FB92" s="125"/>
      <c r="FC92" s="125"/>
      <c r="FD92" s="125"/>
      <c r="FE92" s="125"/>
      <c r="FF92" s="125"/>
      <c r="FG92" s="125"/>
      <c r="FH92" s="125"/>
      <c r="FI92" s="125"/>
      <c r="FJ92" s="125"/>
      <c r="FK92" s="125"/>
      <c r="FL92" s="125"/>
      <c r="FM92" s="125"/>
      <c r="FN92" s="125"/>
      <c r="FO92" s="125"/>
      <c r="FP92" s="125"/>
      <c r="FQ92" s="125"/>
      <c r="FR92" s="125"/>
      <c r="FS92" s="125"/>
      <c r="FT92" s="125"/>
      <c r="FU92" s="125"/>
      <c r="FV92" s="125"/>
      <c r="FW92" s="125"/>
      <c r="FX92" s="125"/>
      <c r="FY92" s="125"/>
      <c r="FZ92" s="125"/>
      <c r="GA92" s="125"/>
      <c r="GB92" s="125"/>
      <c r="GC92" s="125"/>
      <c r="GD92" s="125"/>
      <c r="GE92" s="125"/>
      <c r="GF92" s="125"/>
      <c r="GG92" s="125"/>
      <c r="GH92" s="125"/>
      <c r="GI92" s="125"/>
      <c r="GJ92" s="125"/>
      <c r="GK92" s="125"/>
      <c r="GL92" s="125"/>
      <c r="GM92" s="125"/>
      <c r="GN92" s="125"/>
      <c r="GO92" s="125"/>
      <c r="GP92" s="125"/>
      <c r="GQ92" s="125"/>
      <c r="GR92" s="125"/>
      <c r="GS92" s="125"/>
      <c r="GT92" s="125"/>
      <c r="GU92" s="125"/>
      <c r="GV92" s="125"/>
      <c r="GW92" s="125"/>
      <c r="GX92" s="125"/>
      <c r="GY92" s="125"/>
      <c r="GZ92" s="125"/>
      <c r="HA92" s="125"/>
      <c r="HB92" s="125"/>
      <c r="HC92" s="125"/>
      <c r="HD92" s="125"/>
      <c r="HE92" s="125"/>
      <c r="HF92" s="125"/>
      <c r="HG92" s="125"/>
      <c r="HH92" s="125"/>
      <c r="HI92" s="125"/>
      <c r="HJ92" s="125"/>
      <c r="HK92" s="125"/>
      <c r="HL92" s="125"/>
      <c r="HM92" s="125"/>
      <c r="HN92" s="125"/>
      <c r="HO92" s="125"/>
      <c r="HP92" s="125"/>
      <c r="HQ92" s="125"/>
      <c r="HR92" s="125"/>
      <c r="HS92" s="125"/>
      <c r="HT92" s="125"/>
      <c r="HU92" s="125"/>
      <c r="HV92" s="125"/>
      <c r="HW92" s="125"/>
      <c r="HX92" s="125"/>
      <c r="HY92" s="125"/>
      <c r="HZ92" s="125"/>
      <c r="IA92" s="125"/>
      <c r="IB92" s="125"/>
      <c r="IC92" s="125"/>
      <c r="ID92" s="125"/>
      <c r="IE92" s="125"/>
      <c r="IF92" s="125"/>
      <c r="IG92" s="125"/>
      <c r="IH92" s="125"/>
      <c r="II92" s="125"/>
      <c r="IJ92" s="125"/>
      <c r="IK92" s="125"/>
      <c r="IL92" s="125"/>
      <c r="IM92" s="125"/>
      <c r="IN92" s="125"/>
      <c r="IO92" s="125"/>
      <c r="IP92" s="125"/>
      <c r="IQ92" s="125"/>
      <c r="IR92" s="125"/>
      <c r="IS92" s="125"/>
      <c r="IT92" s="125"/>
      <c r="IU92" s="125"/>
      <c r="IV92" s="125"/>
      <c r="IW92" s="125"/>
    </row>
    <row r="93" customFormat="false" ht="12.75" hidden="false" customHeight="false" outlineLevel="0" collapsed="false">
      <c r="A93" s="18" t="s">
        <v>193</v>
      </c>
      <c r="B93" s="18" t="s">
        <v>243</v>
      </c>
      <c r="C93" s="19" t="s">
        <v>243</v>
      </c>
      <c r="D93" s="20" t="s">
        <v>210</v>
      </c>
      <c r="E93" s="20" t="s">
        <v>210</v>
      </c>
      <c r="F93" s="18" t="s">
        <v>21</v>
      </c>
      <c r="G93" s="18" t="s">
        <v>21</v>
      </c>
      <c r="H93" s="19" t="s">
        <v>9</v>
      </c>
      <c r="I93" s="21" t="n">
        <v>0.0729</v>
      </c>
      <c r="J93" s="22" t="n">
        <v>0.003</v>
      </c>
      <c r="K93" s="22" t="n">
        <v>0.0022</v>
      </c>
      <c r="L93" s="22" t="n">
        <v>0</v>
      </c>
      <c r="M93" s="22" t="n">
        <v>0</v>
      </c>
      <c r="N93" s="126" t="n">
        <v>0</v>
      </c>
      <c r="O93" s="22" t="n">
        <f aca="false">SUM(I93:M93)</f>
        <v>0.0781</v>
      </c>
      <c r="P93" s="24" t="s">
        <v>244</v>
      </c>
      <c r="Q93" s="19" t="n">
        <v>25000</v>
      </c>
      <c r="R93" s="18"/>
      <c r="S93" s="127" t="n">
        <f aca="false">I93*I$1*Q93</f>
        <v>54675</v>
      </c>
      <c r="T93" s="27"/>
      <c r="U93" s="27"/>
      <c r="V93" s="4" t="s">
        <v>245</v>
      </c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18"/>
      <c r="B94" s="18"/>
      <c r="C94" s="19"/>
      <c r="D94" s="20"/>
      <c r="E94" s="20"/>
      <c r="F94" s="18"/>
      <c r="G94" s="18"/>
      <c r="H94" s="19"/>
      <c r="I94" s="21"/>
      <c r="J94" s="22"/>
      <c r="K94" s="22"/>
      <c r="L94" s="22"/>
      <c r="M94" s="22"/>
      <c r="N94" s="126"/>
      <c r="O94" s="22"/>
      <c r="P94" s="24"/>
      <c r="Q94" s="19"/>
      <c r="R94" s="18"/>
      <c r="S94" s="127"/>
      <c r="T94" s="27"/>
      <c r="U94" s="27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18"/>
      <c r="B95" s="19"/>
      <c r="C95" s="19"/>
      <c r="D95" s="20"/>
      <c r="E95" s="20"/>
      <c r="F95" s="18"/>
      <c r="G95" s="18"/>
      <c r="H95" s="19"/>
      <c r="I95" s="21"/>
      <c r="J95" s="22"/>
      <c r="K95" s="69"/>
      <c r="L95" s="22"/>
      <c r="M95" s="22"/>
      <c r="N95" s="126"/>
      <c r="O95" s="22"/>
      <c r="P95" s="24"/>
      <c r="Q95" s="19"/>
      <c r="R95" s="19"/>
      <c r="S95" s="128"/>
      <c r="T95" s="27"/>
      <c r="U95" s="27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18"/>
      <c r="B96" s="19"/>
      <c r="C96" s="19"/>
      <c r="D96" s="20"/>
      <c r="E96" s="20"/>
      <c r="F96" s="18"/>
      <c r="G96" s="18"/>
      <c r="H96" s="19"/>
      <c r="I96" s="21"/>
      <c r="J96" s="22"/>
      <c r="K96" s="22"/>
      <c r="L96" s="22"/>
      <c r="M96" s="22"/>
      <c r="N96" s="23"/>
      <c r="O96" s="22"/>
      <c r="P96" s="24"/>
      <c r="Q96" s="70" t="n">
        <f aca="false">SUM(Q93:Q95)</f>
        <v>25000</v>
      </c>
      <c r="R96" s="75" t="s">
        <v>185</v>
      </c>
      <c r="S96" s="36" t="n">
        <f aca="false">SUM(S93:S95)</f>
        <v>54675</v>
      </c>
      <c r="T96" s="26"/>
      <c r="U96" s="27"/>
      <c r="V96" s="27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18"/>
      <c r="B97" s="19"/>
      <c r="C97" s="19"/>
      <c r="D97" s="20"/>
      <c r="E97" s="20"/>
      <c r="F97" s="18"/>
      <c r="G97" s="18"/>
      <c r="H97" s="19"/>
      <c r="I97" s="21"/>
      <c r="J97" s="22"/>
      <c r="K97" s="22"/>
      <c r="L97" s="22"/>
      <c r="M97" s="22"/>
      <c r="N97" s="23"/>
      <c r="O97" s="22"/>
      <c r="P97" s="24"/>
      <c r="Q97" s="72"/>
      <c r="R97" s="75" t="s">
        <v>186</v>
      </c>
      <c r="S97" s="36" t="n">
        <v>0</v>
      </c>
      <c r="T97" s="26"/>
      <c r="U97" s="27"/>
      <c r="V97" s="27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3.5" hidden="false" customHeight="false" outlineLevel="0" collapsed="false">
      <c r="A98" s="18"/>
      <c r="B98" s="19"/>
      <c r="C98" s="19"/>
      <c r="D98" s="20"/>
      <c r="E98" s="20"/>
      <c r="F98" s="18"/>
      <c r="G98" s="18"/>
      <c r="H98" s="19"/>
      <c r="I98" s="21"/>
      <c r="J98" s="22"/>
      <c r="K98" s="22"/>
      <c r="L98" s="22"/>
      <c r="M98" s="22"/>
      <c r="N98" s="23"/>
      <c r="O98" s="22"/>
      <c r="P98" s="24"/>
      <c r="Q98" s="72"/>
      <c r="R98" s="75" t="s">
        <v>187</v>
      </c>
      <c r="S98" s="104" t="n">
        <f aca="false">+S96-S97</f>
        <v>54675</v>
      </c>
      <c r="T98" s="26"/>
      <c r="U98" s="27"/>
      <c r="V98" s="27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3.5" hidden="false" customHeight="false" outlineLevel="0" collapsed="false">
      <c r="A99" s="18"/>
      <c r="B99" s="19"/>
      <c r="C99" s="19"/>
      <c r="D99" s="20"/>
      <c r="E99" s="20"/>
      <c r="F99" s="18"/>
      <c r="G99" s="18"/>
      <c r="H99" s="19"/>
      <c r="I99" s="21"/>
      <c r="J99" s="22"/>
      <c r="K99" s="22"/>
      <c r="L99" s="22"/>
      <c r="M99" s="22"/>
      <c r="N99" s="23"/>
      <c r="O99" s="22"/>
      <c r="P99" s="24"/>
      <c r="Q99" s="72"/>
      <c r="R99" s="75"/>
      <c r="S99" s="36"/>
      <c r="T99" s="26"/>
      <c r="U99" s="27"/>
      <c r="V99" s="27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119" t="s">
        <v>109</v>
      </c>
      <c r="B100" s="120" t="s">
        <v>110</v>
      </c>
      <c r="C100" s="120" t="s">
        <v>111</v>
      </c>
      <c r="D100" s="121" t="s">
        <v>112</v>
      </c>
      <c r="E100" s="121"/>
      <c r="F100" s="119" t="s">
        <v>113</v>
      </c>
      <c r="G100" s="119" t="s">
        <v>114</v>
      </c>
      <c r="H100" s="120" t="s">
        <v>222</v>
      </c>
      <c r="I100" s="122" t="s">
        <v>116</v>
      </c>
      <c r="J100" s="120" t="s">
        <v>117</v>
      </c>
      <c r="K100" s="120" t="s">
        <v>118</v>
      </c>
      <c r="L100" s="120" t="s">
        <v>119</v>
      </c>
      <c r="M100" s="120" t="s">
        <v>120</v>
      </c>
      <c r="N100" s="135" t="s">
        <v>121</v>
      </c>
      <c r="O100" s="120" t="s">
        <v>122</v>
      </c>
      <c r="P100" s="124" t="s">
        <v>149</v>
      </c>
      <c r="Q100" s="120" t="s">
        <v>124</v>
      </c>
      <c r="R100" s="119" t="s">
        <v>125</v>
      </c>
      <c r="S100" s="87" t="s">
        <v>126</v>
      </c>
      <c r="T100" s="136" t="s">
        <v>150</v>
      </c>
      <c r="U100" s="89"/>
      <c r="V100" s="89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  <c r="BS100" s="125"/>
      <c r="BT100" s="125"/>
      <c r="BU100" s="125"/>
      <c r="BV100" s="125"/>
      <c r="BW100" s="125"/>
      <c r="BX100" s="125"/>
      <c r="BY100" s="125"/>
      <c r="BZ100" s="125"/>
      <c r="CA100" s="125"/>
      <c r="CB100" s="125"/>
      <c r="CC100" s="125"/>
      <c r="CD100" s="125"/>
      <c r="CE100" s="125"/>
      <c r="CF100" s="125"/>
      <c r="CG100" s="125"/>
      <c r="CH100" s="125"/>
      <c r="CI100" s="125"/>
      <c r="CJ100" s="125"/>
      <c r="CK100" s="125"/>
      <c r="CL100" s="125"/>
      <c r="CM100" s="125"/>
      <c r="CN100" s="125"/>
      <c r="CO100" s="125"/>
      <c r="CP100" s="125"/>
      <c r="CQ100" s="125"/>
      <c r="CR100" s="125"/>
      <c r="CS100" s="125"/>
      <c r="CT100" s="125"/>
      <c r="CU100" s="125"/>
      <c r="CV100" s="125"/>
      <c r="CW100" s="125"/>
      <c r="CX100" s="125"/>
      <c r="CY100" s="125"/>
      <c r="CZ100" s="125"/>
      <c r="DA100" s="125"/>
      <c r="DB100" s="125"/>
      <c r="DC100" s="125"/>
      <c r="DD100" s="125"/>
      <c r="DE100" s="125"/>
      <c r="DF100" s="125"/>
      <c r="DG100" s="125"/>
      <c r="DH100" s="125"/>
      <c r="DI100" s="125"/>
      <c r="DJ100" s="125"/>
      <c r="DK100" s="125"/>
      <c r="DL100" s="125"/>
      <c r="DM100" s="125"/>
      <c r="DN100" s="125"/>
      <c r="DO100" s="125"/>
      <c r="DP100" s="125"/>
      <c r="DQ100" s="125"/>
      <c r="DR100" s="125"/>
      <c r="DS100" s="125"/>
      <c r="DT100" s="125"/>
      <c r="DU100" s="125"/>
      <c r="DV100" s="125"/>
      <c r="DW100" s="125"/>
      <c r="DX100" s="125"/>
      <c r="DY100" s="125"/>
      <c r="DZ100" s="125"/>
      <c r="EA100" s="125"/>
      <c r="EB100" s="125"/>
      <c r="EC100" s="125"/>
      <c r="ED100" s="125"/>
      <c r="EE100" s="125"/>
      <c r="EF100" s="125"/>
      <c r="EG100" s="125"/>
      <c r="EH100" s="125"/>
      <c r="EI100" s="125"/>
      <c r="EJ100" s="125"/>
      <c r="EK100" s="125"/>
      <c r="EL100" s="125"/>
      <c r="EM100" s="125"/>
      <c r="EN100" s="125"/>
      <c r="EO100" s="125"/>
      <c r="EP100" s="125"/>
      <c r="EQ100" s="125"/>
      <c r="ER100" s="125"/>
      <c r="ES100" s="125"/>
      <c r="ET100" s="125"/>
      <c r="EU100" s="125"/>
      <c r="EV100" s="125"/>
      <c r="EW100" s="125"/>
      <c r="EX100" s="125"/>
      <c r="EY100" s="125"/>
      <c r="EZ100" s="125"/>
      <c r="FA100" s="125"/>
      <c r="FB100" s="125"/>
      <c r="FC100" s="125"/>
      <c r="FD100" s="125"/>
      <c r="FE100" s="125"/>
      <c r="FF100" s="125"/>
      <c r="FG100" s="125"/>
      <c r="FH100" s="125"/>
      <c r="FI100" s="125"/>
      <c r="FJ100" s="125"/>
      <c r="FK100" s="125"/>
      <c r="FL100" s="125"/>
      <c r="FM100" s="125"/>
      <c r="FN100" s="125"/>
      <c r="FO100" s="125"/>
      <c r="FP100" s="125"/>
      <c r="FQ100" s="125"/>
      <c r="FR100" s="125"/>
      <c r="FS100" s="125"/>
      <c r="FT100" s="125"/>
      <c r="FU100" s="125"/>
      <c r="FV100" s="125"/>
      <c r="FW100" s="125"/>
      <c r="FX100" s="125"/>
      <c r="FY100" s="125"/>
      <c r="FZ100" s="125"/>
      <c r="GA100" s="125"/>
      <c r="GB100" s="125"/>
      <c r="GC100" s="125"/>
      <c r="GD100" s="125"/>
      <c r="GE100" s="125"/>
      <c r="GF100" s="125"/>
      <c r="GG100" s="125"/>
      <c r="GH100" s="125"/>
      <c r="GI100" s="125"/>
      <c r="GJ100" s="125"/>
      <c r="GK100" s="125"/>
      <c r="GL100" s="125"/>
      <c r="GM100" s="125"/>
      <c r="GN100" s="125"/>
      <c r="GO100" s="125"/>
      <c r="GP100" s="125"/>
      <c r="GQ100" s="125"/>
      <c r="GR100" s="125"/>
      <c r="GS100" s="125"/>
      <c r="GT100" s="125"/>
      <c r="GU100" s="125"/>
      <c r="GV100" s="125"/>
      <c r="GW100" s="125"/>
      <c r="GX100" s="125"/>
      <c r="GY100" s="125"/>
      <c r="GZ100" s="125"/>
      <c r="HA100" s="125"/>
      <c r="HB100" s="125"/>
      <c r="HC100" s="125"/>
      <c r="HD100" s="125"/>
      <c r="HE100" s="125"/>
      <c r="HF100" s="125"/>
      <c r="HG100" s="125"/>
      <c r="HH100" s="125"/>
      <c r="HI100" s="125"/>
      <c r="HJ100" s="125"/>
      <c r="HK100" s="125"/>
      <c r="HL100" s="125"/>
      <c r="HM100" s="125"/>
      <c r="HN100" s="125"/>
      <c r="HO100" s="125"/>
      <c r="HP100" s="125"/>
      <c r="HQ100" s="125"/>
      <c r="HR100" s="125"/>
      <c r="HS100" s="125"/>
      <c r="HT100" s="125"/>
      <c r="HU100" s="125"/>
      <c r="HV100" s="125"/>
      <c r="HW100" s="125"/>
      <c r="HX100" s="125"/>
      <c r="HY100" s="125"/>
      <c r="HZ100" s="125"/>
      <c r="IA100" s="125"/>
      <c r="IB100" s="125"/>
      <c r="IC100" s="125"/>
      <c r="ID100" s="125"/>
      <c r="IE100" s="125"/>
      <c r="IF100" s="125"/>
      <c r="IG100" s="125"/>
      <c r="IH100" s="125"/>
      <c r="II100" s="125"/>
      <c r="IJ100" s="125"/>
      <c r="IK100" s="125"/>
      <c r="IL100" s="125"/>
      <c r="IM100" s="125"/>
      <c r="IN100" s="125"/>
      <c r="IO100" s="125"/>
      <c r="IP100" s="125"/>
      <c r="IQ100" s="125"/>
      <c r="IR100" s="125"/>
      <c r="IS100" s="125"/>
      <c r="IT100" s="125"/>
      <c r="IU100" s="125"/>
      <c r="IV100" s="125"/>
      <c r="IW100" s="125"/>
    </row>
    <row r="101" customFormat="false" ht="12.75" hidden="false" customHeight="false" outlineLevel="0" collapsed="false">
      <c r="A101" s="18" t="s">
        <v>152</v>
      </c>
      <c r="B101" s="19" t="s">
        <v>246</v>
      </c>
      <c r="C101" s="19" t="s">
        <v>152</v>
      </c>
      <c r="D101" s="20" t="n">
        <v>36892</v>
      </c>
      <c r="E101" s="20" t="n">
        <v>37011</v>
      </c>
      <c r="F101" s="18"/>
      <c r="G101" s="18"/>
      <c r="H101" s="19" t="s">
        <v>45</v>
      </c>
      <c r="I101" s="21" t="n">
        <f aca="false">4.28/I$1</f>
        <v>0.142666666666667</v>
      </c>
      <c r="J101" s="22"/>
      <c r="K101" s="69"/>
      <c r="L101" s="22"/>
      <c r="M101" s="22"/>
      <c r="N101" s="23"/>
      <c r="O101" s="22"/>
      <c r="P101" s="24" t="n">
        <v>4862</v>
      </c>
      <c r="Q101" s="19" t="n">
        <v>40217</v>
      </c>
      <c r="R101" s="19"/>
      <c r="S101" s="25" t="n">
        <f aca="false">I101*I$1*Q101</f>
        <v>172128.76</v>
      </c>
      <c r="T101" s="26" t="n">
        <v>549296</v>
      </c>
      <c r="U101" s="27"/>
      <c r="V101" s="27" t="s">
        <v>247</v>
      </c>
    </row>
    <row r="102" customFormat="false" ht="12.75" hidden="false" customHeight="false" outlineLevel="0" collapsed="false">
      <c r="A102" s="18" t="s">
        <v>152</v>
      </c>
      <c r="B102" s="19" t="s">
        <v>246</v>
      </c>
      <c r="C102" s="19" t="s">
        <v>130</v>
      </c>
      <c r="D102" s="20"/>
      <c r="E102" s="20"/>
      <c r="F102" s="18"/>
      <c r="G102" s="18"/>
      <c r="H102" s="19"/>
      <c r="I102" s="21" t="n">
        <f aca="false">4.28/I$1</f>
        <v>0.142666666666667</v>
      </c>
      <c r="J102" s="22"/>
      <c r="K102" s="69"/>
      <c r="L102" s="22"/>
      <c r="M102" s="22"/>
      <c r="N102" s="23"/>
      <c r="O102" s="22"/>
      <c r="P102" s="24" t="n">
        <v>712131</v>
      </c>
      <c r="Q102" s="19" t="n">
        <v>3850</v>
      </c>
      <c r="R102" s="19"/>
      <c r="S102" s="25" t="n">
        <f aca="false">I102*I$1*Q102</f>
        <v>16478</v>
      </c>
      <c r="T102" s="26" t="n">
        <v>234462</v>
      </c>
      <c r="U102" s="27"/>
      <c r="V102" s="27"/>
    </row>
    <row r="103" customFormat="false" ht="12.75" hidden="false" customHeight="false" outlineLevel="0" collapsed="false">
      <c r="A103" s="18"/>
      <c r="B103" s="19"/>
      <c r="C103" s="19"/>
      <c r="D103" s="20"/>
      <c r="E103" s="20"/>
      <c r="F103" s="18"/>
      <c r="G103" s="18"/>
      <c r="H103" s="19"/>
      <c r="I103" s="21"/>
      <c r="J103" s="22"/>
      <c r="K103" s="69"/>
      <c r="L103" s="22"/>
      <c r="M103" s="22"/>
      <c r="N103" s="23"/>
      <c r="O103" s="22"/>
      <c r="P103" s="24"/>
      <c r="Q103" s="35"/>
      <c r="R103" s="19"/>
      <c r="S103" s="127"/>
      <c r="T103" s="26"/>
      <c r="U103" s="27"/>
      <c r="V103" s="27"/>
    </row>
    <row r="104" customFormat="false" ht="12.75" hidden="false" customHeight="false" outlineLevel="0" collapsed="false">
      <c r="A104" s="75"/>
      <c r="B104" s="70"/>
      <c r="C104" s="70"/>
      <c r="D104" s="76"/>
      <c r="E104" s="76"/>
      <c r="F104" s="75"/>
      <c r="G104" s="75"/>
      <c r="H104" s="70"/>
      <c r="I104" s="78"/>
      <c r="J104" s="69"/>
      <c r="K104" s="69"/>
      <c r="L104" s="69"/>
      <c r="M104" s="69"/>
      <c r="N104" s="79"/>
      <c r="O104" s="69"/>
      <c r="P104" s="137"/>
      <c r="Q104" s="70" t="n">
        <f aca="false">SUM(Q101:Q103)</f>
        <v>44067</v>
      </c>
      <c r="R104" s="75" t="s">
        <v>185</v>
      </c>
      <c r="S104" s="36" t="n">
        <f aca="false">SUM(S101:S103)</f>
        <v>188606.76</v>
      </c>
      <c r="T104" s="37"/>
      <c r="U104" s="38"/>
      <c r="V104" s="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8"/>
      <c r="BR104" s="138"/>
      <c r="BS104" s="138"/>
      <c r="BT104" s="138"/>
      <c r="BU104" s="138"/>
      <c r="BV104" s="138"/>
      <c r="BW104" s="138"/>
      <c r="BX104" s="138"/>
      <c r="BY104" s="138"/>
      <c r="BZ104" s="138"/>
      <c r="CA104" s="138"/>
      <c r="CB104" s="138"/>
      <c r="CC104" s="138"/>
      <c r="CD104" s="138"/>
      <c r="CE104" s="138"/>
      <c r="CF104" s="138"/>
      <c r="CG104" s="138"/>
      <c r="CH104" s="138"/>
      <c r="CI104" s="138"/>
      <c r="CJ104" s="138"/>
      <c r="CK104" s="138"/>
      <c r="CL104" s="138"/>
      <c r="CM104" s="138"/>
      <c r="CN104" s="138"/>
      <c r="CO104" s="138"/>
      <c r="CP104" s="138"/>
      <c r="CQ104" s="138"/>
      <c r="CR104" s="138"/>
      <c r="CS104" s="138"/>
      <c r="CT104" s="138"/>
      <c r="CU104" s="138"/>
      <c r="CV104" s="138"/>
      <c r="CW104" s="138"/>
      <c r="CX104" s="138"/>
      <c r="CY104" s="138"/>
      <c r="CZ104" s="138"/>
      <c r="DA104" s="138"/>
      <c r="DB104" s="138"/>
      <c r="DC104" s="138"/>
      <c r="DD104" s="138"/>
      <c r="DE104" s="138"/>
      <c r="DF104" s="138"/>
      <c r="DG104" s="138"/>
      <c r="DH104" s="138"/>
      <c r="DI104" s="138"/>
      <c r="DJ104" s="138"/>
      <c r="DK104" s="138"/>
      <c r="DL104" s="138"/>
      <c r="DM104" s="138"/>
      <c r="DN104" s="138"/>
      <c r="DO104" s="138"/>
      <c r="DP104" s="138"/>
      <c r="DQ104" s="138"/>
      <c r="DR104" s="138"/>
      <c r="DS104" s="138"/>
      <c r="DT104" s="138"/>
      <c r="DU104" s="138"/>
      <c r="DV104" s="138"/>
      <c r="DW104" s="138"/>
      <c r="DX104" s="138"/>
      <c r="DY104" s="138"/>
      <c r="DZ104" s="138"/>
      <c r="EA104" s="138"/>
      <c r="EB104" s="138"/>
      <c r="EC104" s="138"/>
      <c r="ED104" s="138"/>
      <c r="EE104" s="138"/>
      <c r="EF104" s="138"/>
      <c r="EG104" s="138"/>
      <c r="EH104" s="138"/>
      <c r="EI104" s="138"/>
      <c r="EJ104" s="138"/>
      <c r="EK104" s="138"/>
      <c r="EL104" s="138"/>
      <c r="EM104" s="138"/>
      <c r="EN104" s="138"/>
      <c r="EO104" s="138"/>
      <c r="EP104" s="138"/>
      <c r="EQ104" s="138"/>
      <c r="ER104" s="138"/>
      <c r="ES104" s="138"/>
      <c r="ET104" s="138"/>
      <c r="EU104" s="138"/>
      <c r="EV104" s="138"/>
      <c r="EW104" s="138"/>
      <c r="EX104" s="138"/>
      <c r="EY104" s="138"/>
      <c r="EZ104" s="138"/>
      <c r="FA104" s="138"/>
      <c r="FB104" s="138"/>
      <c r="FC104" s="138"/>
      <c r="FD104" s="138"/>
      <c r="FE104" s="138"/>
      <c r="FF104" s="138"/>
      <c r="FG104" s="138"/>
      <c r="FH104" s="138"/>
      <c r="FI104" s="138"/>
      <c r="FJ104" s="138"/>
      <c r="FK104" s="138"/>
      <c r="FL104" s="138"/>
      <c r="FM104" s="138"/>
      <c r="FN104" s="138"/>
      <c r="FO104" s="138"/>
      <c r="FP104" s="138"/>
      <c r="FQ104" s="138"/>
      <c r="FR104" s="138"/>
      <c r="FS104" s="138"/>
      <c r="FT104" s="138"/>
      <c r="FU104" s="138"/>
      <c r="FV104" s="138"/>
      <c r="FW104" s="138"/>
      <c r="FX104" s="138"/>
      <c r="FY104" s="138"/>
      <c r="FZ104" s="138"/>
      <c r="GA104" s="138"/>
      <c r="GB104" s="138"/>
      <c r="GC104" s="138"/>
      <c r="GD104" s="138"/>
      <c r="GE104" s="138"/>
      <c r="GF104" s="138"/>
      <c r="GG104" s="138"/>
      <c r="GH104" s="138"/>
      <c r="GI104" s="138"/>
      <c r="GJ104" s="138"/>
      <c r="GK104" s="138"/>
      <c r="GL104" s="138"/>
      <c r="GM104" s="138"/>
      <c r="GN104" s="138"/>
      <c r="GO104" s="138"/>
      <c r="GP104" s="138"/>
      <c r="GQ104" s="138"/>
      <c r="GR104" s="138"/>
      <c r="GS104" s="138"/>
      <c r="GT104" s="138"/>
      <c r="GU104" s="138"/>
      <c r="GV104" s="138"/>
      <c r="GW104" s="138"/>
      <c r="GX104" s="138"/>
      <c r="GY104" s="138"/>
      <c r="GZ104" s="138"/>
      <c r="HA104" s="138"/>
      <c r="HB104" s="138"/>
      <c r="HC104" s="138"/>
      <c r="HD104" s="138"/>
      <c r="HE104" s="138"/>
      <c r="HF104" s="138"/>
      <c r="HG104" s="138"/>
      <c r="HH104" s="138"/>
      <c r="HI104" s="138"/>
      <c r="HJ104" s="138"/>
      <c r="HK104" s="138"/>
      <c r="HL104" s="138"/>
      <c r="HM104" s="138"/>
      <c r="HN104" s="138"/>
      <c r="HO104" s="138"/>
      <c r="HP104" s="138"/>
      <c r="HQ104" s="138"/>
      <c r="HR104" s="138"/>
      <c r="HS104" s="138"/>
      <c r="HT104" s="138"/>
      <c r="HU104" s="138"/>
      <c r="HV104" s="138"/>
      <c r="HW104" s="138"/>
      <c r="HX104" s="138"/>
      <c r="HY104" s="138"/>
      <c r="HZ104" s="138"/>
      <c r="IA104" s="138"/>
      <c r="IB104" s="138"/>
      <c r="IC104" s="138"/>
      <c r="ID104" s="138"/>
      <c r="IE104" s="138"/>
      <c r="IF104" s="138"/>
      <c r="IG104" s="138"/>
      <c r="IH104" s="138"/>
      <c r="II104" s="138"/>
      <c r="IJ104" s="138"/>
      <c r="IK104" s="138"/>
      <c r="IL104" s="138"/>
      <c r="IM104" s="138"/>
      <c r="IN104" s="138"/>
      <c r="IO104" s="138"/>
      <c r="IP104" s="138"/>
      <c r="IQ104" s="138"/>
      <c r="IR104" s="138"/>
      <c r="IS104" s="138"/>
      <c r="IT104" s="138"/>
      <c r="IU104" s="138"/>
      <c r="IV104" s="138"/>
      <c r="IW104" s="138"/>
    </row>
    <row r="105" customFormat="false" ht="12.75" hidden="false" customHeight="false" outlineLevel="0" collapsed="false">
      <c r="A105" s="18"/>
      <c r="B105" s="19"/>
      <c r="C105" s="19"/>
      <c r="D105" s="20"/>
      <c r="E105" s="20"/>
      <c r="F105" s="18"/>
      <c r="G105" s="18"/>
      <c r="H105" s="19"/>
      <c r="I105" s="21"/>
      <c r="J105" s="22"/>
      <c r="K105" s="22"/>
      <c r="L105" s="22"/>
      <c r="M105" s="22"/>
      <c r="N105" s="23"/>
      <c r="O105" s="22"/>
      <c r="P105" s="24"/>
      <c r="Q105" s="72"/>
      <c r="R105" s="75" t="s">
        <v>186</v>
      </c>
      <c r="S105" s="36" t="n">
        <v>0</v>
      </c>
      <c r="T105" s="26"/>
      <c r="U105" s="27"/>
      <c r="V105" s="27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3.5" hidden="false" customHeight="false" outlineLevel="0" collapsed="false">
      <c r="A106" s="18"/>
      <c r="B106" s="19"/>
      <c r="C106" s="19"/>
      <c r="D106" s="20"/>
      <c r="E106" s="20"/>
      <c r="F106" s="18"/>
      <c r="G106" s="18"/>
      <c r="H106" s="19"/>
      <c r="I106" s="21"/>
      <c r="J106" s="22"/>
      <c r="K106" s="22"/>
      <c r="L106" s="22"/>
      <c r="M106" s="22"/>
      <c r="N106" s="23"/>
      <c r="O106" s="22"/>
      <c r="P106" s="24"/>
      <c r="Q106" s="72"/>
      <c r="R106" s="75" t="s">
        <v>187</v>
      </c>
      <c r="S106" s="118" t="n">
        <f aca="false">+S104-S105</f>
        <v>188606.76</v>
      </c>
      <c r="T106" s="26"/>
      <c r="U106" s="27"/>
      <c r="V106" s="27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3.5" hidden="false" customHeight="false" outlineLevel="0" collapsed="false">
      <c r="A107" s="18"/>
      <c r="B107" s="19"/>
      <c r="C107" s="19"/>
      <c r="D107" s="20"/>
      <c r="E107" s="20"/>
      <c r="F107" s="18"/>
      <c r="G107" s="18"/>
      <c r="H107" s="19"/>
      <c r="I107" s="21"/>
      <c r="J107" s="22"/>
      <c r="K107" s="22"/>
      <c r="L107" s="22"/>
      <c r="M107" s="22"/>
      <c r="N107" s="23"/>
      <c r="O107" s="22"/>
      <c r="P107" s="24"/>
      <c r="Q107" s="19"/>
      <c r="R107" s="18"/>
      <c r="S107" s="25"/>
      <c r="T107" s="26"/>
      <c r="U107" s="27"/>
      <c r="V107" s="27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119" t="s">
        <v>109</v>
      </c>
      <c r="B108" s="120" t="s">
        <v>110</v>
      </c>
      <c r="C108" s="120" t="s">
        <v>111</v>
      </c>
      <c r="D108" s="121" t="s">
        <v>112</v>
      </c>
      <c r="E108" s="121"/>
      <c r="F108" s="119" t="s">
        <v>113</v>
      </c>
      <c r="G108" s="119" t="s">
        <v>114</v>
      </c>
      <c r="H108" s="120" t="s">
        <v>115</v>
      </c>
      <c r="I108" s="122" t="s">
        <v>116</v>
      </c>
      <c r="J108" s="120" t="s">
        <v>117</v>
      </c>
      <c r="K108" s="120" t="s">
        <v>118</v>
      </c>
      <c r="L108" s="120" t="s">
        <v>119</v>
      </c>
      <c r="M108" s="120" t="s">
        <v>120</v>
      </c>
      <c r="N108" s="123" t="s">
        <v>121</v>
      </c>
      <c r="O108" s="120" t="s">
        <v>122</v>
      </c>
      <c r="P108" s="124" t="s">
        <v>123</v>
      </c>
      <c r="Q108" s="120" t="s">
        <v>124</v>
      </c>
      <c r="R108" s="119" t="s">
        <v>125</v>
      </c>
      <c r="S108" s="87" t="s">
        <v>213</v>
      </c>
      <c r="T108" s="89"/>
      <c r="U108" s="89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  <c r="BT108" s="125"/>
      <c r="BU108" s="125"/>
      <c r="BV108" s="125"/>
      <c r="BW108" s="125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5"/>
      <c r="CK108" s="125"/>
      <c r="CL108" s="125"/>
      <c r="CM108" s="125"/>
      <c r="CN108" s="125"/>
      <c r="CO108" s="125"/>
      <c r="CP108" s="125"/>
      <c r="CQ108" s="125"/>
      <c r="CR108" s="125"/>
      <c r="CS108" s="125"/>
      <c r="CT108" s="125"/>
      <c r="CU108" s="125"/>
      <c r="CV108" s="125"/>
      <c r="CW108" s="125"/>
      <c r="CX108" s="125"/>
      <c r="CY108" s="125"/>
      <c r="CZ108" s="125"/>
      <c r="DA108" s="125"/>
      <c r="DB108" s="125"/>
      <c r="DC108" s="125"/>
      <c r="DD108" s="125"/>
      <c r="DE108" s="125"/>
      <c r="DF108" s="125"/>
      <c r="DG108" s="125"/>
      <c r="DH108" s="125"/>
      <c r="DI108" s="125"/>
      <c r="DJ108" s="125"/>
      <c r="DK108" s="125"/>
      <c r="DL108" s="125"/>
      <c r="DM108" s="125"/>
      <c r="DN108" s="125"/>
      <c r="DO108" s="125"/>
      <c r="DP108" s="125"/>
      <c r="DQ108" s="125"/>
      <c r="DR108" s="125"/>
      <c r="DS108" s="125"/>
      <c r="DT108" s="125"/>
      <c r="DU108" s="125"/>
      <c r="DV108" s="125"/>
      <c r="DW108" s="125"/>
      <c r="DX108" s="125"/>
      <c r="DY108" s="125"/>
      <c r="DZ108" s="125"/>
      <c r="EA108" s="125"/>
      <c r="EB108" s="125"/>
      <c r="EC108" s="125"/>
      <c r="ED108" s="125"/>
      <c r="EE108" s="125"/>
      <c r="EF108" s="125"/>
      <c r="EG108" s="125"/>
      <c r="EH108" s="125"/>
      <c r="EI108" s="125"/>
      <c r="EJ108" s="125"/>
      <c r="EK108" s="125"/>
      <c r="EL108" s="125"/>
      <c r="EM108" s="125"/>
      <c r="EN108" s="125"/>
      <c r="EO108" s="125"/>
      <c r="EP108" s="125"/>
      <c r="EQ108" s="125"/>
      <c r="ER108" s="125"/>
      <c r="ES108" s="125"/>
      <c r="ET108" s="125"/>
      <c r="EU108" s="125"/>
      <c r="EV108" s="125"/>
      <c r="EW108" s="125"/>
      <c r="EX108" s="125"/>
      <c r="EY108" s="125"/>
      <c r="EZ108" s="125"/>
      <c r="FA108" s="125"/>
      <c r="FB108" s="125"/>
      <c r="FC108" s="125"/>
      <c r="FD108" s="125"/>
      <c r="FE108" s="125"/>
      <c r="FF108" s="125"/>
      <c r="FG108" s="125"/>
      <c r="FH108" s="125"/>
      <c r="FI108" s="125"/>
      <c r="FJ108" s="125"/>
      <c r="FK108" s="125"/>
      <c r="FL108" s="125"/>
      <c r="FM108" s="125"/>
      <c r="FN108" s="125"/>
      <c r="FO108" s="125"/>
      <c r="FP108" s="125"/>
      <c r="FQ108" s="125"/>
      <c r="FR108" s="125"/>
      <c r="FS108" s="125"/>
      <c r="FT108" s="125"/>
      <c r="FU108" s="125"/>
      <c r="FV108" s="125"/>
      <c r="FW108" s="125"/>
      <c r="FX108" s="125"/>
      <c r="FY108" s="125"/>
      <c r="FZ108" s="125"/>
      <c r="GA108" s="125"/>
      <c r="GB108" s="125"/>
      <c r="GC108" s="125"/>
      <c r="GD108" s="125"/>
      <c r="GE108" s="125"/>
      <c r="GF108" s="125"/>
      <c r="GG108" s="125"/>
      <c r="GH108" s="125"/>
      <c r="GI108" s="125"/>
      <c r="GJ108" s="125"/>
      <c r="GK108" s="125"/>
      <c r="GL108" s="125"/>
      <c r="GM108" s="125"/>
      <c r="GN108" s="125"/>
      <c r="GO108" s="125"/>
      <c r="GP108" s="125"/>
      <c r="GQ108" s="125"/>
      <c r="GR108" s="125"/>
      <c r="GS108" s="125"/>
      <c r="GT108" s="125"/>
      <c r="GU108" s="125"/>
      <c r="GV108" s="125"/>
      <c r="GW108" s="125"/>
      <c r="GX108" s="125"/>
      <c r="GY108" s="125"/>
      <c r="GZ108" s="125"/>
      <c r="HA108" s="125"/>
      <c r="HB108" s="125"/>
      <c r="HC108" s="125"/>
      <c r="HD108" s="125"/>
      <c r="HE108" s="125"/>
      <c r="HF108" s="125"/>
      <c r="HG108" s="125"/>
      <c r="HH108" s="125"/>
      <c r="HI108" s="125"/>
      <c r="HJ108" s="125"/>
      <c r="HK108" s="125"/>
      <c r="HL108" s="125"/>
      <c r="HM108" s="125"/>
      <c r="HN108" s="125"/>
      <c r="HO108" s="125"/>
      <c r="HP108" s="125"/>
      <c r="HQ108" s="125"/>
      <c r="HR108" s="125"/>
      <c r="HS108" s="125"/>
      <c r="HT108" s="125"/>
      <c r="HU108" s="125"/>
      <c r="HV108" s="125"/>
      <c r="HW108" s="125"/>
      <c r="HX108" s="125"/>
      <c r="HY108" s="125"/>
      <c r="HZ108" s="125"/>
      <c r="IA108" s="125"/>
      <c r="IB108" s="125"/>
      <c r="IC108" s="125"/>
      <c r="ID108" s="125"/>
      <c r="IE108" s="125"/>
      <c r="IF108" s="125"/>
      <c r="IG108" s="125"/>
      <c r="IH108" s="125"/>
      <c r="II108" s="125"/>
      <c r="IJ108" s="125"/>
      <c r="IK108" s="125"/>
      <c r="IL108" s="125"/>
      <c r="IM108" s="125"/>
      <c r="IN108" s="125"/>
      <c r="IO108" s="125"/>
      <c r="IP108" s="125"/>
      <c r="IQ108" s="125"/>
      <c r="IR108" s="125"/>
      <c r="IS108" s="125"/>
      <c r="IT108" s="125"/>
      <c r="IU108" s="125"/>
      <c r="IV108" s="125"/>
      <c r="IW108" s="125"/>
    </row>
    <row r="109" customFormat="false" ht="12.75" hidden="false" customHeight="false" outlineLevel="0" collapsed="false">
      <c r="A109" s="18" t="s">
        <v>204</v>
      </c>
      <c r="B109" s="19" t="s">
        <v>248</v>
      </c>
      <c r="C109" s="19" t="s">
        <v>249</v>
      </c>
      <c r="D109" s="20" t="n">
        <v>36526</v>
      </c>
      <c r="E109" s="20" t="n">
        <v>37560</v>
      </c>
      <c r="F109" s="18" t="s">
        <v>250</v>
      </c>
      <c r="G109" s="18" t="s">
        <v>250</v>
      </c>
      <c r="H109" s="19" t="s">
        <v>155</v>
      </c>
      <c r="I109" s="21" t="n">
        <f aca="false">5.2701/I$1</f>
        <v>0.17567</v>
      </c>
      <c r="J109" s="22" t="n">
        <v>0</v>
      </c>
      <c r="K109" s="22" t="n">
        <v>0</v>
      </c>
      <c r="L109" s="22" t="n">
        <v>0</v>
      </c>
      <c r="M109" s="22" t="n">
        <v>0</v>
      </c>
      <c r="N109" s="126" t="n">
        <v>0.0369</v>
      </c>
      <c r="O109" s="22" t="n">
        <v>0</v>
      </c>
      <c r="P109" s="24" t="n">
        <v>1440</v>
      </c>
      <c r="Q109" s="19" t="n">
        <v>4803</v>
      </c>
      <c r="R109" s="25" t="s">
        <v>9</v>
      </c>
      <c r="S109" s="25" t="n">
        <f aca="false">+I109*Q109*I1</f>
        <v>25312.2903</v>
      </c>
      <c r="T109" s="27" t="n">
        <v>251724</v>
      </c>
      <c r="U109" s="27"/>
      <c r="V109" s="4" t="s">
        <v>251</v>
      </c>
      <c r="W109" s="4" t="s">
        <v>157</v>
      </c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</row>
    <row r="110" customFormat="false" ht="12.75" hidden="false" customHeight="false" outlineLevel="0" collapsed="false">
      <c r="A110" s="18" t="s">
        <v>204</v>
      </c>
      <c r="B110" s="19" t="s">
        <v>248</v>
      </c>
      <c r="C110" s="19" t="s">
        <v>249</v>
      </c>
      <c r="D110" s="20" t="n">
        <v>36526</v>
      </c>
      <c r="E110" s="20" t="n">
        <v>37560</v>
      </c>
      <c r="F110" s="18" t="s">
        <v>250</v>
      </c>
      <c r="G110" s="18" t="s">
        <v>250</v>
      </c>
      <c r="H110" s="19" t="s">
        <v>155</v>
      </c>
      <c r="I110" s="21" t="n">
        <f aca="false">5.45/I$1</f>
        <v>0.181666666666667</v>
      </c>
      <c r="J110" s="22" t="n">
        <v>0</v>
      </c>
      <c r="K110" s="22" t="n">
        <v>0</v>
      </c>
      <c r="L110" s="22" t="n">
        <v>0</v>
      </c>
      <c r="M110" s="22" t="n">
        <v>0</v>
      </c>
      <c r="N110" s="126" t="n">
        <v>0.0369</v>
      </c>
      <c r="O110" s="22" t="n">
        <v>0</v>
      </c>
      <c r="P110" s="24" t="n">
        <v>1548</v>
      </c>
      <c r="Q110" s="19" t="n">
        <v>3841</v>
      </c>
      <c r="R110" s="25" t="s">
        <v>9</v>
      </c>
      <c r="S110" s="25" t="n">
        <f aca="false">+I110*Q110*I1</f>
        <v>20933.45</v>
      </c>
      <c r="T110" s="27" t="n">
        <v>251745</v>
      </c>
      <c r="U110" s="27"/>
      <c r="V110" s="4" t="s">
        <v>251</v>
      </c>
      <c r="W110" s="4" t="s">
        <v>157</v>
      </c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</row>
    <row r="111" customFormat="false" ht="12.75" hidden="false" customHeight="false" outlineLevel="0" collapsed="false">
      <c r="A111" s="18" t="s">
        <v>204</v>
      </c>
      <c r="B111" s="19" t="s">
        <v>248</v>
      </c>
      <c r="C111" s="19" t="s">
        <v>249</v>
      </c>
      <c r="D111" s="20" t="n">
        <v>36039</v>
      </c>
      <c r="E111" s="20" t="n">
        <v>37560</v>
      </c>
      <c r="F111" s="18" t="s">
        <v>252</v>
      </c>
      <c r="G111" s="18"/>
      <c r="H111" s="19" t="s">
        <v>155</v>
      </c>
      <c r="I111" s="21" t="n">
        <v>0.0185</v>
      </c>
      <c r="J111" s="22" t="n">
        <v>0</v>
      </c>
      <c r="K111" s="22" t="n">
        <v>0</v>
      </c>
      <c r="L111" s="22" t="n">
        <v>0</v>
      </c>
      <c r="M111" s="22" t="n">
        <v>0</v>
      </c>
      <c r="N111" s="126" t="n">
        <v>0.0369</v>
      </c>
      <c r="O111" s="22" t="n">
        <v>0</v>
      </c>
      <c r="P111" s="24" t="n">
        <v>2210</v>
      </c>
      <c r="Q111" s="19" t="n">
        <v>709765</v>
      </c>
      <c r="R111" s="25" t="s">
        <v>253</v>
      </c>
      <c r="S111" s="25" t="n">
        <f aca="false">+Q111*I111</f>
        <v>13130.6525</v>
      </c>
      <c r="T111" s="27" t="n">
        <v>251751</v>
      </c>
      <c r="U111" s="27" t="n">
        <v>96005270</v>
      </c>
      <c r="V111" s="4" t="s">
        <v>251</v>
      </c>
      <c r="W111" s="4" t="s">
        <v>157</v>
      </c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</row>
    <row r="112" customFormat="false" ht="12.75" hidden="false" customHeight="false" outlineLevel="0" collapsed="false">
      <c r="A112" s="18" t="s">
        <v>204</v>
      </c>
      <c r="B112" s="19" t="s">
        <v>248</v>
      </c>
      <c r="C112" s="19" t="s">
        <v>249</v>
      </c>
      <c r="D112" s="20" t="n">
        <v>36039</v>
      </c>
      <c r="E112" s="20" t="n">
        <v>37560</v>
      </c>
      <c r="F112" s="18" t="s">
        <v>252</v>
      </c>
      <c r="G112" s="18"/>
      <c r="H112" s="19" t="s">
        <v>155</v>
      </c>
      <c r="I112" s="21" t="n">
        <f aca="false">1.15/I$1</f>
        <v>0.0383333333333333</v>
      </c>
      <c r="J112" s="22" t="n">
        <v>0</v>
      </c>
      <c r="K112" s="22" t="n">
        <v>0</v>
      </c>
      <c r="L112" s="22" t="n">
        <v>0</v>
      </c>
      <c r="M112" s="22" t="n">
        <v>0</v>
      </c>
      <c r="N112" s="126" t="n">
        <v>0.0369</v>
      </c>
      <c r="O112" s="22" t="n">
        <v>0</v>
      </c>
      <c r="P112" s="24" t="n">
        <v>2210</v>
      </c>
      <c r="Q112" s="19" t="n">
        <v>14388</v>
      </c>
      <c r="R112" s="25" t="s">
        <v>253</v>
      </c>
      <c r="S112" s="25" t="n">
        <f aca="false">+I112*Q112*I1</f>
        <v>16546.2</v>
      </c>
      <c r="T112" s="27" t="n">
        <v>251751</v>
      </c>
      <c r="U112" s="27" t="n">
        <v>96005270</v>
      </c>
      <c r="V112" s="4" t="s">
        <v>251</v>
      </c>
      <c r="W112" s="4" t="s">
        <v>157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</row>
    <row r="113" customFormat="false" ht="12.75" hidden="false" customHeight="false" outlineLevel="0" collapsed="false">
      <c r="A113" s="18" t="s">
        <v>204</v>
      </c>
      <c r="B113" s="19" t="s">
        <v>248</v>
      </c>
      <c r="C113" s="19" t="s">
        <v>254</v>
      </c>
      <c r="D113" s="20" t="n">
        <v>36039</v>
      </c>
      <c r="E113" s="20" t="n">
        <v>37560</v>
      </c>
      <c r="F113" s="18" t="s">
        <v>252</v>
      </c>
      <c r="G113" s="18"/>
      <c r="H113" s="19" t="s">
        <v>155</v>
      </c>
      <c r="I113" s="21" t="n">
        <v>0.0185</v>
      </c>
      <c r="J113" s="22" t="n">
        <v>0</v>
      </c>
      <c r="K113" s="22" t="n">
        <v>0</v>
      </c>
      <c r="L113" s="22" t="n">
        <v>0</v>
      </c>
      <c r="M113" s="22" t="n">
        <v>0</v>
      </c>
      <c r="N113" s="126" t="n">
        <v>0.0369</v>
      </c>
      <c r="O113" s="22" t="n">
        <v>0</v>
      </c>
      <c r="P113" s="24" t="n">
        <v>2076</v>
      </c>
      <c r="Q113" s="19" t="n">
        <v>11827</v>
      </c>
      <c r="R113" s="25" t="s">
        <v>255</v>
      </c>
      <c r="S113" s="25" t="n">
        <f aca="false">+I113*Q113</f>
        <v>218.7995</v>
      </c>
      <c r="T113" s="27" t="n">
        <v>251691</v>
      </c>
      <c r="U113" s="27" t="n">
        <v>96006727</v>
      </c>
      <c r="V113" s="4"/>
      <c r="W113" s="4" t="s">
        <v>157</v>
      </c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</row>
    <row r="114" customFormat="false" ht="12.75" hidden="false" customHeight="false" outlineLevel="0" collapsed="false">
      <c r="A114" s="18" t="s">
        <v>204</v>
      </c>
      <c r="B114" s="19" t="s">
        <v>248</v>
      </c>
      <c r="C114" s="19" t="s">
        <v>254</v>
      </c>
      <c r="D114" s="20" t="n">
        <v>36039</v>
      </c>
      <c r="E114" s="20" t="n">
        <v>37560</v>
      </c>
      <c r="F114" s="18" t="s">
        <v>252</v>
      </c>
      <c r="G114" s="18"/>
      <c r="H114" s="19"/>
      <c r="I114" s="21" t="n">
        <f aca="false">1.15/I$1</f>
        <v>0.0383333333333333</v>
      </c>
      <c r="J114" s="22"/>
      <c r="K114" s="22"/>
      <c r="L114" s="22"/>
      <c r="M114" s="22"/>
      <c r="N114" s="126"/>
      <c r="O114" s="22"/>
      <c r="P114" s="24" t="n">
        <v>2076</v>
      </c>
      <c r="Q114" s="19" t="n">
        <v>209</v>
      </c>
      <c r="R114" s="25" t="s">
        <v>255</v>
      </c>
      <c r="S114" s="25" t="n">
        <f aca="false">+I114*Q114</f>
        <v>8.01166666666667</v>
      </c>
      <c r="T114" s="27" t="n">
        <v>251691</v>
      </c>
      <c r="U114" s="27"/>
      <c r="V114" s="4"/>
      <c r="W114" s="4" t="s">
        <v>157</v>
      </c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</row>
    <row r="115" customFormat="false" ht="12.75" hidden="false" customHeight="false" outlineLevel="0" collapsed="false">
      <c r="A115" s="18" t="s">
        <v>204</v>
      </c>
      <c r="B115" s="19" t="s">
        <v>248</v>
      </c>
      <c r="C115" s="19" t="s">
        <v>254</v>
      </c>
      <c r="D115" s="20" t="n">
        <v>36039</v>
      </c>
      <c r="E115" s="20" t="n">
        <v>37560</v>
      </c>
      <c r="F115" s="18" t="s">
        <v>250</v>
      </c>
      <c r="G115" s="18" t="s">
        <v>250</v>
      </c>
      <c r="H115" s="19" t="s">
        <v>155</v>
      </c>
      <c r="I115" s="21" t="n">
        <f aca="false">5.61/I$1</f>
        <v>0.187</v>
      </c>
      <c r="J115" s="22" t="n">
        <v>0</v>
      </c>
      <c r="K115" s="22" t="n">
        <v>0</v>
      </c>
      <c r="L115" s="22" t="n">
        <v>0</v>
      </c>
      <c r="M115" s="22" t="n">
        <v>0</v>
      </c>
      <c r="N115" s="126" t="n">
        <v>0.0369</v>
      </c>
      <c r="O115" s="22" t="n">
        <v>0</v>
      </c>
      <c r="P115" s="24" t="n">
        <v>1339</v>
      </c>
      <c r="Q115" s="19" t="n">
        <v>90</v>
      </c>
      <c r="R115" s="25" t="s">
        <v>256</v>
      </c>
      <c r="S115" s="25" t="n">
        <f aca="false">+I115*Q115</f>
        <v>16.83</v>
      </c>
      <c r="T115" s="27" t="n">
        <v>251714</v>
      </c>
      <c r="U115" s="27"/>
      <c r="V115" s="4"/>
      <c r="W115" s="4" t="s">
        <v>157</v>
      </c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</row>
    <row r="116" customFormat="false" ht="12.75" hidden="false" customHeight="false" outlineLevel="0" collapsed="false">
      <c r="A116" s="18" t="s">
        <v>257</v>
      </c>
      <c r="B116" s="19" t="s">
        <v>248</v>
      </c>
      <c r="C116" s="19" t="s">
        <v>258</v>
      </c>
      <c r="D116" s="20" t="n">
        <v>36982</v>
      </c>
      <c r="E116" s="20" t="n">
        <v>37195</v>
      </c>
      <c r="F116" s="18" t="s">
        <v>259</v>
      </c>
      <c r="G116" s="18" t="s">
        <v>260</v>
      </c>
      <c r="H116" s="19" t="s">
        <v>155</v>
      </c>
      <c r="I116" s="21" t="n">
        <v>0.0417</v>
      </c>
      <c r="J116" s="22" t="n">
        <v>0</v>
      </c>
      <c r="K116" s="22" t="n">
        <v>0</v>
      </c>
      <c r="L116" s="22" t="n">
        <v>0</v>
      </c>
      <c r="M116" s="22" t="n">
        <v>0</v>
      </c>
      <c r="N116" s="126" t="n">
        <v>0.0369</v>
      </c>
      <c r="O116" s="22" t="n">
        <v>0</v>
      </c>
      <c r="P116" s="24" t="n">
        <v>36521</v>
      </c>
      <c r="Q116" s="19" t="n">
        <v>10000</v>
      </c>
      <c r="R116" s="25"/>
      <c r="S116" s="25" t="n">
        <f aca="false">+I116*Q116*$I$1</f>
        <v>12510</v>
      </c>
      <c r="T116" s="27" t="n">
        <v>703159</v>
      </c>
      <c r="U116" s="27" t="n">
        <v>96006727</v>
      </c>
      <c r="V116" s="4"/>
      <c r="W116" s="4" t="s">
        <v>157</v>
      </c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</row>
    <row r="117" customFormat="false" ht="12.75" hidden="false" customHeight="false" outlineLevel="0" collapsed="false">
      <c r="A117" s="18" t="s">
        <v>261</v>
      </c>
      <c r="B117" s="19" t="s">
        <v>248</v>
      </c>
      <c r="C117" s="19" t="s">
        <v>262</v>
      </c>
      <c r="D117" s="20" t="n">
        <v>36982</v>
      </c>
      <c r="E117" s="20" t="n">
        <v>37011</v>
      </c>
      <c r="F117" s="18" t="s">
        <v>263</v>
      </c>
      <c r="G117" s="18" t="s">
        <v>260</v>
      </c>
      <c r="H117" s="19"/>
      <c r="I117" s="21" t="n">
        <v>0.125</v>
      </c>
      <c r="J117" s="22"/>
      <c r="K117" s="22"/>
      <c r="L117" s="22"/>
      <c r="M117" s="22"/>
      <c r="N117" s="126"/>
      <c r="O117" s="22"/>
      <c r="P117" s="24"/>
      <c r="Q117" s="19" t="n">
        <v>10000</v>
      </c>
      <c r="R117" s="25"/>
      <c r="S117" s="25" t="n">
        <f aca="false">+I117*Q117*$I$1</f>
        <v>37500</v>
      </c>
      <c r="T117" s="27"/>
      <c r="U117" s="27"/>
      <c r="V117" s="4"/>
      <c r="W117" s="4" t="s">
        <v>157</v>
      </c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</row>
    <row r="118" customFormat="false" ht="12.75" hidden="false" customHeight="false" outlineLevel="0" collapsed="false">
      <c r="A118" s="39" t="s">
        <v>261</v>
      </c>
      <c r="B118" s="107" t="s">
        <v>248</v>
      </c>
      <c r="C118" s="107" t="s">
        <v>262</v>
      </c>
      <c r="D118" s="108" t="n">
        <v>36982</v>
      </c>
      <c r="E118" s="108" t="n">
        <v>37195</v>
      </c>
      <c r="F118" s="39" t="s">
        <v>263</v>
      </c>
      <c r="G118" s="39" t="s">
        <v>260</v>
      </c>
      <c r="H118" s="107"/>
      <c r="I118" s="109" t="n">
        <v>0.125</v>
      </c>
      <c r="J118" s="110"/>
      <c r="K118" s="110"/>
      <c r="L118" s="110"/>
      <c r="M118" s="110"/>
      <c r="N118" s="139"/>
      <c r="O118" s="110"/>
      <c r="P118" s="112"/>
      <c r="Q118" s="107" t="n">
        <v>10000</v>
      </c>
      <c r="R118" s="140"/>
      <c r="S118" s="140" t="n">
        <f aca="false">+I118*Q118*$I$1</f>
        <v>37500</v>
      </c>
      <c r="T118" s="115"/>
      <c r="U118" s="115"/>
      <c r="V118" s="116"/>
      <c r="W118" s="116" t="s">
        <v>157</v>
      </c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  <c r="DK118" s="116"/>
      <c r="DL118" s="116"/>
      <c r="DM118" s="116"/>
      <c r="DN118" s="116"/>
      <c r="DO118" s="116"/>
      <c r="DP118" s="116"/>
      <c r="DQ118" s="116"/>
      <c r="DR118" s="116"/>
      <c r="DS118" s="116"/>
      <c r="DT118" s="116"/>
      <c r="DU118" s="116"/>
      <c r="DV118" s="116"/>
      <c r="DW118" s="116"/>
      <c r="DX118" s="116"/>
      <c r="DY118" s="116"/>
      <c r="DZ118" s="116"/>
      <c r="EA118" s="116"/>
      <c r="EB118" s="116"/>
      <c r="EC118" s="116"/>
      <c r="ED118" s="116"/>
      <c r="EE118" s="116"/>
      <c r="EF118" s="116"/>
      <c r="EG118" s="116"/>
      <c r="EH118" s="116"/>
      <c r="EI118" s="116"/>
      <c r="EJ118" s="116"/>
      <c r="EK118" s="116"/>
      <c r="EL118" s="116"/>
      <c r="EM118" s="116"/>
      <c r="EN118" s="116"/>
      <c r="EO118" s="116"/>
      <c r="EP118" s="116"/>
      <c r="EQ118" s="116"/>
      <c r="ER118" s="116"/>
      <c r="ES118" s="116"/>
      <c r="ET118" s="116"/>
      <c r="EU118" s="116"/>
      <c r="EV118" s="116"/>
      <c r="EW118" s="116"/>
      <c r="EX118" s="116"/>
      <c r="EY118" s="116"/>
      <c r="EZ118" s="116"/>
      <c r="FA118" s="116"/>
      <c r="FB118" s="116"/>
      <c r="FC118" s="116"/>
      <c r="FD118" s="116"/>
      <c r="FE118" s="116"/>
      <c r="FF118" s="116"/>
      <c r="FG118" s="116"/>
      <c r="FH118" s="116"/>
      <c r="FI118" s="116"/>
      <c r="FJ118" s="116"/>
      <c r="FK118" s="116"/>
      <c r="FL118" s="116"/>
      <c r="FM118" s="116"/>
      <c r="FN118" s="116"/>
      <c r="FO118" s="116"/>
      <c r="FP118" s="116"/>
      <c r="FQ118" s="116"/>
      <c r="FR118" s="116"/>
      <c r="FS118" s="116"/>
      <c r="FT118" s="116"/>
      <c r="FU118" s="116"/>
      <c r="FV118" s="116"/>
      <c r="FW118" s="116"/>
      <c r="FX118" s="116"/>
      <c r="FY118" s="116"/>
      <c r="FZ118" s="116"/>
      <c r="GA118" s="116"/>
      <c r="GB118" s="116"/>
      <c r="GC118" s="116"/>
      <c r="GD118" s="116"/>
      <c r="GE118" s="116"/>
      <c r="GF118" s="116"/>
      <c r="GG118" s="116"/>
      <c r="GH118" s="116"/>
      <c r="GI118" s="116"/>
      <c r="GJ118" s="116"/>
      <c r="GK118" s="116"/>
      <c r="GL118" s="116"/>
      <c r="GM118" s="116"/>
      <c r="GN118" s="116"/>
      <c r="GO118" s="116"/>
      <c r="GP118" s="116"/>
      <c r="GQ118" s="116"/>
      <c r="GR118" s="116"/>
      <c r="GS118" s="116"/>
      <c r="GT118" s="116"/>
      <c r="GU118" s="116"/>
      <c r="GV118" s="116"/>
      <c r="GW118" s="116"/>
      <c r="GX118" s="116"/>
      <c r="GY118" s="116"/>
      <c r="GZ118" s="116"/>
      <c r="HA118" s="116"/>
      <c r="HB118" s="116"/>
      <c r="HC118" s="116"/>
      <c r="HD118" s="116"/>
      <c r="HE118" s="116"/>
      <c r="HF118" s="116"/>
      <c r="HG118" s="116"/>
      <c r="HH118" s="116"/>
      <c r="HI118" s="116"/>
      <c r="HJ118" s="116"/>
      <c r="HK118" s="116"/>
      <c r="HL118" s="116"/>
      <c r="HM118" s="116"/>
      <c r="HN118" s="116"/>
      <c r="HO118" s="116"/>
      <c r="HP118" s="116"/>
      <c r="HQ118" s="116"/>
      <c r="HR118" s="116"/>
      <c r="HS118" s="116"/>
      <c r="HT118" s="116"/>
      <c r="HU118" s="116"/>
      <c r="HV118" s="116"/>
      <c r="HW118" s="116"/>
      <c r="HX118" s="116"/>
      <c r="HY118" s="116"/>
      <c r="HZ118" s="116"/>
      <c r="IA118" s="116"/>
      <c r="IB118" s="116"/>
      <c r="IC118" s="116"/>
      <c r="ID118" s="116"/>
      <c r="IE118" s="116"/>
      <c r="IF118" s="116"/>
      <c r="IG118" s="116"/>
      <c r="IH118" s="116"/>
      <c r="II118" s="116"/>
      <c r="IJ118" s="116"/>
      <c r="IK118" s="116"/>
      <c r="IL118" s="116"/>
      <c r="IM118" s="116"/>
      <c r="IN118" s="116"/>
      <c r="IO118" s="116"/>
      <c r="IP118" s="116"/>
      <c r="IQ118" s="116"/>
      <c r="IR118" s="116"/>
      <c r="IS118" s="116"/>
      <c r="IT118" s="116"/>
      <c r="IU118" s="116"/>
      <c r="IV118" s="116"/>
      <c r="IW118" s="116"/>
    </row>
    <row r="119" customFormat="false" ht="12.75" hidden="false" customHeight="false" outlineLevel="0" collapsed="false">
      <c r="A119" s="18" t="s">
        <v>261</v>
      </c>
      <c r="B119" s="19" t="s">
        <v>248</v>
      </c>
      <c r="C119" s="19" t="s">
        <v>262</v>
      </c>
      <c r="D119" s="20" t="n">
        <v>36982</v>
      </c>
      <c r="E119" s="20" t="n">
        <v>37011</v>
      </c>
      <c r="F119" s="18" t="s">
        <v>263</v>
      </c>
      <c r="G119" s="18" t="s">
        <v>260</v>
      </c>
      <c r="H119" s="19" t="s">
        <v>155</v>
      </c>
      <c r="I119" s="21" t="n">
        <v>0.125</v>
      </c>
      <c r="J119" s="22" t="n">
        <v>0</v>
      </c>
      <c r="K119" s="22" t="n">
        <v>0</v>
      </c>
      <c r="L119" s="22" t="n">
        <v>0</v>
      </c>
      <c r="M119" s="22" t="n">
        <v>0</v>
      </c>
      <c r="N119" s="126" t="n">
        <v>0.0369</v>
      </c>
      <c r="O119" s="22" t="n">
        <v>0</v>
      </c>
      <c r="P119" s="24"/>
      <c r="Q119" s="19" t="n">
        <v>10000</v>
      </c>
      <c r="R119" s="25"/>
      <c r="S119" s="25" t="n">
        <f aca="false">+I119*Q119*I1</f>
        <v>37500</v>
      </c>
      <c r="T119" s="27"/>
      <c r="U119" s="27"/>
      <c r="V119" s="4"/>
      <c r="W119" s="4" t="s">
        <v>157</v>
      </c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</row>
    <row r="120" customFormat="false" ht="12" hidden="false" customHeight="true" outlineLevel="0" collapsed="false">
      <c r="A120" s="18" t="s">
        <v>261</v>
      </c>
      <c r="B120" s="19" t="s">
        <v>248</v>
      </c>
      <c r="C120" s="19" t="s">
        <v>262</v>
      </c>
      <c r="D120" s="20" t="n">
        <v>36982</v>
      </c>
      <c r="E120" s="20" t="n">
        <v>37195</v>
      </c>
      <c r="F120" s="18" t="n">
        <v>1</v>
      </c>
      <c r="G120" s="18" t="n">
        <v>1</v>
      </c>
      <c r="H120" s="19" t="s">
        <v>264</v>
      </c>
      <c r="I120" s="21" t="n">
        <v>0</v>
      </c>
      <c r="J120" s="22"/>
      <c r="K120" s="22"/>
      <c r="L120" s="22"/>
      <c r="M120" s="22"/>
      <c r="N120" s="126"/>
      <c r="O120" s="22"/>
      <c r="P120" s="24" t="n">
        <v>36647</v>
      </c>
      <c r="Q120" s="19" t="n">
        <v>10000</v>
      </c>
      <c r="R120" s="141"/>
      <c r="S120" s="25" t="n">
        <v>0</v>
      </c>
      <c r="T120" s="27" t="s">
        <v>265</v>
      </c>
      <c r="U120" s="27"/>
      <c r="V120" s="4"/>
      <c r="W120" s="4" t="s">
        <v>157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</row>
    <row r="121" customFormat="false" ht="12" hidden="false" customHeight="true" outlineLevel="0" collapsed="false">
      <c r="A121" s="18"/>
      <c r="B121" s="19"/>
      <c r="C121" s="19"/>
      <c r="D121" s="20"/>
      <c r="E121" s="20"/>
      <c r="F121" s="18"/>
      <c r="G121" s="18"/>
      <c r="H121" s="19"/>
      <c r="I121" s="27"/>
      <c r="J121" s="22"/>
      <c r="K121" s="22"/>
      <c r="L121" s="22"/>
      <c r="M121" s="22"/>
      <c r="N121" s="126"/>
      <c r="O121" s="22"/>
      <c r="P121" s="24"/>
      <c r="Q121" s="19"/>
      <c r="R121" s="141"/>
      <c r="S121" s="26"/>
      <c r="T121" s="27"/>
      <c r="U121" s="27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</row>
    <row r="122" customFormat="false" ht="12.75" hidden="false" customHeight="false" outlineLevel="0" collapsed="false">
      <c r="A122" s="75" t="s">
        <v>9</v>
      </c>
      <c r="B122" s="70" t="s">
        <v>9</v>
      </c>
      <c r="C122" s="70" t="s">
        <v>9</v>
      </c>
      <c r="D122" s="76" t="s">
        <v>9</v>
      </c>
      <c r="E122" s="76" t="s">
        <v>9</v>
      </c>
      <c r="F122" s="75" t="s">
        <v>9</v>
      </c>
      <c r="G122" s="75" t="s">
        <v>9</v>
      </c>
      <c r="H122" s="70" t="s">
        <v>9</v>
      </c>
      <c r="I122" s="78" t="s">
        <v>9</v>
      </c>
      <c r="J122" s="69" t="s">
        <v>9</v>
      </c>
      <c r="K122" s="69" t="s">
        <v>9</v>
      </c>
      <c r="L122" s="69" t="s">
        <v>9</v>
      </c>
      <c r="M122" s="69" t="s">
        <v>266</v>
      </c>
      <c r="N122" s="142" t="s">
        <v>9</v>
      </c>
      <c r="O122" s="69" t="s">
        <v>9</v>
      </c>
      <c r="P122" s="137" t="s">
        <v>9</v>
      </c>
      <c r="Q122" s="70" t="s">
        <v>9</v>
      </c>
      <c r="R122" s="75" t="s">
        <v>9</v>
      </c>
      <c r="S122" s="36"/>
      <c r="T122" s="38"/>
      <c r="U122" s="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  <c r="BK122" s="138"/>
      <c r="BL122" s="138"/>
      <c r="BM122" s="138"/>
      <c r="BN122" s="138"/>
      <c r="BO122" s="138"/>
      <c r="BP122" s="138"/>
      <c r="BQ122" s="138"/>
      <c r="BR122" s="138"/>
      <c r="BS122" s="138"/>
      <c r="BT122" s="138"/>
      <c r="BU122" s="138"/>
      <c r="BV122" s="138"/>
      <c r="BW122" s="138"/>
      <c r="BX122" s="138"/>
      <c r="BY122" s="138"/>
      <c r="BZ122" s="138"/>
      <c r="CA122" s="138"/>
      <c r="CB122" s="138"/>
      <c r="CC122" s="138"/>
      <c r="CD122" s="138"/>
      <c r="CE122" s="138"/>
      <c r="CF122" s="138"/>
      <c r="CG122" s="138"/>
      <c r="CH122" s="138"/>
      <c r="CI122" s="138"/>
      <c r="CJ122" s="138"/>
      <c r="CK122" s="138"/>
      <c r="CL122" s="138"/>
      <c r="CM122" s="138"/>
      <c r="CN122" s="138"/>
      <c r="CO122" s="138"/>
      <c r="CP122" s="138"/>
      <c r="CQ122" s="138"/>
      <c r="CR122" s="138"/>
      <c r="CS122" s="138"/>
      <c r="CT122" s="138"/>
      <c r="CU122" s="138"/>
      <c r="CV122" s="138"/>
      <c r="CW122" s="138"/>
      <c r="CX122" s="138"/>
      <c r="CY122" s="138"/>
      <c r="CZ122" s="138"/>
      <c r="DA122" s="138"/>
      <c r="DB122" s="138"/>
      <c r="DC122" s="138"/>
      <c r="DD122" s="138"/>
      <c r="DE122" s="138"/>
      <c r="DF122" s="138"/>
      <c r="DG122" s="138"/>
      <c r="DH122" s="138"/>
      <c r="DI122" s="138"/>
      <c r="DJ122" s="138"/>
      <c r="DK122" s="138"/>
      <c r="DL122" s="138"/>
      <c r="DM122" s="138"/>
      <c r="DN122" s="138"/>
      <c r="DO122" s="138"/>
      <c r="DP122" s="138"/>
      <c r="DQ122" s="138"/>
      <c r="DR122" s="138"/>
      <c r="DS122" s="138"/>
      <c r="DT122" s="138"/>
      <c r="DU122" s="138"/>
      <c r="DV122" s="138"/>
      <c r="DW122" s="138"/>
      <c r="DX122" s="138"/>
      <c r="DY122" s="138"/>
      <c r="DZ122" s="138"/>
      <c r="EA122" s="138"/>
      <c r="EB122" s="138"/>
      <c r="EC122" s="138"/>
      <c r="ED122" s="138"/>
      <c r="EE122" s="138"/>
      <c r="EF122" s="138"/>
      <c r="EG122" s="138"/>
      <c r="EH122" s="138"/>
      <c r="EI122" s="138"/>
      <c r="EJ122" s="138"/>
      <c r="EK122" s="138"/>
      <c r="EL122" s="138"/>
      <c r="EM122" s="138"/>
      <c r="EN122" s="138"/>
      <c r="EO122" s="138"/>
      <c r="EP122" s="138"/>
      <c r="EQ122" s="138"/>
      <c r="ER122" s="138"/>
      <c r="ES122" s="138"/>
      <c r="ET122" s="138"/>
      <c r="EU122" s="138"/>
      <c r="EV122" s="138"/>
      <c r="EW122" s="138"/>
      <c r="EX122" s="138"/>
      <c r="EY122" s="138"/>
      <c r="EZ122" s="138"/>
      <c r="FA122" s="138"/>
      <c r="FB122" s="138"/>
      <c r="FC122" s="138"/>
      <c r="FD122" s="138"/>
      <c r="FE122" s="138"/>
      <c r="FF122" s="138"/>
      <c r="FG122" s="138"/>
      <c r="FH122" s="138"/>
      <c r="FI122" s="138"/>
      <c r="FJ122" s="138"/>
      <c r="FK122" s="138"/>
      <c r="FL122" s="138"/>
      <c r="FM122" s="138"/>
      <c r="FN122" s="138"/>
      <c r="FO122" s="138"/>
      <c r="FP122" s="138"/>
      <c r="FQ122" s="138"/>
      <c r="FR122" s="138"/>
      <c r="FS122" s="138"/>
      <c r="FT122" s="138"/>
      <c r="FU122" s="138"/>
      <c r="FV122" s="138"/>
      <c r="FW122" s="138"/>
      <c r="FX122" s="138"/>
      <c r="FY122" s="138"/>
      <c r="FZ122" s="138"/>
      <c r="GA122" s="138"/>
      <c r="GB122" s="138"/>
      <c r="GC122" s="138"/>
      <c r="GD122" s="138"/>
      <c r="GE122" s="138"/>
      <c r="GF122" s="138"/>
      <c r="GG122" s="138"/>
      <c r="GH122" s="138"/>
      <c r="GI122" s="138"/>
      <c r="GJ122" s="138"/>
      <c r="GK122" s="138"/>
      <c r="GL122" s="138"/>
      <c r="GM122" s="138"/>
      <c r="GN122" s="138"/>
      <c r="GO122" s="138"/>
      <c r="GP122" s="138"/>
      <c r="GQ122" s="138"/>
      <c r="GR122" s="138"/>
      <c r="GS122" s="138"/>
      <c r="GT122" s="138"/>
      <c r="GU122" s="138"/>
      <c r="GV122" s="138"/>
      <c r="GW122" s="138"/>
      <c r="GX122" s="138"/>
      <c r="GY122" s="138"/>
      <c r="GZ122" s="138"/>
      <c r="HA122" s="138"/>
      <c r="HB122" s="138"/>
      <c r="HC122" s="138"/>
      <c r="HD122" s="138"/>
      <c r="HE122" s="138"/>
      <c r="HF122" s="138"/>
      <c r="HG122" s="138"/>
      <c r="HH122" s="138"/>
      <c r="HI122" s="138"/>
      <c r="HJ122" s="138"/>
      <c r="HK122" s="138"/>
      <c r="HL122" s="138"/>
      <c r="HM122" s="138"/>
      <c r="HN122" s="138"/>
      <c r="HO122" s="138"/>
      <c r="HP122" s="138"/>
      <c r="HQ122" s="138"/>
      <c r="HR122" s="138"/>
      <c r="HS122" s="138"/>
      <c r="HT122" s="138"/>
      <c r="HU122" s="138"/>
      <c r="HV122" s="138"/>
      <c r="HW122" s="138"/>
      <c r="HX122" s="138"/>
      <c r="HY122" s="138"/>
      <c r="HZ122" s="138"/>
      <c r="IA122" s="138"/>
      <c r="IB122" s="138"/>
      <c r="IC122" s="138"/>
      <c r="ID122" s="138"/>
      <c r="IE122" s="138"/>
      <c r="IF122" s="138"/>
      <c r="IG122" s="138"/>
      <c r="IH122" s="138"/>
      <c r="II122" s="138"/>
      <c r="IJ122" s="138"/>
      <c r="IK122" s="138"/>
      <c r="IL122" s="138"/>
      <c r="IM122" s="138"/>
      <c r="IN122" s="138"/>
      <c r="IO122" s="138"/>
      <c r="IP122" s="138"/>
      <c r="IQ122" s="138"/>
      <c r="IR122" s="138"/>
      <c r="IS122" s="138"/>
      <c r="IT122" s="138"/>
      <c r="IU122" s="138"/>
      <c r="IV122" s="138"/>
      <c r="IW122" s="138"/>
    </row>
    <row r="123" customFormat="false" ht="12.75" hidden="false" customHeight="false" outlineLevel="0" collapsed="false">
      <c r="A123" s="75"/>
      <c r="B123" s="70"/>
      <c r="C123" s="70"/>
      <c r="D123" s="76"/>
      <c r="E123" s="76"/>
      <c r="F123" s="75"/>
      <c r="G123" s="75"/>
      <c r="H123" s="70"/>
      <c r="I123" s="78"/>
      <c r="J123" s="69"/>
      <c r="K123" s="69"/>
      <c r="L123" s="69"/>
      <c r="M123" s="69"/>
      <c r="N123" s="79"/>
      <c r="O123" s="69"/>
      <c r="P123" s="137"/>
      <c r="Q123" s="70" t="n">
        <f aca="false">SUM(Q109:Q122)</f>
        <v>794923</v>
      </c>
      <c r="R123" s="75" t="s">
        <v>185</v>
      </c>
      <c r="S123" s="36" t="n">
        <f aca="false">SUM(S109:S122)</f>
        <v>201176.233966667</v>
      </c>
      <c r="T123" s="37"/>
      <c r="U123" s="38"/>
      <c r="V123" s="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  <c r="BI123" s="138"/>
      <c r="BJ123" s="138"/>
      <c r="BK123" s="138"/>
      <c r="BL123" s="138"/>
      <c r="BM123" s="138"/>
      <c r="BN123" s="138"/>
      <c r="BO123" s="138"/>
      <c r="BP123" s="138"/>
      <c r="BQ123" s="138"/>
      <c r="BR123" s="138"/>
      <c r="BS123" s="138"/>
      <c r="BT123" s="138"/>
      <c r="BU123" s="138"/>
      <c r="BV123" s="138"/>
      <c r="BW123" s="138"/>
      <c r="BX123" s="138"/>
      <c r="BY123" s="138"/>
      <c r="BZ123" s="138"/>
      <c r="CA123" s="138"/>
      <c r="CB123" s="138"/>
      <c r="CC123" s="138"/>
      <c r="CD123" s="138"/>
      <c r="CE123" s="138"/>
      <c r="CF123" s="138"/>
      <c r="CG123" s="138"/>
      <c r="CH123" s="138"/>
      <c r="CI123" s="138"/>
      <c r="CJ123" s="138"/>
      <c r="CK123" s="138"/>
      <c r="CL123" s="138"/>
      <c r="CM123" s="138"/>
      <c r="CN123" s="138"/>
      <c r="CO123" s="138"/>
      <c r="CP123" s="138"/>
      <c r="CQ123" s="138"/>
      <c r="CR123" s="138"/>
      <c r="CS123" s="138"/>
      <c r="CT123" s="138"/>
      <c r="CU123" s="138"/>
      <c r="CV123" s="138"/>
      <c r="CW123" s="138"/>
      <c r="CX123" s="138"/>
      <c r="CY123" s="138"/>
      <c r="CZ123" s="138"/>
      <c r="DA123" s="138"/>
      <c r="DB123" s="138"/>
      <c r="DC123" s="138"/>
      <c r="DD123" s="138"/>
      <c r="DE123" s="138"/>
      <c r="DF123" s="138"/>
      <c r="DG123" s="138"/>
      <c r="DH123" s="138"/>
      <c r="DI123" s="138"/>
      <c r="DJ123" s="138"/>
      <c r="DK123" s="138"/>
      <c r="DL123" s="138"/>
      <c r="DM123" s="138"/>
      <c r="DN123" s="138"/>
      <c r="DO123" s="138"/>
      <c r="DP123" s="138"/>
      <c r="DQ123" s="138"/>
      <c r="DR123" s="138"/>
      <c r="DS123" s="138"/>
      <c r="DT123" s="138"/>
      <c r="DU123" s="138"/>
      <c r="DV123" s="138"/>
      <c r="DW123" s="138"/>
      <c r="DX123" s="138"/>
      <c r="DY123" s="138"/>
      <c r="DZ123" s="138"/>
      <c r="EA123" s="138"/>
      <c r="EB123" s="138"/>
      <c r="EC123" s="138"/>
      <c r="ED123" s="138"/>
      <c r="EE123" s="138"/>
      <c r="EF123" s="138"/>
      <c r="EG123" s="138"/>
      <c r="EH123" s="138"/>
      <c r="EI123" s="138"/>
      <c r="EJ123" s="138"/>
      <c r="EK123" s="138"/>
      <c r="EL123" s="138"/>
      <c r="EM123" s="138"/>
      <c r="EN123" s="138"/>
      <c r="EO123" s="138"/>
      <c r="EP123" s="138"/>
      <c r="EQ123" s="138"/>
      <c r="ER123" s="138"/>
      <c r="ES123" s="138"/>
      <c r="ET123" s="138"/>
      <c r="EU123" s="138"/>
      <c r="EV123" s="138"/>
      <c r="EW123" s="138"/>
      <c r="EX123" s="138"/>
      <c r="EY123" s="138"/>
      <c r="EZ123" s="138"/>
      <c r="FA123" s="138"/>
      <c r="FB123" s="138"/>
      <c r="FC123" s="138"/>
      <c r="FD123" s="138"/>
      <c r="FE123" s="138"/>
      <c r="FF123" s="138"/>
      <c r="FG123" s="138"/>
      <c r="FH123" s="138"/>
      <c r="FI123" s="138"/>
      <c r="FJ123" s="138"/>
      <c r="FK123" s="138"/>
      <c r="FL123" s="138"/>
      <c r="FM123" s="138"/>
      <c r="FN123" s="138"/>
      <c r="FO123" s="138"/>
      <c r="FP123" s="138"/>
      <c r="FQ123" s="138"/>
      <c r="FR123" s="138"/>
      <c r="FS123" s="138"/>
      <c r="FT123" s="138"/>
      <c r="FU123" s="138"/>
      <c r="FV123" s="138"/>
      <c r="FW123" s="138"/>
      <c r="FX123" s="138"/>
      <c r="FY123" s="138"/>
      <c r="FZ123" s="138"/>
      <c r="GA123" s="138"/>
      <c r="GB123" s="138"/>
      <c r="GC123" s="138"/>
      <c r="GD123" s="138"/>
      <c r="GE123" s="138"/>
      <c r="GF123" s="138"/>
      <c r="GG123" s="138"/>
      <c r="GH123" s="138"/>
      <c r="GI123" s="138"/>
      <c r="GJ123" s="138"/>
      <c r="GK123" s="138"/>
      <c r="GL123" s="138"/>
      <c r="GM123" s="138"/>
      <c r="GN123" s="138"/>
      <c r="GO123" s="138"/>
      <c r="GP123" s="138"/>
      <c r="GQ123" s="138"/>
      <c r="GR123" s="138"/>
      <c r="GS123" s="138"/>
      <c r="GT123" s="138"/>
      <c r="GU123" s="138"/>
      <c r="GV123" s="138"/>
      <c r="GW123" s="138"/>
      <c r="GX123" s="138"/>
      <c r="GY123" s="138"/>
      <c r="GZ123" s="138"/>
      <c r="HA123" s="138"/>
      <c r="HB123" s="138"/>
      <c r="HC123" s="138"/>
      <c r="HD123" s="138"/>
      <c r="HE123" s="138"/>
      <c r="HF123" s="138"/>
      <c r="HG123" s="138"/>
      <c r="HH123" s="138"/>
      <c r="HI123" s="138"/>
      <c r="HJ123" s="138"/>
      <c r="HK123" s="138"/>
      <c r="HL123" s="138"/>
      <c r="HM123" s="138"/>
      <c r="HN123" s="138"/>
      <c r="HO123" s="138"/>
      <c r="HP123" s="138"/>
      <c r="HQ123" s="138"/>
      <c r="HR123" s="138"/>
      <c r="HS123" s="138"/>
      <c r="HT123" s="138"/>
      <c r="HU123" s="138"/>
      <c r="HV123" s="138"/>
      <c r="HW123" s="138"/>
      <c r="HX123" s="138"/>
      <c r="HY123" s="138"/>
      <c r="HZ123" s="138"/>
      <c r="IA123" s="138"/>
      <c r="IB123" s="138"/>
      <c r="IC123" s="138"/>
      <c r="ID123" s="138"/>
      <c r="IE123" s="138"/>
      <c r="IF123" s="138"/>
      <c r="IG123" s="138"/>
      <c r="IH123" s="138"/>
      <c r="II123" s="138"/>
      <c r="IJ123" s="138"/>
      <c r="IK123" s="138"/>
      <c r="IL123" s="138"/>
      <c r="IM123" s="138"/>
      <c r="IN123" s="138"/>
      <c r="IO123" s="138"/>
      <c r="IP123" s="138"/>
      <c r="IQ123" s="138"/>
      <c r="IR123" s="138"/>
      <c r="IS123" s="138"/>
      <c r="IT123" s="138"/>
      <c r="IU123" s="138"/>
      <c r="IV123" s="138"/>
      <c r="IW123" s="138"/>
    </row>
    <row r="124" customFormat="false" ht="12.75" hidden="false" customHeight="false" outlineLevel="0" collapsed="false">
      <c r="A124" s="18"/>
      <c r="B124" s="19"/>
      <c r="C124" s="19"/>
      <c r="D124" s="20"/>
      <c r="E124" s="20"/>
      <c r="F124" s="18"/>
      <c r="G124" s="18"/>
      <c r="H124" s="19"/>
      <c r="I124" s="21"/>
      <c r="J124" s="22"/>
      <c r="K124" s="22"/>
      <c r="L124" s="22"/>
      <c r="M124" s="22"/>
      <c r="N124" s="23"/>
      <c r="O124" s="22"/>
      <c r="P124" s="24"/>
      <c r="Q124" s="72"/>
      <c r="R124" s="75" t="s">
        <v>186</v>
      </c>
      <c r="S124" s="36" t="n">
        <f aca="false">SUM(S109:S115)</f>
        <v>76166.2339666667</v>
      </c>
      <c r="T124" s="26"/>
      <c r="U124" s="27"/>
      <c r="V124" s="27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</row>
    <row r="125" customFormat="false" ht="13.5" hidden="false" customHeight="false" outlineLevel="0" collapsed="false">
      <c r="A125" s="18"/>
      <c r="B125" s="19"/>
      <c r="C125" s="19"/>
      <c r="D125" s="20"/>
      <c r="E125" s="20"/>
      <c r="F125" s="18"/>
      <c r="G125" s="18"/>
      <c r="H125" s="19"/>
      <c r="I125" s="21"/>
      <c r="J125" s="22"/>
      <c r="K125" s="22"/>
      <c r="L125" s="22"/>
      <c r="M125" s="22"/>
      <c r="N125" s="23"/>
      <c r="O125" s="22"/>
      <c r="P125" s="24"/>
      <c r="Q125" s="72"/>
      <c r="R125" s="75" t="s">
        <v>187</v>
      </c>
      <c r="S125" s="104" t="n">
        <f aca="false">+S123-S124</f>
        <v>125010</v>
      </c>
      <c r="T125" s="26"/>
      <c r="U125" s="27"/>
      <c r="V125" s="27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</row>
    <row r="126" customFormat="false" ht="13.5" hidden="false" customHeight="false" outlineLevel="0" collapsed="false">
      <c r="A126" s="18"/>
      <c r="B126" s="19"/>
      <c r="C126" s="19"/>
      <c r="D126" s="20"/>
      <c r="E126" s="20"/>
      <c r="F126" s="18"/>
      <c r="G126" s="18"/>
      <c r="H126" s="19"/>
      <c r="I126" s="21"/>
      <c r="J126" s="22"/>
      <c r="K126" s="22"/>
      <c r="L126" s="22"/>
      <c r="M126" s="22"/>
      <c r="N126" s="23"/>
      <c r="O126" s="22"/>
      <c r="P126" s="24"/>
      <c r="Q126" s="19"/>
      <c r="R126" s="18"/>
      <c r="S126" s="25"/>
      <c r="T126" s="26"/>
      <c r="U126" s="27"/>
      <c r="V126" s="27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</row>
    <row r="127" customFormat="false" ht="12.75" hidden="false" customHeight="false" outlineLevel="0" collapsed="false">
      <c r="A127" s="119" t="s">
        <v>109</v>
      </c>
      <c r="B127" s="120" t="s">
        <v>110</v>
      </c>
      <c r="C127" s="120" t="s">
        <v>111</v>
      </c>
      <c r="D127" s="121" t="s">
        <v>112</v>
      </c>
      <c r="E127" s="121"/>
      <c r="F127" s="119" t="s">
        <v>113</v>
      </c>
      <c r="G127" s="119" t="s">
        <v>114</v>
      </c>
      <c r="H127" s="120" t="s">
        <v>115</v>
      </c>
      <c r="I127" s="122" t="s">
        <v>116</v>
      </c>
      <c r="J127" s="120" t="s">
        <v>117</v>
      </c>
      <c r="K127" s="120" t="s">
        <v>118</v>
      </c>
      <c r="L127" s="120" t="s">
        <v>119</v>
      </c>
      <c r="M127" s="120" t="s">
        <v>120</v>
      </c>
      <c r="N127" s="123" t="s">
        <v>121</v>
      </c>
      <c r="O127" s="120" t="s">
        <v>122</v>
      </c>
      <c r="P127" s="124" t="s">
        <v>123</v>
      </c>
      <c r="Q127" s="120" t="s">
        <v>124</v>
      </c>
      <c r="R127" s="119" t="s">
        <v>125</v>
      </c>
      <c r="S127" s="87" t="s">
        <v>213</v>
      </c>
      <c r="T127" s="87" t="s">
        <v>233</v>
      </c>
      <c r="U127" s="89"/>
      <c r="V127" s="89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  <c r="AZ127" s="125"/>
      <c r="BA127" s="125"/>
      <c r="BB127" s="125"/>
      <c r="BC127" s="125"/>
      <c r="BD127" s="125"/>
      <c r="BE127" s="125"/>
      <c r="BF127" s="125"/>
      <c r="BG127" s="125"/>
      <c r="BH127" s="125"/>
      <c r="BI127" s="125"/>
      <c r="BJ127" s="125"/>
      <c r="BK127" s="125"/>
      <c r="BL127" s="125"/>
      <c r="BM127" s="125"/>
      <c r="BN127" s="125"/>
      <c r="BO127" s="125"/>
      <c r="BP127" s="125"/>
      <c r="BQ127" s="125"/>
      <c r="BR127" s="125"/>
      <c r="BS127" s="125"/>
      <c r="BT127" s="125"/>
      <c r="BU127" s="125"/>
      <c r="BV127" s="125"/>
      <c r="BW127" s="125"/>
      <c r="BX127" s="125"/>
      <c r="BY127" s="125"/>
      <c r="BZ127" s="125"/>
      <c r="CA127" s="125"/>
      <c r="CB127" s="125"/>
      <c r="CC127" s="125"/>
      <c r="CD127" s="125"/>
      <c r="CE127" s="125"/>
      <c r="CF127" s="125"/>
      <c r="CG127" s="125"/>
      <c r="CH127" s="125"/>
      <c r="CI127" s="125"/>
      <c r="CJ127" s="125"/>
      <c r="CK127" s="125"/>
      <c r="CL127" s="125"/>
      <c r="CM127" s="125"/>
      <c r="CN127" s="125"/>
      <c r="CO127" s="125"/>
      <c r="CP127" s="125"/>
      <c r="CQ127" s="125"/>
      <c r="CR127" s="125"/>
      <c r="CS127" s="125"/>
      <c r="CT127" s="125"/>
      <c r="CU127" s="125"/>
      <c r="CV127" s="125"/>
      <c r="CW127" s="125"/>
      <c r="CX127" s="125"/>
      <c r="CY127" s="125"/>
      <c r="CZ127" s="125"/>
      <c r="DA127" s="125"/>
      <c r="DB127" s="125"/>
      <c r="DC127" s="125"/>
      <c r="DD127" s="125"/>
      <c r="DE127" s="125"/>
      <c r="DF127" s="125"/>
      <c r="DG127" s="125"/>
      <c r="DH127" s="125"/>
      <c r="DI127" s="125"/>
      <c r="DJ127" s="125"/>
      <c r="DK127" s="125"/>
      <c r="DL127" s="125"/>
      <c r="DM127" s="125"/>
      <c r="DN127" s="125"/>
      <c r="DO127" s="125"/>
      <c r="DP127" s="125"/>
      <c r="DQ127" s="125"/>
      <c r="DR127" s="125"/>
      <c r="DS127" s="125"/>
      <c r="DT127" s="125"/>
      <c r="DU127" s="125"/>
      <c r="DV127" s="125"/>
      <c r="DW127" s="125"/>
      <c r="DX127" s="125"/>
      <c r="DY127" s="125"/>
      <c r="DZ127" s="125"/>
      <c r="EA127" s="125"/>
      <c r="EB127" s="125"/>
      <c r="EC127" s="125"/>
      <c r="ED127" s="125"/>
      <c r="EE127" s="125"/>
      <c r="EF127" s="125"/>
      <c r="EG127" s="125"/>
      <c r="EH127" s="125"/>
      <c r="EI127" s="125"/>
      <c r="EJ127" s="125"/>
      <c r="EK127" s="125"/>
      <c r="EL127" s="125"/>
      <c r="EM127" s="125"/>
      <c r="EN127" s="125"/>
      <c r="EO127" s="125"/>
      <c r="EP127" s="125"/>
      <c r="EQ127" s="125"/>
      <c r="ER127" s="125"/>
      <c r="ES127" s="125"/>
      <c r="ET127" s="125"/>
      <c r="EU127" s="125"/>
      <c r="EV127" s="125"/>
      <c r="EW127" s="125"/>
      <c r="EX127" s="125"/>
      <c r="EY127" s="125"/>
      <c r="EZ127" s="125"/>
      <c r="FA127" s="125"/>
      <c r="FB127" s="125"/>
      <c r="FC127" s="125"/>
      <c r="FD127" s="125"/>
      <c r="FE127" s="125"/>
      <c r="FF127" s="125"/>
      <c r="FG127" s="125"/>
      <c r="FH127" s="125"/>
      <c r="FI127" s="125"/>
      <c r="FJ127" s="125"/>
      <c r="FK127" s="125"/>
      <c r="FL127" s="125"/>
      <c r="FM127" s="125"/>
      <c r="FN127" s="125"/>
      <c r="FO127" s="125"/>
      <c r="FP127" s="125"/>
      <c r="FQ127" s="125"/>
      <c r="FR127" s="125"/>
      <c r="FS127" s="125"/>
      <c r="FT127" s="125"/>
      <c r="FU127" s="125"/>
      <c r="FV127" s="125"/>
      <c r="FW127" s="125"/>
      <c r="FX127" s="125"/>
      <c r="FY127" s="125"/>
      <c r="FZ127" s="125"/>
      <c r="GA127" s="125"/>
      <c r="GB127" s="125"/>
      <c r="GC127" s="125"/>
      <c r="GD127" s="125"/>
      <c r="GE127" s="125"/>
      <c r="GF127" s="125"/>
      <c r="GG127" s="125"/>
      <c r="GH127" s="125"/>
      <c r="GI127" s="125"/>
      <c r="GJ127" s="125"/>
      <c r="GK127" s="125"/>
      <c r="GL127" s="125"/>
      <c r="GM127" s="125"/>
      <c r="GN127" s="125"/>
      <c r="GO127" s="125"/>
      <c r="GP127" s="125"/>
      <c r="GQ127" s="125"/>
      <c r="GR127" s="125"/>
      <c r="GS127" s="125"/>
      <c r="GT127" s="125"/>
      <c r="GU127" s="125"/>
      <c r="GV127" s="125"/>
      <c r="GW127" s="125"/>
      <c r="GX127" s="125"/>
      <c r="GY127" s="125"/>
      <c r="GZ127" s="125"/>
      <c r="HA127" s="125"/>
      <c r="HB127" s="125"/>
      <c r="HC127" s="125"/>
      <c r="HD127" s="125"/>
      <c r="HE127" s="125"/>
      <c r="HF127" s="125"/>
      <c r="HG127" s="125"/>
      <c r="HH127" s="125"/>
      <c r="HI127" s="125"/>
      <c r="HJ127" s="125"/>
      <c r="HK127" s="125"/>
      <c r="HL127" s="125"/>
      <c r="HM127" s="125"/>
      <c r="HN127" s="125"/>
      <c r="HO127" s="125"/>
      <c r="HP127" s="125"/>
      <c r="HQ127" s="125"/>
      <c r="HR127" s="125"/>
      <c r="HS127" s="125"/>
      <c r="HT127" s="125"/>
      <c r="HU127" s="125"/>
      <c r="HV127" s="125"/>
      <c r="HW127" s="125"/>
      <c r="HX127" s="125"/>
      <c r="HY127" s="125"/>
      <c r="HZ127" s="125"/>
      <c r="IA127" s="125"/>
      <c r="IB127" s="125"/>
      <c r="IC127" s="125"/>
      <c r="ID127" s="125"/>
      <c r="IE127" s="125"/>
      <c r="IF127" s="125"/>
      <c r="IG127" s="125"/>
      <c r="IH127" s="125"/>
      <c r="II127" s="125"/>
      <c r="IJ127" s="125"/>
      <c r="IK127" s="125"/>
      <c r="IL127" s="125"/>
      <c r="IM127" s="125"/>
      <c r="IN127" s="125"/>
      <c r="IO127" s="125"/>
      <c r="IP127" s="125"/>
      <c r="IQ127" s="125"/>
      <c r="IR127" s="125"/>
      <c r="IS127" s="125"/>
      <c r="IT127" s="125"/>
      <c r="IU127" s="125"/>
      <c r="IV127" s="125"/>
      <c r="IW127" s="125"/>
    </row>
    <row r="128" customFormat="false" ht="12.75" hidden="false" customHeight="false" outlineLevel="0" collapsed="false">
      <c r="A128" s="18" t="s">
        <v>223</v>
      </c>
      <c r="B128" s="19" t="s">
        <v>248</v>
      </c>
      <c r="C128" s="19" t="s">
        <v>227</v>
      </c>
      <c r="D128" s="20" t="n">
        <v>36342</v>
      </c>
      <c r="E128" s="20" t="n">
        <v>39172</v>
      </c>
      <c r="F128" s="18" t="s">
        <v>267</v>
      </c>
      <c r="G128" s="18" t="s">
        <v>268</v>
      </c>
      <c r="H128" s="19" t="s">
        <v>264</v>
      </c>
      <c r="I128" s="21" t="n">
        <f aca="false">10.81/I$1</f>
        <v>0.360333333333333</v>
      </c>
      <c r="J128" s="22" t="n">
        <v>0</v>
      </c>
      <c r="K128" s="22" t="n">
        <v>0.0022</v>
      </c>
      <c r="L128" s="22" t="n">
        <v>0.0075</v>
      </c>
      <c r="M128" s="22" t="n">
        <v>0</v>
      </c>
      <c r="N128" s="142" t="n">
        <v>0.0131</v>
      </c>
      <c r="O128" s="22" t="n">
        <f aca="false">SUM(I128:M128)</f>
        <v>0.370033333333333</v>
      </c>
      <c r="P128" s="24" t="n">
        <v>29667</v>
      </c>
      <c r="Q128" s="19" t="n">
        <v>35000</v>
      </c>
      <c r="R128" s="143" t="s">
        <v>269</v>
      </c>
      <c r="S128" s="25" t="n">
        <f aca="false">I128*I$1*Q128</f>
        <v>378350</v>
      </c>
      <c r="T128" s="25"/>
      <c r="U128" s="27" t="s">
        <v>270</v>
      </c>
      <c r="V128" s="27"/>
      <c r="W128" s="4" t="s">
        <v>157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</row>
    <row r="129" customFormat="false" ht="12" hidden="false" customHeight="true" outlineLevel="0" collapsed="false">
      <c r="A129" s="18" t="s">
        <v>145</v>
      </c>
      <c r="B129" s="19" t="s">
        <v>271</v>
      </c>
      <c r="C129" s="19" t="s">
        <v>262</v>
      </c>
      <c r="D129" s="20" t="n">
        <v>36617</v>
      </c>
      <c r="E129" s="20" t="n">
        <v>36829</v>
      </c>
      <c r="F129" s="18" t="n">
        <v>4</v>
      </c>
      <c r="G129" s="18" t="n">
        <v>6</v>
      </c>
      <c r="H129" s="19" t="s">
        <v>155</v>
      </c>
      <c r="I129" s="21" t="n">
        <f aca="false">0.76/I$1</f>
        <v>0.0253333333333333</v>
      </c>
      <c r="J129" s="22" t="n">
        <v>0</v>
      </c>
      <c r="K129" s="22" t="n">
        <v>0</v>
      </c>
      <c r="L129" s="22" t="n">
        <v>0</v>
      </c>
      <c r="M129" s="22" t="n">
        <v>0</v>
      </c>
      <c r="N129" s="126" t="n">
        <v>0.0101</v>
      </c>
      <c r="O129" s="22" t="n">
        <f aca="false">SUM(I129:M129)</f>
        <v>0.0253333333333333</v>
      </c>
      <c r="P129" s="24" t="n">
        <v>33141</v>
      </c>
      <c r="Q129" s="19" t="n">
        <v>0</v>
      </c>
      <c r="R129" s="141" t="s">
        <v>9</v>
      </c>
      <c r="S129" s="25" t="n">
        <f aca="false">I129*I$1*Q129</f>
        <v>0</v>
      </c>
      <c r="T129" s="25"/>
      <c r="U129" s="27" t="n">
        <v>238860</v>
      </c>
      <c r="V129" s="27"/>
      <c r="W129" s="4" t="s">
        <v>232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</row>
    <row r="130" customFormat="false" ht="12" hidden="false" customHeight="true" outlineLevel="0" collapsed="false">
      <c r="A130" s="18" t="s">
        <v>272</v>
      </c>
      <c r="B130" s="19" t="s">
        <v>248</v>
      </c>
      <c r="C130" s="19" t="s">
        <v>262</v>
      </c>
      <c r="D130" s="20" t="n">
        <v>36896</v>
      </c>
      <c r="E130" s="20" t="n">
        <v>36922</v>
      </c>
      <c r="F130" s="18" t="s">
        <v>273</v>
      </c>
      <c r="G130" s="18" t="s">
        <v>274</v>
      </c>
      <c r="H130" s="19" t="s">
        <v>155</v>
      </c>
      <c r="I130" s="21" t="n">
        <v>0</v>
      </c>
      <c r="J130" s="22" t="n">
        <v>0</v>
      </c>
      <c r="K130" s="22" t="n">
        <v>0</v>
      </c>
      <c r="L130" s="22" t="n">
        <v>0</v>
      </c>
      <c r="M130" s="22" t="n">
        <v>0</v>
      </c>
      <c r="N130" s="126" t="n">
        <v>0.0101</v>
      </c>
      <c r="O130" s="22" t="n">
        <f aca="false">SUM(I130:M130)</f>
        <v>0</v>
      </c>
      <c r="P130" s="24" t="n">
        <v>2891</v>
      </c>
      <c r="Q130" s="19" t="n">
        <v>5000</v>
      </c>
      <c r="R130" s="141" t="s">
        <v>275</v>
      </c>
      <c r="S130" s="144"/>
      <c r="T130" s="25"/>
      <c r="U130" s="27" t="n">
        <v>238860</v>
      </c>
      <c r="V130" s="27"/>
      <c r="W130" s="4" t="s">
        <v>157</v>
      </c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</row>
    <row r="131" customFormat="false" ht="12.75" hidden="false" customHeight="false" outlineLevel="0" collapsed="false">
      <c r="A131" s="75" t="s">
        <v>9</v>
      </c>
      <c r="B131" s="70" t="s">
        <v>9</v>
      </c>
      <c r="C131" s="70" t="s">
        <v>9</v>
      </c>
      <c r="D131" s="76" t="s">
        <v>9</v>
      </c>
      <c r="E131" s="76" t="s">
        <v>9</v>
      </c>
      <c r="F131" s="75" t="s">
        <v>9</v>
      </c>
      <c r="G131" s="75" t="s">
        <v>9</v>
      </c>
      <c r="H131" s="70" t="s">
        <v>9</v>
      </c>
      <c r="I131" s="78" t="s">
        <v>9</v>
      </c>
      <c r="J131" s="69" t="s">
        <v>9</v>
      </c>
      <c r="K131" s="69" t="s">
        <v>9</v>
      </c>
      <c r="L131" s="69" t="s">
        <v>9</v>
      </c>
      <c r="M131" s="69" t="s">
        <v>266</v>
      </c>
      <c r="N131" s="142" t="s">
        <v>9</v>
      </c>
      <c r="O131" s="69" t="s">
        <v>9</v>
      </c>
      <c r="P131" s="137" t="s">
        <v>9</v>
      </c>
      <c r="Q131" s="70" t="s">
        <v>9</v>
      </c>
      <c r="R131" s="75" t="s">
        <v>9</v>
      </c>
      <c r="S131" s="36"/>
      <c r="T131" s="36" t="n">
        <f aca="false">SUM(T127:T129)</f>
        <v>0</v>
      </c>
      <c r="U131" s="38"/>
      <c r="V131" s="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  <c r="BI131" s="138"/>
      <c r="BJ131" s="138"/>
      <c r="BK131" s="138"/>
      <c r="BL131" s="138"/>
      <c r="BM131" s="138"/>
      <c r="BN131" s="138"/>
      <c r="BO131" s="138"/>
      <c r="BP131" s="138"/>
      <c r="BQ131" s="138"/>
      <c r="BR131" s="138"/>
      <c r="BS131" s="138"/>
      <c r="BT131" s="138"/>
      <c r="BU131" s="138"/>
      <c r="BV131" s="138"/>
      <c r="BW131" s="138"/>
      <c r="BX131" s="138"/>
      <c r="BY131" s="138"/>
      <c r="BZ131" s="138"/>
      <c r="CA131" s="138"/>
      <c r="CB131" s="138"/>
      <c r="CC131" s="138"/>
      <c r="CD131" s="138"/>
      <c r="CE131" s="138"/>
      <c r="CF131" s="138"/>
      <c r="CG131" s="138"/>
      <c r="CH131" s="138"/>
      <c r="CI131" s="138"/>
      <c r="CJ131" s="138"/>
      <c r="CK131" s="138"/>
      <c r="CL131" s="138"/>
      <c r="CM131" s="138"/>
      <c r="CN131" s="138"/>
      <c r="CO131" s="138"/>
      <c r="CP131" s="138"/>
      <c r="CQ131" s="138"/>
      <c r="CR131" s="138"/>
      <c r="CS131" s="138"/>
      <c r="CT131" s="138"/>
      <c r="CU131" s="138"/>
      <c r="CV131" s="138"/>
      <c r="CW131" s="138"/>
      <c r="CX131" s="138"/>
      <c r="CY131" s="138"/>
      <c r="CZ131" s="138"/>
      <c r="DA131" s="138"/>
      <c r="DB131" s="138"/>
      <c r="DC131" s="138"/>
      <c r="DD131" s="138"/>
      <c r="DE131" s="138"/>
      <c r="DF131" s="138"/>
      <c r="DG131" s="138"/>
      <c r="DH131" s="138"/>
      <c r="DI131" s="138"/>
      <c r="DJ131" s="138"/>
      <c r="DK131" s="138"/>
      <c r="DL131" s="138"/>
      <c r="DM131" s="138"/>
      <c r="DN131" s="138"/>
      <c r="DO131" s="138"/>
      <c r="DP131" s="138"/>
      <c r="DQ131" s="138"/>
      <c r="DR131" s="138"/>
      <c r="DS131" s="138"/>
      <c r="DT131" s="138"/>
      <c r="DU131" s="138"/>
      <c r="DV131" s="138"/>
      <c r="DW131" s="138"/>
      <c r="DX131" s="138"/>
      <c r="DY131" s="138"/>
      <c r="DZ131" s="138"/>
      <c r="EA131" s="138"/>
      <c r="EB131" s="138"/>
      <c r="EC131" s="138"/>
      <c r="ED131" s="138"/>
      <c r="EE131" s="138"/>
      <c r="EF131" s="138"/>
      <c r="EG131" s="138"/>
      <c r="EH131" s="138"/>
      <c r="EI131" s="138"/>
      <c r="EJ131" s="138"/>
      <c r="EK131" s="138"/>
      <c r="EL131" s="138"/>
      <c r="EM131" s="138"/>
      <c r="EN131" s="138"/>
      <c r="EO131" s="138"/>
      <c r="EP131" s="138"/>
      <c r="EQ131" s="138"/>
      <c r="ER131" s="138"/>
      <c r="ES131" s="138"/>
      <c r="ET131" s="138"/>
      <c r="EU131" s="138"/>
      <c r="EV131" s="138"/>
      <c r="EW131" s="138"/>
      <c r="EX131" s="138"/>
      <c r="EY131" s="138"/>
      <c r="EZ131" s="138"/>
      <c r="FA131" s="138"/>
      <c r="FB131" s="138"/>
      <c r="FC131" s="138"/>
      <c r="FD131" s="138"/>
      <c r="FE131" s="138"/>
      <c r="FF131" s="138"/>
      <c r="FG131" s="138"/>
      <c r="FH131" s="138"/>
      <c r="FI131" s="138"/>
      <c r="FJ131" s="138"/>
      <c r="FK131" s="138"/>
      <c r="FL131" s="138"/>
      <c r="FM131" s="138"/>
      <c r="FN131" s="138"/>
      <c r="FO131" s="138"/>
      <c r="FP131" s="138"/>
      <c r="FQ131" s="138"/>
      <c r="FR131" s="138"/>
      <c r="FS131" s="138"/>
      <c r="FT131" s="138"/>
      <c r="FU131" s="138"/>
      <c r="FV131" s="138"/>
      <c r="FW131" s="138"/>
      <c r="FX131" s="138"/>
      <c r="FY131" s="138"/>
      <c r="FZ131" s="138"/>
      <c r="GA131" s="138"/>
      <c r="GB131" s="138"/>
      <c r="GC131" s="138"/>
      <c r="GD131" s="138"/>
      <c r="GE131" s="138"/>
      <c r="GF131" s="138"/>
      <c r="GG131" s="138"/>
      <c r="GH131" s="138"/>
      <c r="GI131" s="138"/>
      <c r="GJ131" s="138"/>
      <c r="GK131" s="138"/>
      <c r="GL131" s="138"/>
      <c r="GM131" s="138"/>
      <c r="GN131" s="138"/>
      <c r="GO131" s="138"/>
      <c r="GP131" s="138"/>
      <c r="GQ131" s="138"/>
      <c r="GR131" s="138"/>
      <c r="GS131" s="138"/>
      <c r="GT131" s="138"/>
      <c r="GU131" s="138"/>
      <c r="GV131" s="138"/>
      <c r="GW131" s="138"/>
      <c r="GX131" s="138"/>
      <c r="GY131" s="138"/>
      <c r="GZ131" s="138"/>
      <c r="HA131" s="138"/>
      <c r="HB131" s="138"/>
      <c r="HC131" s="138"/>
      <c r="HD131" s="138"/>
      <c r="HE131" s="138"/>
      <c r="HF131" s="138"/>
      <c r="HG131" s="138"/>
      <c r="HH131" s="138"/>
      <c r="HI131" s="138"/>
      <c r="HJ131" s="138"/>
      <c r="HK131" s="138"/>
      <c r="HL131" s="138"/>
      <c r="HM131" s="138"/>
      <c r="HN131" s="138"/>
      <c r="HO131" s="138"/>
      <c r="HP131" s="138"/>
      <c r="HQ131" s="138"/>
      <c r="HR131" s="138"/>
      <c r="HS131" s="138"/>
      <c r="HT131" s="138"/>
      <c r="HU131" s="138"/>
      <c r="HV131" s="138"/>
      <c r="HW131" s="138"/>
      <c r="HX131" s="138"/>
      <c r="HY131" s="138"/>
      <c r="HZ131" s="138"/>
      <c r="IA131" s="138"/>
      <c r="IB131" s="138"/>
      <c r="IC131" s="138"/>
      <c r="ID131" s="138"/>
      <c r="IE131" s="138"/>
      <c r="IF131" s="138"/>
      <c r="IG131" s="138"/>
      <c r="IH131" s="138"/>
      <c r="II131" s="138"/>
      <c r="IJ131" s="138"/>
      <c r="IK131" s="138"/>
      <c r="IL131" s="138"/>
      <c r="IM131" s="138"/>
      <c r="IN131" s="138"/>
      <c r="IO131" s="138"/>
      <c r="IP131" s="138"/>
      <c r="IQ131" s="138"/>
      <c r="IR131" s="138"/>
      <c r="IS131" s="138"/>
      <c r="IT131" s="138"/>
      <c r="IU131" s="138"/>
      <c r="IV131" s="138"/>
      <c r="IW131" s="138"/>
    </row>
    <row r="132" customFormat="false" ht="12.75" hidden="false" customHeight="false" outlineLevel="0" collapsed="false">
      <c r="A132" s="75"/>
      <c r="B132" s="70"/>
      <c r="C132" s="70" t="n">
        <f aca="false">65000/12</f>
        <v>5416.66666666667</v>
      </c>
      <c r="D132" s="76"/>
      <c r="E132" s="76"/>
      <c r="F132" s="75"/>
      <c r="G132" s="75"/>
      <c r="H132" s="70"/>
      <c r="I132" s="78"/>
      <c r="J132" s="69"/>
      <c r="K132" s="69"/>
      <c r="L132" s="69"/>
      <c r="M132" s="69"/>
      <c r="N132" s="79"/>
      <c r="O132" s="69"/>
      <c r="P132" s="137"/>
      <c r="Q132" s="70" t="n">
        <f aca="false">SUM(Q128:Q131)</f>
        <v>40000</v>
      </c>
      <c r="R132" s="75" t="s">
        <v>185</v>
      </c>
      <c r="S132" s="36" t="n">
        <f aca="false">SUM(S128:S131)</f>
        <v>378350</v>
      </c>
      <c r="T132" s="36"/>
      <c r="U132" s="37"/>
      <c r="V132" s="38"/>
      <c r="W132" s="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  <c r="BI132" s="138"/>
      <c r="BJ132" s="138"/>
      <c r="BK132" s="138"/>
      <c r="BL132" s="138"/>
      <c r="BM132" s="138"/>
      <c r="BN132" s="138"/>
      <c r="BO132" s="138"/>
      <c r="BP132" s="138"/>
      <c r="BQ132" s="138"/>
      <c r="BR132" s="138"/>
      <c r="BS132" s="138"/>
      <c r="BT132" s="138"/>
      <c r="BU132" s="138"/>
      <c r="BV132" s="138"/>
      <c r="BW132" s="138"/>
      <c r="BX132" s="138"/>
      <c r="BY132" s="138"/>
      <c r="BZ132" s="138"/>
      <c r="CA132" s="138"/>
      <c r="CB132" s="138"/>
      <c r="CC132" s="138"/>
      <c r="CD132" s="138"/>
      <c r="CE132" s="138"/>
      <c r="CF132" s="138"/>
      <c r="CG132" s="138"/>
      <c r="CH132" s="138"/>
      <c r="CI132" s="138"/>
      <c r="CJ132" s="138"/>
      <c r="CK132" s="138"/>
      <c r="CL132" s="138"/>
      <c r="CM132" s="138"/>
      <c r="CN132" s="138"/>
      <c r="CO132" s="138"/>
      <c r="CP132" s="138"/>
      <c r="CQ132" s="138"/>
      <c r="CR132" s="138"/>
      <c r="CS132" s="138"/>
      <c r="CT132" s="138"/>
      <c r="CU132" s="138"/>
      <c r="CV132" s="138"/>
      <c r="CW132" s="138"/>
      <c r="CX132" s="138"/>
      <c r="CY132" s="138"/>
      <c r="CZ132" s="138"/>
      <c r="DA132" s="138"/>
      <c r="DB132" s="138"/>
      <c r="DC132" s="138"/>
      <c r="DD132" s="138"/>
      <c r="DE132" s="138"/>
      <c r="DF132" s="138"/>
      <c r="DG132" s="138"/>
      <c r="DH132" s="138"/>
      <c r="DI132" s="138"/>
      <c r="DJ132" s="138"/>
      <c r="DK132" s="138"/>
      <c r="DL132" s="138"/>
      <c r="DM132" s="138"/>
      <c r="DN132" s="138"/>
      <c r="DO132" s="138"/>
      <c r="DP132" s="138"/>
      <c r="DQ132" s="138"/>
      <c r="DR132" s="138"/>
      <c r="DS132" s="138"/>
      <c r="DT132" s="138"/>
      <c r="DU132" s="138"/>
      <c r="DV132" s="138"/>
      <c r="DW132" s="138"/>
      <c r="DX132" s="138"/>
      <c r="DY132" s="138"/>
      <c r="DZ132" s="138"/>
      <c r="EA132" s="138"/>
      <c r="EB132" s="138"/>
      <c r="EC132" s="138"/>
      <c r="ED132" s="138"/>
      <c r="EE132" s="138"/>
      <c r="EF132" s="138"/>
      <c r="EG132" s="138"/>
      <c r="EH132" s="138"/>
      <c r="EI132" s="138"/>
      <c r="EJ132" s="138"/>
      <c r="EK132" s="138"/>
      <c r="EL132" s="138"/>
      <c r="EM132" s="138"/>
      <c r="EN132" s="138"/>
      <c r="EO132" s="138"/>
      <c r="EP132" s="138"/>
      <c r="EQ132" s="138"/>
      <c r="ER132" s="138"/>
      <c r="ES132" s="138"/>
      <c r="ET132" s="138"/>
      <c r="EU132" s="138"/>
      <c r="EV132" s="138"/>
      <c r="EW132" s="138"/>
      <c r="EX132" s="138"/>
      <c r="EY132" s="138"/>
      <c r="EZ132" s="138"/>
      <c r="FA132" s="138"/>
      <c r="FB132" s="138"/>
      <c r="FC132" s="138"/>
      <c r="FD132" s="138"/>
      <c r="FE132" s="138"/>
      <c r="FF132" s="138"/>
      <c r="FG132" s="138"/>
      <c r="FH132" s="138"/>
      <c r="FI132" s="138"/>
      <c r="FJ132" s="138"/>
      <c r="FK132" s="138"/>
      <c r="FL132" s="138"/>
      <c r="FM132" s="138"/>
      <c r="FN132" s="138"/>
      <c r="FO132" s="138"/>
      <c r="FP132" s="138"/>
      <c r="FQ132" s="138"/>
      <c r="FR132" s="138"/>
      <c r="FS132" s="138"/>
      <c r="FT132" s="138"/>
      <c r="FU132" s="138"/>
      <c r="FV132" s="138"/>
      <c r="FW132" s="138"/>
      <c r="FX132" s="138"/>
      <c r="FY132" s="138"/>
      <c r="FZ132" s="138"/>
      <c r="GA132" s="138"/>
      <c r="GB132" s="138"/>
      <c r="GC132" s="138"/>
      <c r="GD132" s="138"/>
      <c r="GE132" s="138"/>
      <c r="GF132" s="138"/>
      <c r="GG132" s="138"/>
      <c r="GH132" s="138"/>
      <c r="GI132" s="138"/>
      <c r="GJ132" s="138"/>
      <c r="GK132" s="138"/>
      <c r="GL132" s="138"/>
      <c r="GM132" s="138"/>
      <c r="GN132" s="138"/>
      <c r="GO132" s="138"/>
      <c r="GP132" s="138"/>
      <c r="GQ132" s="138"/>
      <c r="GR132" s="138"/>
      <c r="GS132" s="138"/>
      <c r="GT132" s="138"/>
      <c r="GU132" s="138"/>
      <c r="GV132" s="138"/>
      <c r="GW132" s="138"/>
      <c r="GX132" s="138"/>
      <c r="GY132" s="138"/>
      <c r="GZ132" s="138"/>
      <c r="HA132" s="138"/>
      <c r="HB132" s="138"/>
      <c r="HC132" s="138"/>
      <c r="HD132" s="138"/>
      <c r="HE132" s="138"/>
      <c r="HF132" s="138"/>
      <c r="HG132" s="138"/>
      <c r="HH132" s="138"/>
      <c r="HI132" s="138"/>
      <c r="HJ132" s="138"/>
      <c r="HK132" s="138"/>
      <c r="HL132" s="138"/>
      <c r="HM132" s="138"/>
      <c r="HN132" s="138"/>
      <c r="HO132" s="138"/>
      <c r="HP132" s="138"/>
      <c r="HQ132" s="138"/>
      <c r="HR132" s="138"/>
      <c r="HS132" s="138"/>
      <c r="HT132" s="138"/>
      <c r="HU132" s="138"/>
      <c r="HV132" s="138"/>
      <c r="HW132" s="138"/>
      <c r="HX132" s="138"/>
      <c r="HY132" s="138"/>
      <c r="HZ132" s="138"/>
      <c r="IA132" s="138"/>
      <c r="IB132" s="138"/>
      <c r="IC132" s="138"/>
      <c r="ID132" s="138"/>
      <c r="IE132" s="138"/>
      <c r="IF132" s="138"/>
      <c r="IG132" s="138"/>
      <c r="IH132" s="138"/>
      <c r="II132" s="138"/>
      <c r="IJ132" s="138"/>
      <c r="IK132" s="138"/>
      <c r="IL132" s="138"/>
      <c r="IM132" s="138"/>
      <c r="IN132" s="138"/>
      <c r="IO132" s="138"/>
      <c r="IP132" s="138"/>
      <c r="IQ132" s="138"/>
      <c r="IR132" s="138"/>
      <c r="IS132" s="138"/>
      <c r="IT132" s="138"/>
      <c r="IU132" s="138"/>
      <c r="IV132" s="138"/>
      <c r="IW132" s="138"/>
    </row>
    <row r="133" customFormat="false" ht="12.75" hidden="false" customHeight="false" outlineLevel="0" collapsed="false">
      <c r="A133" s="18"/>
      <c r="B133" s="19"/>
      <c r="C133" s="19"/>
      <c r="D133" s="20"/>
      <c r="E133" s="20"/>
      <c r="F133" s="18"/>
      <c r="G133" s="18"/>
      <c r="H133" s="19"/>
      <c r="I133" s="21"/>
      <c r="J133" s="22"/>
      <c r="K133" s="22"/>
      <c r="L133" s="22"/>
      <c r="M133" s="22"/>
      <c r="N133" s="23"/>
      <c r="O133" s="22"/>
      <c r="P133" s="24"/>
      <c r="Q133" s="72"/>
      <c r="R133" s="75" t="s">
        <v>186</v>
      </c>
      <c r="S133" s="36" t="n">
        <f aca="false">SUM(S128)</f>
        <v>378350</v>
      </c>
      <c r="T133" s="25"/>
      <c r="U133" s="26"/>
      <c r="V133" s="27"/>
      <c r="W133" s="27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</row>
    <row r="134" customFormat="false" ht="13.5" hidden="false" customHeight="false" outlineLevel="0" collapsed="false">
      <c r="A134" s="18"/>
      <c r="B134" s="19"/>
      <c r="C134" s="19"/>
      <c r="D134" s="20"/>
      <c r="E134" s="20"/>
      <c r="F134" s="18"/>
      <c r="G134" s="18"/>
      <c r="H134" s="19"/>
      <c r="I134" s="21"/>
      <c r="J134" s="22"/>
      <c r="K134" s="22"/>
      <c r="L134" s="22"/>
      <c r="M134" s="22"/>
      <c r="N134" s="23"/>
      <c r="O134" s="22"/>
      <c r="P134" s="24"/>
      <c r="Q134" s="72"/>
      <c r="R134" s="75" t="s">
        <v>187</v>
      </c>
      <c r="S134" s="104" t="n">
        <f aca="false">+S132-S133</f>
        <v>0</v>
      </c>
      <c r="T134" s="25"/>
      <c r="U134" s="26"/>
      <c r="V134" s="27"/>
      <c r="W134" s="27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</row>
    <row r="135" customFormat="false" ht="13.5" hidden="false" customHeight="false" outlineLevel="0" collapsed="false">
      <c r="A135" s="18"/>
      <c r="B135" s="19"/>
      <c r="C135" s="19"/>
      <c r="D135" s="20"/>
      <c r="E135" s="20"/>
      <c r="F135" s="18"/>
      <c r="G135" s="18"/>
      <c r="H135" s="19"/>
      <c r="I135" s="21"/>
      <c r="J135" s="22"/>
      <c r="K135" s="22"/>
      <c r="L135" s="22"/>
      <c r="M135" s="22"/>
      <c r="N135" s="23"/>
      <c r="O135" s="22"/>
      <c r="P135" s="24"/>
      <c r="Q135" s="19"/>
      <c r="R135" s="18"/>
      <c r="S135" s="25"/>
      <c r="T135" s="25"/>
      <c r="U135" s="26"/>
      <c r="V135" s="27"/>
      <c r="W135" s="27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</row>
    <row r="136" customFormat="false" ht="12.75" hidden="false" customHeight="false" outlineLevel="0" collapsed="false">
      <c r="A136" s="119" t="s">
        <v>109</v>
      </c>
      <c r="B136" s="120" t="s">
        <v>110</v>
      </c>
      <c r="C136" s="120" t="s">
        <v>111</v>
      </c>
      <c r="D136" s="121" t="s">
        <v>112</v>
      </c>
      <c r="E136" s="121"/>
      <c r="F136" s="119" t="s">
        <v>113</v>
      </c>
      <c r="G136" s="119" t="s">
        <v>114</v>
      </c>
      <c r="H136" s="120" t="s">
        <v>222</v>
      </c>
      <c r="I136" s="122" t="s">
        <v>116</v>
      </c>
      <c r="J136" s="120" t="s">
        <v>117</v>
      </c>
      <c r="K136" s="120" t="s">
        <v>118</v>
      </c>
      <c r="L136" s="120" t="s">
        <v>119</v>
      </c>
      <c r="M136" s="120" t="s">
        <v>120</v>
      </c>
      <c r="N136" s="135" t="s">
        <v>121</v>
      </c>
      <c r="O136" s="120" t="s">
        <v>122</v>
      </c>
      <c r="P136" s="124" t="s">
        <v>149</v>
      </c>
      <c r="Q136" s="120" t="s">
        <v>124</v>
      </c>
      <c r="R136" s="119" t="s">
        <v>125</v>
      </c>
      <c r="S136" s="87" t="s">
        <v>126</v>
      </c>
      <c r="T136" s="136" t="s">
        <v>150</v>
      </c>
      <c r="U136" s="89"/>
      <c r="V136" s="89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125"/>
      <c r="AK136" s="125"/>
      <c r="AL136" s="125"/>
      <c r="AM136" s="125"/>
      <c r="AN136" s="125"/>
      <c r="AO136" s="125"/>
      <c r="AP136" s="125"/>
      <c r="AQ136" s="125"/>
      <c r="AR136" s="125"/>
      <c r="AS136" s="125"/>
      <c r="AT136" s="125"/>
      <c r="AU136" s="125"/>
      <c r="AV136" s="125"/>
      <c r="AW136" s="125"/>
      <c r="AX136" s="125"/>
      <c r="AY136" s="125"/>
      <c r="AZ136" s="125"/>
      <c r="BA136" s="125"/>
      <c r="BB136" s="125"/>
      <c r="BC136" s="125"/>
      <c r="BD136" s="125"/>
      <c r="BE136" s="125"/>
      <c r="BF136" s="125"/>
      <c r="BG136" s="125"/>
      <c r="BH136" s="125"/>
      <c r="BI136" s="125"/>
      <c r="BJ136" s="125"/>
      <c r="BK136" s="125"/>
      <c r="BL136" s="125"/>
      <c r="BM136" s="125"/>
      <c r="BN136" s="125"/>
      <c r="BO136" s="125"/>
      <c r="BP136" s="125"/>
      <c r="BQ136" s="125"/>
      <c r="BR136" s="125"/>
      <c r="BS136" s="125"/>
      <c r="BT136" s="125"/>
      <c r="BU136" s="125"/>
      <c r="BV136" s="125"/>
      <c r="BW136" s="125"/>
      <c r="BX136" s="125"/>
      <c r="BY136" s="125"/>
      <c r="BZ136" s="125"/>
      <c r="CA136" s="125"/>
      <c r="CB136" s="125"/>
      <c r="CC136" s="125"/>
      <c r="CD136" s="125"/>
      <c r="CE136" s="125"/>
      <c r="CF136" s="125"/>
      <c r="CG136" s="125"/>
      <c r="CH136" s="125"/>
      <c r="CI136" s="125"/>
      <c r="CJ136" s="125"/>
      <c r="CK136" s="125"/>
      <c r="CL136" s="125"/>
      <c r="CM136" s="125"/>
      <c r="CN136" s="125"/>
      <c r="CO136" s="125"/>
      <c r="CP136" s="125"/>
      <c r="CQ136" s="125"/>
      <c r="CR136" s="125"/>
      <c r="CS136" s="125"/>
      <c r="CT136" s="125"/>
      <c r="CU136" s="125"/>
      <c r="CV136" s="125"/>
      <c r="CW136" s="125"/>
      <c r="CX136" s="125"/>
      <c r="CY136" s="125"/>
      <c r="CZ136" s="125"/>
      <c r="DA136" s="125"/>
      <c r="DB136" s="125"/>
      <c r="DC136" s="125"/>
      <c r="DD136" s="125"/>
      <c r="DE136" s="125"/>
      <c r="DF136" s="125"/>
      <c r="DG136" s="125"/>
      <c r="DH136" s="125"/>
      <c r="DI136" s="125"/>
      <c r="DJ136" s="125"/>
      <c r="DK136" s="125"/>
      <c r="DL136" s="125"/>
      <c r="DM136" s="125"/>
      <c r="DN136" s="125"/>
      <c r="DO136" s="125"/>
      <c r="DP136" s="125"/>
      <c r="DQ136" s="125"/>
      <c r="DR136" s="125"/>
      <c r="DS136" s="125"/>
      <c r="DT136" s="125"/>
      <c r="DU136" s="125"/>
      <c r="DV136" s="125"/>
      <c r="DW136" s="125"/>
      <c r="DX136" s="125"/>
      <c r="DY136" s="125"/>
      <c r="DZ136" s="125"/>
      <c r="EA136" s="125"/>
      <c r="EB136" s="125"/>
      <c r="EC136" s="125"/>
      <c r="ED136" s="125"/>
      <c r="EE136" s="125"/>
      <c r="EF136" s="125"/>
      <c r="EG136" s="125"/>
      <c r="EH136" s="125"/>
      <c r="EI136" s="125"/>
      <c r="EJ136" s="125"/>
      <c r="EK136" s="125"/>
      <c r="EL136" s="125"/>
      <c r="EM136" s="125"/>
      <c r="EN136" s="125"/>
      <c r="EO136" s="125"/>
      <c r="EP136" s="125"/>
      <c r="EQ136" s="125"/>
      <c r="ER136" s="125"/>
      <c r="ES136" s="125"/>
      <c r="ET136" s="125"/>
      <c r="EU136" s="125"/>
      <c r="EV136" s="125"/>
      <c r="EW136" s="125"/>
      <c r="EX136" s="125"/>
      <c r="EY136" s="125"/>
      <c r="EZ136" s="125"/>
      <c r="FA136" s="125"/>
      <c r="FB136" s="125"/>
      <c r="FC136" s="125"/>
      <c r="FD136" s="125"/>
      <c r="FE136" s="125"/>
      <c r="FF136" s="125"/>
      <c r="FG136" s="125"/>
      <c r="FH136" s="125"/>
      <c r="FI136" s="125"/>
      <c r="FJ136" s="125"/>
      <c r="FK136" s="125"/>
      <c r="FL136" s="125"/>
      <c r="FM136" s="125"/>
      <c r="FN136" s="125"/>
      <c r="FO136" s="125"/>
      <c r="FP136" s="125"/>
      <c r="FQ136" s="125"/>
      <c r="FR136" s="125"/>
      <c r="FS136" s="125"/>
      <c r="FT136" s="125"/>
      <c r="FU136" s="125"/>
      <c r="FV136" s="125"/>
      <c r="FW136" s="125"/>
      <c r="FX136" s="125"/>
      <c r="FY136" s="125"/>
      <c r="FZ136" s="125"/>
      <c r="GA136" s="125"/>
      <c r="GB136" s="125"/>
      <c r="GC136" s="125"/>
      <c r="GD136" s="125"/>
      <c r="GE136" s="125"/>
      <c r="GF136" s="125"/>
      <c r="GG136" s="125"/>
      <c r="GH136" s="125"/>
      <c r="GI136" s="125"/>
      <c r="GJ136" s="125"/>
      <c r="GK136" s="125"/>
      <c r="GL136" s="125"/>
      <c r="GM136" s="125"/>
      <c r="GN136" s="125"/>
      <c r="GO136" s="125"/>
      <c r="GP136" s="125"/>
      <c r="GQ136" s="125"/>
      <c r="GR136" s="125"/>
      <c r="GS136" s="125"/>
      <c r="GT136" s="125"/>
      <c r="GU136" s="125"/>
      <c r="GV136" s="125"/>
      <c r="GW136" s="125"/>
      <c r="GX136" s="125"/>
      <c r="GY136" s="125"/>
      <c r="GZ136" s="125"/>
      <c r="HA136" s="125"/>
      <c r="HB136" s="125"/>
      <c r="HC136" s="125"/>
      <c r="HD136" s="125"/>
      <c r="HE136" s="125"/>
      <c r="HF136" s="125"/>
      <c r="HG136" s="125"/>
      <c r="HH136" s="125"/>
      <c r="HI136" s="125"/>
      <c r="HJ136" s="125"/>
      <c r="HK136" s="125"/>
      <c r="HL136" s="125"/>
      <c r="HM136" s="125"/>
      <c r="HN136" s="125"/>
      <c r="HO136" s="125"/>
      <c r="HP136" s="125"/>
      <c r="HQ136" s="125"/>
      <c r="HR136" s="125"/>
      <c r="HS136" s="125"/>
      <c r="HT136" s="125"/>
      <c r="HU136" s="125"/>
      <c r="HV136" s="125"/>
      <c r="HW136" s="125"/>
      <c r="HX136" s="125"/>
      <c r="HY136" s="125"/>
      <c r="HZ136" s="125"/>
      <c r="IA136" s="125"/>
      <c r="IB136" s="125"/>
      <c r="IC136" s="125"/>
      <c r="ID136" s="125"/>
      <c r="IE136" s="125"/>
      <c r="IF136" s="125"/>
      <c r="IG136" s="125"/>
      <c r="IH136" s="125"/>
      <c r="II136" s="125"/>
      <c r="IJ136" s="125"/>
      <c r="IK136" s="125"/>
      <c r="IL136" s="125"/>
      <c r="IM136" s="125"/>
      <c r="IN136" s="125"/>
      <c r="IO136" s="125"/>
      <c r="IP136" s="125"/>
      <c r="IQ136" s="125"/>
      <c r="IR136" s="125"/>
      <c r="IS136" s="125"/>
      <c r="IT136" s="125"/>
      <c r="IU136" s="125"/>
      <c r="IV136" s="125"/>
      <c r="IW136" s="125"/>
    </row>
    <row r="137" customFormat="false" ht="12.75" hidden="false" customHeight="false" outlineLevel="0" collapsed="false">
      <c r="A137" s="145" t="s">
        <v>145</v>
      </c>
      <c r="B137" s="146" t="s">
        <v>276</v>
      </c>
      <c r="C137" s="146" t="s">
        <v>277</v>
      </c>
      <c r="D137" s="147" t="n">
        <v>36982</v>
      </c>
      <c r="E137" s="147" t="n">
        <v>37195</v>
      </c>
      <c r="F137" s="145" t="s">
        <v>278</v>
      </c>
      <c r="G137" s="145" t="s">
        <v>279</v>
      </c>
      <c r="H137" s="146" t="s">
        <v>9</v>
      </c>
      <c r="I137" s="148" t="n">
        <f aca="false">0.9135*0.0328767</f>
        <v>0.03003286545</v>
      </c>
      <c r="J137" s="149"/>
      <c r="K137" s="149"/>
      <c r="L137" s="149"/>
      <c r="M137" s="149"/>
      <c r="N137" s="150"/>
      <c r="O137" s="149"/>
      <c r="P137" s="151" t="n">
        <v>910077</v>
      </c>
      <c r="Q137" s="146" t="n">
        <v>10000</v>
      </c>
      <c r="R137" s="145" t="s">
        <v>9</v>
      </c>
      <c r="S137" s="140" t="n">
        <f aca="false">I137*$I$1*Q137</f>
        <v>9009.859635</v>
      </c>
      <c r="T137" s="152" t="n">
        <v>703658</v>
      </c>
      <c r="U137" s="152"/>
      <c r="V137" s="153" t="s">
        <v>280</v>
      </c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3"/>
      <c r="BN137" s="153"/>
      <c r="BO137" s="153"/>
      <c r="BP137" s="153"/>
      <c r="BQ137" s="153"/>
      <c r="BR137" s="153"/>
      <c r="BS137" s="153"/>
      <c r="BT137" s="153"/>
      <c r="BU137" s="153"/>
      <c r="BV137" s="153"/>
      <c r="BW137" s="153"/>
      <c r="BX137" s="153"/>
      <c r="BY137" s="153"/>
      <c r="BZ137" s="153"/>
      <c r="CA137" s="153"/>
      <c r="CB137" s="153"/>
      <c r="CC137" s="153"/>
      <c r="CD137" s="153"/>
      <c r="CE137" s="153"/>
      <c r="CF137" s="153"/>
      <c r="CG137" s="153"/>
      <c r="CH137" s="153"/>
      <c r="CI137" s="153"/>
      <c r="CJ137" s="153"/>
      <c r="CK137" s="153"/>
      <c r="CL137" s="153"/>
      <c r="CM137" s="153"/>
      <c r="CN137" s="153"/>
      <c r="CO137" s="153"/>
      <c r="CP137" s="153"/>
      <c r="CQ137" s="153"/>
      <c r="CR137" s="153"/>
      <c r="CS137" s="153"/>
      <c r="CT137" s="153"/>
      <c r="CU137" s="153"/>
      <c r="CV137" s="153"/>
      <c r="CW137" s="153"/>
      <c r="CX137" s="153"/>
      <c r="CY137" s="153"/>
      <c r="CZ137" s="153"/>
      <c r="DA137" s="153"/>
      <c r="DB137" s="153"/>
      <c r="DC137" s="153"/>
      <c r="DD137" s="153"/>
      <c r="DE137" s="153"/>
      <c r="DF137" s="153"/>
      <c r="DG137" s="153"/>
      <c r="DH137" s="153"/>
      <c r="DI137" s="153"/>
      <c r="DJ137" s="153"/>
      <c r="DK137" s="153"/>
      <c r="DL137" s="153"/>
      <c r="DM137" s="153"/>
      <c r="DN137" s="153"/>
      <c r="DO137" s="153"/>
      <c r="DP137" s="153"/>
      <c r="DQ137" s="153"/>
      <c r="DR137" s="153"/>
      <c r="DS137" s="153"/>
      <c r="DT137" s="153"/>
      <c r="DU137" s="153"/>
      <c r="DV137" s="153"/>
      <c r="DW137" s="153"/>
      <c r="DX137" s="153"/>
      <c r="DY137" s="153"/>
      <c r="DZ137" s="153"/>
      <c r="EA137" s="153"/>
      <c r="EB137" s="153"/>
      <c r="EC137" s="153"/>
      <c r="ED137" s="153"/>
      <c r="EE137" s="153"/>
      <c r="EF137" s="153"/>
      <c r="EG137" s="153"/>
      <c r="EH137" s="153"/>
      <c r="EI137" s="153"/>
      <c r="EJ137" s="153"/>
      <c r="EK137" s="153"/>
      <c r="EL137" s="153"/>
      <c r="EM137" s="153"/>
      <c r="EN137" s="153"/>
      <c r="EO137" s="153"/>
      <c r="EP137" s="153"/>
      <c r="EQ137" s="153"/>
      <c r="ER137" s="153"/>
      <c r="ES137" s="153"/>
      <c r="ET137" s="153"/>
      <c r="EU137" s="153"/>
      <c r="EV137" s="153"/>
      <c r="EW137" s="153"/>
      <c r="EX137" s="153"/>
      <c r="EY137" s="153"/>
      <c r="EZ137" s="153"/>
      <c r="FA137" s="153"/>
      <c r="FB137" s="153"/>
      <c r="FC137" s="153"/>
      <c r="FD137" s="153"/>
      <c r="FE137" s="153"/>
      <c r="FF137" s="153"/>
      <c r="FG137" s="153"/>
      <c r="FH137" s="153"/>
      <c r="FI137" s="153"/>
      <c r="FJ137" s="153"/>
      <c r="FK137" s="153"/>
      <c r="FL137" s="153"/>
      <c r="FM137" s="153"/>
      <c r="FN137" s="153"/>
      <c r="FO137" s="153"/>
      <c r="FP137" s="153"/>
      <c r="FQ137" s="153"/>
      <c r="FR137" s="153"/>
      <c r="FS137" s="153"/>
      <c r="FT137" s="153"/>
      <c r="FU137" s="153"/>
      <c r="FV137" s="153"/>
      <c r="FW137" s="153"/>
      <c r="FX137" s="153"/>
      <c r="FY137" s="153"/>
      <c r="FZ137" s="153"/>
      <c r="GA137" s="153"/>
      <c r="GB137" s="153"/>
      <c r="GC137" s="153"/>
      <c r="GD137" s="153"/>
      <c r="GE137" s="153"/>
      <c r="GF137" s="153"/>
      <c r="GG137" s="153"/>
      <c r="GH137" s="153"/>
      <c r="GI137" s="153"/>
      <c r="GJ137" s="153"/>
      <c r="GK137" s="153"/>
      <c r="GL137" s="153"/>
      <c r="GM137" s="153"/>
      <c r="GN137" s="153"/>
      <c r="GO137" s="153"/>
      <c r="GP137" s="153"/>
      <c r="GQ137" s="153"/>
      <c r="GR137" s="153"/>
      <c r="GS137" s="153"/>
      <c r="GT137" s="153"/>
      <c r="GU137" s="153"/>
      <c r="GV137" s="153"/>
      <c r="GW137" s="153"/>
      <c r="GX137" s="153"/>
      <c r="GY137" s="153"/>
      <c r="GZ137" s="153"/>
      <c r="HA137" s="153"/>
      <c r="HB137" s="153"/>
      <c r="HC137" s="153"/>
      <c r="HD137" s="153"/>
      <c r="HE137" s="153"/>
      <c r="HF137" s="153"/>
      <c r="HG137" s="153"/>
      <c r="HH137" s="153"/>
      <c r="HI137" s="153"/>
      <c r="HJ137" s="153"/>
      <c r="HK137" s="153"/>
      <c r="HL137" s="153"/>
      <c r="HM137" s="153"/>
      <c r="HN137" s="153"/>
      <c r="HO137" s="153"/>
      <c r="HP137" s="153"/>
      <c r="HQ137" s="153"/>
      <c r="HR137" s="153"/>
      <c r="HS137" s="153"/>
      <c r="HT137" s="153"/>
      <c r="HU137" s="153"/>
      <c r="HV137" s="153"/>
      <c r="HW137" s="153"/>
      <c r="HX137" s="153"/>
      <c r="HY137" s="153"/>
      <c r="HZ137" s="153"/>
      <c r="IA137" s="153"/>
      <c r="IB137" s="153"/>
      <c r="IC137" s="153"/>
      <c r="ID137" s="153"/>
      <c r="IE137" s="153"/>
      <c r="IF137" s="153"/>
      <c r="IG137" s="153"/>
      <c r="IH137" s="153"/>
      <c r="II137" s="153"/>
      <c r="IJ137" s="153"/>
      <c r="IK137" s="153"/>
      <c r="IL137" s="153"/>
      <c r="IM137" s="153"/>
      <c r="IN137" s="153"/>
      <c r="IO137" s="153"/>
      <c r="IP137" s="153"/>
      <c r="IQ137" s="153"/>
      <c r="IR137" s="153"/>
      <c r="IS137" s="153"/>
      <c r="IT137" s="153"/>
      <c r="IU137" s="153"/>
      <c r="IV137" s="153"/>
      <c r="IW137" s="153"/>
    </row>
    <row r="138" customFormat="false" ht="12.75" hidden="false" customHeight="false" outlineLevel="0" collapsed="false">
      <c r="A138" s="145" t="s">
        <v>145</v>
      </c>
      <c r="B138" s="146" t="s">
        <v>276</v>
      </c>
      <c r="C138" s="146" t="s">
        <v>277</v>
      </c>
      <c r="D138" s="147" t="n">
        <v>36982</v>
      </c>
      <c r="E138" s="147" t="n">
        <v>37011</v>
      </c>
      <c r="F138" s="145" t="s">
        <v>278</v>
      </c>
      <c r="G138" s="145" t="s">
        <v>279</v>
      </c>
      <c r="H138" s="146" t="s">
        <v>9</v>
      </c>
      <c r="I138" s="148" t="n">
        <f aca="false">1.2166668*0.0328767</f>
        <v>0.03999998938356</v>
      </c>
      <c r="J138" s="149"/>
      <c r="K138" s="149"/>
      <c r="L138" s="149"/>
      <c r="M138" s="149"/>
      <c r="N138" s="150"/>
      <c r="O138" s="149"/>
      <c r="P138" s="151" t="n">
        <v>910115</v>
      </c>
      <c r="Q138" s="146" t="n">
        <v>5000</v>
      </c>
      <c r="R138" s="145" t="s">
        <v>9</v>
      </c>
      <c r="S138" s="140" t="n">
        <f aca="false">I138*$I$1*Q138</f>
        <v>5999.998407534</v>
      </c>
      <c r="T138" s="152" t="n">
        <v>705564</v>
      </c>
      <c r="U138" s="152"/>
      <c r="V138" s="153" t="s">
        <v>280</v>
      </c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3"/>
      <c r="BN138" s="153"/>
      <c r="BO138" s="153"/>
      <c r="BP138" s="153"/>
      <c r="BQ138" s="153"/>
      <c r="BR138" s="153"/>
      <c r="BS138" s="153"/>
      <c r="BT138" s="153"/>
      <c r="BU138" s="153"/>
      <c r="BV138" s="153"/>
      <c r="BW138" s="153"/>
      <c r="BX138" s="153"/>
      <c r="BY138" s="153"/>
      <c r="BZ138" s="153"/>
      <c r="CA138" s="153"/>
      <c r="CB138" s="153"/>
      <c r="CC138" s="153"/>
      <c r="CD138" s="153"/>
      <c r="CE138" s="153"/>
      <c r="CF138" s="153"/>
      <c r="CG138" s="153"/>
      <c r="CH138" s="153"/>
      <c r="CI138" s="153"/>
      <c r="CJ138" s="153"/>
      <c r="CK138" s="153"/>
      <c r="CL138" s="153"/>
      <c r="CM138" s="153"/>
      <c r="CN138" s="153"/>
      <c r="CO138" s="153"/>
      <c r="CP138" s="153"/>
      <c r="CQ138" s="153"/>
      <c r="CR138" s="153"/>
      <c r="CS138" s="153"/>
      <c r="CT138" s="153"/>
      <c r="CU138" s="153"/>
      <c r="CV138" s="153"/>
      <c r="CW138" s="153"/>
      <c r="CX138" s="153"/>
      <c r="CY138" s="153"/>
      <c r="CZ138" s="153"/>
      <c r="DA138" s="153"/>
      <c r="DB138" s="153"/>
      <c r="DC138" s="153"/>
      <c r="DD138" s="153"/>
      <c r="DE138" s="153"/>
      <c r="DF138" s="153"/>
      <c r="DG138" s="153"/>
      <c r="DH138" s="153"/>
      <c r="DI138" s="153"/>
      <c r="DJ138" s="153"/>
      <c r="DK138" s="153"/>
      <c r="DL138" s="153"/>
      <c r="DM138" s="153"/>
      <c r="DN138" s="153"/>
      <c r="DO138" s="153"/>
      <c r="DP138" s="153"/>
      <c r="DQ138" s="153"/>
      <c r="DR138" s="153"/>
      <c r="DS138" s="153"/>
      <c r="DT138" s="153"/>
      <c r="DU138" s="153"/>
      <c r="DV138" s="153"/>
      <c r="DW138" s="153"/>
      <c r="DX138" s="153"/>
      <c r="DY138" s="153"/>
      <c r="DZ138" s="153"/>
      <c r="EA138" s="153"/>
      <c r="EB138" s="153"/>
      <c r="EC138" s="153"/>
      <c r="ED138" s="153"/>
      <c r="EE138" s="153"/>
      <c r="EF138" s="153"/>
      <c r="EG138" s="153"/>
      <c r="EH138" s="153"/>
      <c r="EI138" s="153"/>
      <c r="EJ138" s="153"/>
      <c r="EK138" s="153"/>
      <c r="EL138" s="153"/>
      <c r="EM138" s="153"/>
      <c r="EN138" s="153"/>
      <c r="EO138" s="153"/>
      <c r="EP138" s="153"/>
      <c r="EQ138" s="153"/>
      <c r="ER138" s="153"/>
      <c r="ES138" s="153"/>
      <c r="ET138" s="153"/>
      <c r="EU138" s="153"/>
      <c r="EV138" s="153"/>
      <c r="EW138" s="153"/>
      <c r="EX138" s="153"/>
      <c r="EY138" s="153"/>
      <c r="EZ138" s="153"/>
      <c r="FA138" s="153"/>
      <c r="FB138" s="153"/>
      <c r="FC138" s="153"/>
      <c r="FD138" s="153"/>
      <c r="FE138" s="153"/>
      <c r="FF138" s="153"/>
      <c r="FG138" s="153"/>
      <c r="FH138" s="153"/>
      <c r="FI138" s="153"/>
      <c r="FJ138" s="153"/>
      <c r="FK138" s="153"/>
      <c r="FL138" s="153"/>
      <c r="FM138" s="153"/>
      <c r="FN138" s="153"/>
      <c r="FO138" s="153"/>
      <c r="FP138" s="153"/>
      <c r="FQ138" s="153"/>
      <c r="FR138" s="153"/>
      <c r="FS138" s="153"/>
      <c r="FT138" s="153"/>
      <c r="FU138" s="153"/>
      <c r="FV138" s="153"/>
      <c r="FW138" s="153"/>
      <c r="FX138" s="153"/>
      <c r="FY138" s="153"/>
      <c r="FZ138" s="153"/>
      <c r="GA138" s="153"/>
      <c r="GB138" s="153"/>
      <c r="GC138" s="153"/>
      <c r="GD138" s="153"/>
      <c r="GE138" s="153"/>
      <c r="GF138" s="153"/>
      <c r="GG138" s="153"/>
      <c r="GH138" s="153"/>
      <c r="GI138" s="153"/>
      <c r="GJ138" s="153"/>
      <c r="GK138" s="153"/>
      <c r="GL138" s="153"/>
      <c r="GM138" s="153"/>
      <c r="GN138" s="153"/>
      <c r="GO138" s="153"/>
      <c r="GP138" s="153"/>
      <c r="GQ138" s="153"/>
      <c r="GR138" s="153"/>
      <c r="GS138" s="153"/>
      <c r="GT138" s="153"/>
      <c r="GU138" s="153"/>
      <c r="GV138" s="153"/>
      <c r="GW138" s="153"/>
      <c r="GX138" s="153"/>
      <c r="GY138" s="153"/>
      <c r="GZ138" s="153"/>
      <c r="HA138" s="153"/>
      <c r="HB138" s="153"/>
      <c r="HC138" s="153"/>
      <c r="HD138" s="153"/>
      <c r="HE138" s="153"/>
      <c r="HF138" s="153"/>
      <c r="HG138" s="153"/>
      <c r="HH138" s="153"/>
      <c r="HI138" s="153"/>
      <c r="HJ138" s="153"/>
      <c r="HK138" s="153"/>
      <c r="HL138" s="153"/>
      <c r="HM138" s="153"/>
      <c r="HN138" s="153"/>
      <c r="HO138" s="153"/>
      <c r="HP138" s="153"/>
      <c r="HQ138" s="153"/>
      <c r="HR138" s="153"/>
      <c r="HS138" s="153"/>
      <c r="HT138" s="153"/>
      <c r="HU138" s="153"/>
      <c r="HV138" s="153"/>
      <c r="HW138" s="153"/>
      <c r="HX138" s="153"/>
      <c r="HY138" s="153"/>
      <c r="HZ138" s="153"/>
      <c r="IA138" s="153"/>
      <c r="IB138" s="153"/>
      <c r="IC138" s="153"/>
      <c r="ID138" s="153"/>
      <c r="IE138" s="153"/>
      <c r="IF138" s="153"/>
      <c r="IG138" s="153"/>
      <c r="IH138" s="153"/>
      <c r="II138" s="153"/>
      <c r="IJ138" s="153"/>
      <c r="IK138" s="153"/>
      <c r="IL138" s="153"/>
      <c r="IM138" s="153"/>
      <c r="IN138" s="153"/>
      <c r="IO138" s="153"/>
      <c r="IP138" s="153"/>
      <c r="IQ138" s="153"/>
      <c r="IR138" s="153"/>
      <c r="IS138" s="153"/>
      <c r="IT138" s="153"/>
      <c r="IU138" s="153"/>
      <c r="IV138" s="153"/>
      <c r="IW138" s="153"/>
    </row>
    <row r="139" customFormat="false" ht="12.75" hidden="false" customHeight="false" outlineLevel="0" collapsed="false">
      <c r="A139" s="145" t="s">
        <v>145</v>
      </c>
      <c r="B139" s="146" t="s">
        <v>276</v>
      </c>
      <c r="C139" s="146" t="s">
        <v>277</v>
      </c>
      <c r="D139" s="147" t="n">
        <v>36982</v>
      </c>
      <c r="E139" s="147" t="n">
        <v>37011</v>
      </c>
      <c r="F139" s="145" t="s">
        <v>281</v>
      </c>
      <c r="G139" s="145" t="s">
        <v>282</v>
      </c>
      <c r="H139" s="146" t="s">
        <v>9</v>
      </c>
      <c r="I139" s="148" t="n">
        <f aca="false">1.5208339*0.0328767</f>
        <v>0.04999999988013</v>
      </c>
      <c r="J139" s="149"/>
      <c r="K139" s="149"/>
      <c r="L139" s="149"/>
      <c r="M139" s="149"/>
      <c r="N139" s="150"/>
      <c r="O139" s="149"/>
      <c r="P139" s="151" t="n">
        <v>910075</v>
      </c>
      <c r="Q139" s="146" t="n">
        <v>40000</v>
      </c>
      <c r="R139" s="145" t="s">
        <v>9</v>
      </c>
      <c r="S139" s="140" t="n">
        <f aca="false">I139*$I$1*Q139</f>
        <v>59999.999856156</v>
      </c>
      <c r="T139" s="152" t="n">
        <v>703670</v>
      </c>
      <c r="U139" s="152"/>
      <c r="V139" s="153" t="s">
        <v>280</v>
      </c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153"/>
      <c r="BN139" s="153"/>
      <c r="BO139" s="153"/>
      <c r="BP139" s="153"/>
      <c r="BQ139" s="153"/>
      <c r="BR139" s="153"/>
      <c r="BS139" s="153"/>
      <c r="BT139" s="153"/>
      <c r="BU139" s="153"/>
      <c r="BV139" s="153"/>
      <c r="BW139" s="153"/>
      <c r="BX139" s="153"/>
      <c r="BY139" s="153"/>
      <c r="BZ139" s="153"/>
      <c r="CA139" s="153"/>
      <c r="CB139" s="153"/>
      <c r="CC139" s="153"/>
      <c r="CD139" s="153"/>
      <c r="CE139" s="153"/>
      <c r="CF139" s="153"/>
      <c r="CG139" s="153"/>
      <c r="CH139" s="153"/>
      <c r="CI139" s="153"/>
      <c r="CJ139" s="153"/>
      <c r="CK139" s="153"/>
      <c r="CL139" s="153"/>
      <c r="CM139" s="153"/>
      <c r="CN139" s="153"/>
      <c r="CO139" s="153"/>
      <c r="CP139" s="153"/>
      <c r="CQ139" s="153"/>
      <c r="CR139" s="153"/>
      <c r="CS139" s="153"/>
      <c r="CT139" s="153"/>
      <c r="CU139" s="153"/>
      <c r="CV139" s="153"/>
      <c r="CW139" s="153"/>
      <c r="CX139" s="153"/>
      <c r="CY139" s="153"/>
      <c r="CZ139" s="153"/>
      <c r="DA139" s="153"/>
      <c r="DB139" s="153"/>
      <c r="DC139" s="153"/>
      <c r="DD139" s="153"/>
      <c r="DE139" s="153"/>
      <c r="DF139" s="153"/>
      <c r="DG139" s="153"/>
      <c r="DH139" s="153"/>
      <c r="DI139" s="153"/>
      <c r="DJ139" s="153"/>
      <c r="DK139" s="153"/>
      <c r="DL139" s="153"/>
      <c r="DM139" s="153"/>
      <c r="DN139" s="153"/>
      <c r="DO139" s="153"/>
      <c r="DP139" s="153"/>
      <c r="DQ139" s="153"/>
      <c r="DR139" s="153"/>
      <c r="DS139" s="153"/>
      <c r="DT139" s="153"/>
      <c r="DU139" s="153"/>
      <c r="DV139" s="153"/>
      <c r="DW139" s="153"/>
      <c r="DX139" s="153"/>
      <c r="DY139" s="153"/>
      <c r="DZ139" s="153"/>
      <c r="EA139" s="153"/>
      <c r="EB139" s="153"/>
      <c r="EC139" s="153"/>
      <c r="ED139" s="153"/>
      <c r="EE139" s="153"/>
      <c r="EF139" s="153"/>
      <c r="EG139" s="153"/>
      <c r="EH139" s="153"/>
      <c r="EI139" s="153"/>
      <c r="EJ139" s="153"/>
      <c r="EK139" s="153"/>
      <c r="EL139" s="153"/>
      <c r="EM139" s="153"/>
      <c r="EN139" s="153"/>
      <c r="EO139" s="153"/>
      <c r="EP139" s="153"/>
      <c r="EQ139" s="153"/>
      <c r="ER139" s="153"/>
      <c r="ES139" s="153"/>
      <c r="ET139" s="153"/>
      <c r="EU139" s="153"/>
      <c r="EV139" s="153"/>
      <c r="EW139" s="153"/>
      <c r="EX139" s="153"/>
      <c r="EY139" s="153"/>
      <c r="EZ139" s="153"/>
      <c r="FA139" s="153"/>
      <c r="FB139" s="153"/>
      <c r="FC139" s="153"/>
      <c r="FD139" s="153"/>
      <c r="FE139" s="153"/>
      <c r="FF139" s="153"/>
      <c r="FG139" s="153"/>
      <c r="FH139" s="153"/>
      <c r="FI139" s="153"/>
      <c r="FJ139" s="153"/>
      <c r="FK139" s="153"/>
      <c r="FL139" s="153"/>
      <c r="FM139" s="153"/>
      <c r="FN139" s="153"/>
      <c r="FO139" s="153"/>
      <c r="FP139" s="153"/>
      <c r="FQ139" s="153"/>
      <c r="FR139" s="153"/>
      <c r="FS139" s="153"/>
      <c r="FT139" s="153"/>
      <c r="FU139" s="153"/>
      <c r="FV139" s="153"/>
      <c r="FW139" s="153"/>
      <c r="FX139" s="153"/>
      <c r="FY139" s="153"/>
      <c r="FZ139" s="153"/>
      <c r="GA139" s="153"/>
      <c r="GB139" s="153"/>
      <c r="GC139" s="153"/>
      <c r="GD139" s="153"/>
      <c r="GE139" s="153"/>
      <c r="GF139" s="153"/>
      <c r="GG139" s="153"/>
      <c r="GH139" s="153"/>
      <c r="GI139" s="153"/>
      <c r="GJ139" s="153"/>
      <c r="GK139" s="153"/>
      <c r="GL139" s="153"/>
      <c r="GM139" s="153"/>
      <c r="GN139" s="153"/>
      <c r="GO139" s="153"/>
      <c r="GP139" s="153"/>
      <c r="GQ139" s="153"/>
      <c r="GR139" s="153"/>
      <c r="GS139" s="153"/>
      <c r="GT139" s="153"/>
      <c r="GU139" s="153"/>
      <c r="GV139" s="153"/>
      <c r="GW139" s="153"/>
      <c r="GX139" s="153"/>
      <c r="GY139" s="153"/>
      <c r="GZ139" s="153"/>
      <c r="HA139" s="153"/>
      <c r="HB139" s="153"/>
      <c r="HC139" s="153"/>
      <c r="HD139" s="153"/>
      <c r="HE139" s="153"/>
      <c r="HF139" s="153"/>
      <c r="HG139" s="153"/>
      <c r="HH139" s="153"/>
      <c r="HI139" s="153"/>
      <c r="HJ139" s="153"/>
      <c r="HK139" s="153"/>
      <c r="HL139" s="153"/>
      <c r="HM139" s="153"/>
      <c r="HN139" s="153"/>
      <c r="HO139" s="153"/>
      <c r="HP139" s="153"/>
      <c r="HQ139" s="153"/>
      <c r="HR139" s="153"/>
      <c r="HS139" s="153"/>
      <c r="HT139" s="153"/>
      <c r="HU139" s="153"/>
      <c r="HV139" s="153"/>
      <c r="HW139" s="153"/>
      <c r="HX139" s="153"/>
      <c r="HY139" s="153"/>
      <c r="HZ139" s="153"/>
      <c r="IA139" s="153"/>
      <c r="IB139" s="153"/>
      <c r="IC139" s="153"/>
      <c r="ID139" s="153"/>
      <c r="IE139" s="153"/>
      <c r="IF139" s="153"/>
      <c r="IG139" s="153"/>
      <c r="IH139" s="153"/>
      <c r="II139" s="153"/>
      <c r="IJ139" s="153"/>
      <c r="IK139" s="153"/>
      <c r="IL139" s="153"/>
      <c r="IM139" s="153"/>
      <c r="IN139" s="153"/>
      <c r="IO139" s="153"/>
      <c r="IP139" s="153"/>
      <c r="IQ139" s="153"/>
      <c r="IR139" s="153"/>
      <c r="IS139" s="153"/>
      <c r="IT139" s="153"/>
      <c r="IU139" s="153"/>
      <c r="IV139" s="153"/>
      <c r="IW139" s="153"/>
    </row>
    <row r="140" customFormat="false" ht="12.75" hidden="false" customHeight="false" outlineLevel="0" collapsed="false">
      <c r="A140" s="145" t="s">
        <v>283</v>
      </c>
      <c r="B140" s="146" t="s">
        <v>276</v>
      </c>
      <c r="C140" s="146" t="s">
        <v>277</v>
      </c>
      <c r="D140" s="147" t="n">
        <v>36982</v>
      </c>
      <c r="E140" s="147" t="n">
        <v>36983</v>
      </c>
      <c r="F140" s="145" t="s">
        <v>284</v>
      </c>
      <c r="G140" s="145" t="s">
        <v>285</v>
      </c>
      <c r="H140" s="146" t="s">
        <v>9</v>
      </c>
      <c r="I140" s="148" t="n">
        <v>0</v>
      </c>
      <c r="J140" s="149"/>
      <c r="K140" s="149"/>
      <c r="L140" s="149"/>
      <c r="M140" s="149"/>
      <c r="N140" s="150"/>
      <c r="O140" s="149"/>
      <c r="P140" s="151"/>
      <c r="Q140" s="146" t="n">
        <v>0</v>
      </c>
      <c r="R140" s="145" t="s">
        <v>286</v>
      </c>
      <c r="S140" s="140" t="n">
        <f aca="false">I140*$I$1*Q140</f>
        <v>0</v>
      </c>
      <c r="T140" s="152"/>
      <c r="U140" s="152"/>
      <c r="V140" s="153" t="s">
        <v>280</v>
      </c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3"/>
      <c r="BN140" s="153"/>
      <c r="BO140" s="153"/>
      <c r="BP140" s="153"/>
      <c r="BQ140" s="153"/>
      <c r="BR140" s="153"/>
      <c r="BS140" s="153"/>
      <c r="BT140" s="153"/>
      <c r="BU140" s="153"/>
      <c r="BV140" s="153"/>
      <c r="BW140" s="153"/>
      <c r="BX140" s="153"/>
      <c r="BY140" s="153"/>
      <c r="BZ140" s="153"/>
      <c r="CA140" s="153"/>
      <c r="CB140" s="153"/>
      <c r="CC140" s="153"/>
      <c r="CD140" s="153"/>
      <c r="CE140" s="153"/>
      <c r="CF140" s="153"/>
      <c r="CG140" s="153"/>
      <c r="CH140" s="153"/>
      <c r="CI140" s="153"/>
      <c r="CJ140" s="153"/>
      <c r="CK140" s="153"/>
      <c r="CL140" s="153"/>
      <c r="CM140" s="153"/>
      <c r="CN140" s="153"/>
      <c r="CO140" s="153"/>
      <c r="CP140" s="153"/>
      <c r="CQ140" s="153"/>
      <c r="CR140" s="153"/>
      <c r="CS140" s="153"/>
      <c r="CT140" s="153"/>
      <c r="CU140" s="153"/>
      <c r="CV140" s="153"/>
      <c r="CW140" s="153"/>
      <c r="CX140" s="153"/>
      <c r="CY140" s="153"/>
      <c r="CZ140" s="153"/>
      <c r="DA140" s="153"/>
      <c r="DB140" s="153"/>
      <c r="DC140" s="153"/>
      <c r="DD140" s="153"/>
      <c r="DE140" s="153"/>
      <c r="DF140" s="153"/>
      <c r="DG140" s="153"/>
      <c r="DH140" s="153"/>
      <c r="DI140" s="153"/>
      <c r="DJ140" s="153"/>
      <c r="DK140" s="153"/>
      <c r="DL140" s="153"/>
      <c r="DM140" s="153"/>
      <c r="DN140" s="153"/>
      <c r="DO140" s="153"/>
      <c r="DP140" s="153"/>
      <c r="DQ140" s="153"/>
      <c r="DR140" s="153"/>
      <c r="DS140" s="153"/>
      <c r="DT140" s="153"/>
      <c r="DU140" s="153"/>
      <c r="DV140" s="153"/>
      <c r="DW140" s="153"/>
      <c r="DX140" s="153"/>
      <c r="DY140" s="153"/>
      <c r="DZ140" s="153"/>
      <c r="EA140" s="153"/>
      <c r="EB140" s="153"/>
      <c r="EC140" s="153"/>
      <c r="ED140" s="153"/>
      <c r="EE140" s="153"/>
      <c r="EF140" s="153"/>
      <c r="EG140" s="153"/>
      <c r="EH140" s="153"/>
      <c r="EI140" s="153"/>
      <c r="EJ140" s="153"/>
      <c r="EK140" s="153"/>
      <c r="EL140" s="153"/>
      <c r="EM140" s="153"/>
      <c r="EN140" s="153"/>
      <c r="EO140" s="153"/>
      <c r="EP140" s="153"/>
      <c r="EQ140" s="153"/>
      <c r="ER140" s="153"/>
      <c r="ES140" s="153"/>
      <c r="ET140" s="153"/>
      <c r="EU140" s="153"/>
      <c r="EV140" s="153"/>
      <c r="EW140" s="153"/>
      <c r="EX140" s="153"/>
      <c r="EY140" s="153"/>
      <c r="EZ140" s="153"/>
      <c r="FA140" s="153"/>
      <c r="FB140" s="153"/>
      <c r="FC140" s="153"/>
      <c r="FD140" s="153"/>
      <c r="FE140" s="153"/>
      <c r="FF140" s="153"/>
      <c r="FG140" s="153"/>
      <c r="FH140" s="153"/>
      <c r="FI140" s="153"/>
      <c r="FJ140" s="153"/>
      <c r="FK140" s="153"/>
      <c r="FL140" s="153"/>
      <c r="FM140" s="153"/>
      <c r="FN140" s="153"/>
      <c r="FO140" s="153"/>
      <c r="FP140" s="153"/>
      <c r="FQ140" s="153"/>
      <c r="FR140" s="153"/>
      <c r="FS140" s="153"/>
      <c r="FT140" s="153"/>
      <c r="FU140" s="153"/>
      <c r="FV140" s="153"/>
      <c r="FW140" s="153"/>
      <c r="FX140" s="153"/>
      <c r="FY140" s="153"/>
      <c r="FZ140" s="153"/>
      <c r="GA140" s="153"/>
      <c r="GB140" s="153"/>
      <c r="GC140" s="153"/>
      <c r="GD140" s="153"/>
      <c r="GE140" s="153"/>
      <c r="GF140" s="153"/>
      <c r="GG140" s="153"/>
      <c r="GH140" s="153"/>
      <c r="GI140" s="153"/>
      <c r="GJ140" s="153"/>
      <c r="GK140" s="153"/>
      <c r="GL140" s="153"/>
      <c r="GM140" s="153"/>
      <c r="GN140" s="153"/>
      <c r="GO140" s="153"/>
      <c r="GP140" s="153"/>
      <c r="GQ140" s="153"/>
      <c r="GR140" s="153"/>
      <c r="GS140" s="153"/>
      <c r="GT140" s="153"/>
      <c r="GU140" s="153"/>
      <c r="GV140" s="153"/>
      <c r="GW140" s="153"/>
      <c r="GX140" s="153"/>
      <c r="GY140" s="153"/>
      <c r="GZ140" s="153"/>
      <c r="HA140" s="153"/>
      <c r="HB140" s="153"/>
      <c r="HC140" s="153"/>
      <c r="HD140" s="153"/>
      <c r="HE140" s="153"/>
      <c r="HF140" s="153"/>
      <c r="HG140" s="153"/>
      <c r="HH140" s="153"/>
      <c r="HI140" s="153"/>
      <c r="HJ140" s="153"/>
      <c r="HK140" s="153"/>
      <c r="HL140" s="153"/>
      <c r="HM140" s="153"/>
      <c r="HN140" s="153"/>
      <c r="HO140" s="153"/>
      <c r="HP140" s="153"/>
      <c r="HQ140" s="153"/>
      <c r="HR140" s="153"/>
      <c r="HS140" s="153"/>
      <c r="HT140" s="153"/>
      <c r="HU140" s="153"/>
      <c r="HV140" s="153"/>
      <c r="HW140" s="153"/>
      <c r="HX140" s="153"/>
      <c r="HY140" s="153"/>
      <c r="HZ140" s="153"/>
      <c r="IA140" s="153"/>
      <c r="IB140" s="153"/>
      <c r="IC140" s="153"/>
      <c r="ID140" s="153"/>
      <c r="IE140" s="153"/>
      <c r="IF140" s="153"/>
      <c r="IG140" s="153"/>
      <c r="IH140" s="153"/>
      <c r="II140" s="153"/>
      <c r="IJ140" s="153"/>
      <c r="IK140" s="153"/>
      <c r="IL140" s="153"/>
      <c r="IM140" s="153"/>
      <c r="IN140" s="153"/>
      <c r="IO140" s="153"/>
      <c r="IP140" s="153"/>
      <c r="IQ140" s="153"/>
      <c r="IR140" s="153"/>
      <c r="IS140" s="153"/>
      <c r="IT140" s="153"/>
      <c r="IU140" s="153"/>
      <c r="IV140" s="153"/>
      <c r="IW140" s="153"/>
    </row>
    <row r="141" customFormat="false" ht="12.75" hidden="false" customHeight="false" outlineLevel="0" collapsed="false">
      <c r="A141" s="75"/>
      <c r="B141" s="70"/>
      <c r="C141" s="70"/>
      <c r="D141" s="76"/>
      <c r="E141" s="76"/>
      <c r="F141" s="75"/>
      <c r="G141" s="75"/>
      <c r="H141" s="70"/>
      <c r="I141" s="78"/>
      <c r="J141" s="69"/>
      <c r="K141" s="69"/>
      <c r="L141" s="69"/>
      <c r="M141" s="69"/>
      <c r="N141" s="79"/>
      <c r="O141" s="69"/>
      <c r="P141" s="137"/>
      <c r="Q141" s="70" t="n">
        <f aca="false">SUM(Q137:Q138)</f>
        <v>15000</v>
      </c>
      <c r="R141" s="75" t="s">
        <v>185</v>
      </c>
      <c r="S141" s="36" t="n">
        <f aca="false">SUM(S137:S138)</f>
        <v>15009.858042534</v>
      </c>
      <c r="T141" s="37"/>
      <c r="U141" s="38"/>
      <c r="V141" s="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  <c r="BI141" s="138"/>
      <c r="BJ141" s="138"/>
      <c r="BK141" s="138"/>
      <c r="BL141" s="138"/>
      <c r="BM141" s="138"/>
      <c r="BN141" s="138"/>
      <c r="BO141" s="138"/>
      <c r="BP141" s="138"/>
      <c r="BQ141" s="138"/>
      <c r="BR141" s="138"/>
      <c r="BS141" s="138"/>
      <c r="BT141" s="138"/>
      <c r="BU141" s="138"/>
      <c r="BV141" s="138"/>
      <c r="BW141" s="138"/>
      <c r="BX141" s="138"/>
      <c r="BY141" s="138"/>
      <c r="BZ141" s="138"/>
      <c r="CA141" s="138"/>
      <c r="CB141" s="138"/>
      <c r="CC141" s="138"/>
      <c r="CD141" s="138"/>
      <c r="CE141" s="138"/>
      <c r="CF141" s="138"/>
      <c r="CG141" s="138"/>
      <c r="CH141" s="138"/>
      <c r="CI141" s="138"/>
      <c r="CJ141" s="138"/>
      <c r="CK141" s="138"/>
      <c r="CL141" s="138"/>
      <c r="CM141" s="138"/>
      <c r="CN141" s="138"/>
      <c r="CO141" s="138"/>
      <c r="CP141" s="138"/>
      <c r="CQ141" s="138"/>
      <c r="CR141" s="138"/>
      <c r="CS141" s="138"/>
      <c r="CT141" s="138"/>
      <c r="CU141" s="138"/>
      <c r="CV141" s="138"/>
      <c r="CW141" s="138"/>
      <c r="CX141" s="138"/>
      <c r="CY141" s="138"/>
      <c r="CZ141" s="138"/>
      <c r="DA141" s="138"/>
      <c r="DB141" s="138"/>
      <c r="DC141" s="138"/>
      <c r="DD141" s="138"/>
      <c r="DE141" s="138"/>
      <c r="DF141" s="138"/>
      <c r="DG141" s="138"/>
      <c r="DH141" s="138"/>
      <c r="DI141" s="138"/>
      <c r="DJ141" s="138"/>
      <c r="DK141" s="138"/>
      <c r="DL141" s="138"/>
      <c r="DM141" s="138"/>
      <c r="DN141" s="138"/>
      <c r="DO141" s="138"/>
      <c r="DP141" s="138"/>
      <c r="DQ141" s="138"/>
      <c r="DR141" s="138"/>
      <c r="DS141" s="138"/>
      <c r="DT141" s="138"/>
      <c r="DU141" s="138"/>
      <c r="DV141" s="138"/>
      <c r="DW141" s="138"/>
      <c r="DX141" s="138"/>
      <c r="DY141" s="138"/>
      <c r="DZ141" s="138"/>
      <c r="EA141" s="138"/>
      <c r="EB141" s="138"/>
      <c r="EC141" s="138"/>
      <c r="ED141" s="138"/>
      <c r="EE141" s="138"/>
      <c r="EF141" s="138"/>
      <c r="EG141" s="138"/>
      <c r="EH141" s="138"/>
      <c r="EI141" s="138"/>
      <c r="EJ141" s="138"/>
      <c r="EK141" s="138"/>
      <c r="EL141" s="138"/>
      <c r="EM141" s="138"/>
      <c r="EN141" s="138"/>
      <c r="EO141" s="138"/>
      <c r="EP141" s="138"/>
      <c r="EQ141" s="138"/>
      <c r="ER141" s="138"/>
      <c r="ES141" s="138"/>
      <c r="ET141" s="138"/>
      <c r="EU141" s="138"/>
      <c r="EV141" s="138"/>
      <c r="EW141" s="138"/>
      <c r="EX141" s="138"/>
      <c r="EY141" s="138"/>
      <c r="EZ141" s="138"/>
      <c r="FA141" s="138"/>
      <c r="FB141" s="138"/>
      <c r="FC141" s="138"/>
      <c r="FD141" s="138"/>
      <c r="FE141" s="138"/>
      <c r="FF141" s="138"/>
      <c r="FG141" s="138"/>
      <c r="FH141" s="138"/>
      <c r="FI141" s="138"/>
      <c r="FJ141" s="138"/>
      <c r="FK141" s="138"/>
      <c r="FL141" s="138"/>
      <c r="FM141" s="138"/>
      <c r="FN141" s="138"/>
      <c r="FO141" s="138"/>
      <c r="FP141" s="138"/>
      <c r="FQ141" s="138"/>
      <c r="FR141" s="138"/>
      <c r="FS141" s="138"/>
      <c r="FT141" s="138"/>
      <c r="FU141" s="138"/>
      <c r="FV141" s="138"/>
      <c r="FW141" s="138"/>
      <c r="FX141" s="138"/>
      <c r="FY141" s="138"/>
      <c r="FZ141" s="138"/>
      <c r="GA141" s="138"/>
      <c r="GB141" s="138"/>
      <c r="GC141" s="138"/>
      <c r="GD141" s="138"/>
      <c r="GE141" s="138"/>
      <c r="GF141" s="138"/>
      <c r="GG141" s="138"/>
      <c r="GH141" s="138"/>
      <c r="GI141" s="138"/>
      <c r="GJ141" s="138"/>
      <c r="GK141" s="138"/>
      <c r="GL141" s="138"/>
      <c r="GM141" s="138"/>
      <c r="GN141" s="138"/>
      <c r="GO141" s="138"/>
      <c r="GP141" s="138"/>
      <c r="GQ141" s="138"/>
      <c r="GR141" s="138"/>
      <c r="GS141" s="138"/>
      <c r="GT141" s="138"/>
      <c r="GU141" s="138"/>
      <c r="GV141" s="138"/>
      <c r="GW141" s="138"/>
      <c r="GX141" s="138"/>
      <c r="GY141" s="138"/>
      <c r="GZ141" s="138"/>
      <c r="HA141" s="138"/>
      <c r="HB141" s="138"/>
      <c r="HC141" s="138"/>
      <c r="HD141" s="138"/>
      <c r="HE141" s="138"/>
      <c r="HF141" s="138"/>
      <c r="HG141" s="138"/>
      <c r="HH141" s="138"/>
      <c r="HI141" s="138"/>
      <c r="HJ141" s="138"/>
      <c r="HK141" s="138"/>
      <c r="HL141" s="138"/>
      <c r="HM141" s="138"/>
      <c r="HN141" s="138"/>
      <c r="HO141" s="138"/>
      <c r="HP141" s="138"/>
      <c r="HQ141" s="138"/>
      <c r="HR141" s="138"/>
      <c r="HS141" s="138"/>
      <c r="HT141" s="138"/>
      <c r="HU141" s="138"/>
      <c r="HV141" s="138"/>
      <c r="HW141" s="138"/>
      <c r="HX141" s="138"/>
      <c r="HY141" s="138"/>
      <c r="HZ141" s="138"/>
      <c r="IA141" s="138"/>
      <c r="IB141" s="138"/>
      <c r="IC141" s="138"/>
      <c r="ID141" s="138"/>
      <c r="IE141" s="138"/>
      <c r="IF141" s="138"/>
      <c r="IG141" s="138"/>
      <c r="IH141" s="138"/>
      <c r="II141" s="138"/>
      <c r="IJ141" s="138"/>
      <c r="IK141" s="138"/>
      <c r="IL141" s="138"/>
      <c r="IM141" s="138"/>
      <c r="IN141" s="138"/>
      <c r="IO141" s="138"/>
      <c r="IP141" s="138"/>
      <c r="IQ141" s="138"/>
      <c r="IR141" s="138"/>
      <c r="IS141" s="138"/>
      <c r="IT141" s="138"/>
      <c r="IU141" s="138"/>
      <c r="IV141" s="138"/>
      <c r="IW141" s="138"/>
    </row>
    <row r="142" customFormat="false" ht="12.75" hidden="false" customHeight="false" outlineLevel="0" collapsed="false">
      <c r="A142" s="18"/>
      <c r="B142" s="19"/>
      <c r="C142" s="19"/>
      <c r="D142" s="20"/>
      <c r="E142" s="20"/>
      <c r="F142" s="18"/>
      <c r="G142" s="18"/>
      <c r="H142" s="19"/>
      <c r="I142" s="21"/>
      <c r="J142" s="22"/>
      <c r="K142" s="22"/>
      <c r="L142" s="22"/>
      <c r="M142" s="22"/>
      <c r="N142" s="23"/>
      <c r="O142" s="22"/>
      <c r="P142" s="24"/>
      <c r="Q142" s="72"/>
      <c r="R142" s="75" t="s">
        <v>186</v>
      </c>
      <c r="S142" s="36" t="n">
        <v>0</v>
      </c>
      <c r="T142" s="26"/>
      <c r="U142" s="27"/>
      <c r="V142" s="27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</row>
    <row r="143" customFormat="false" ht="13.5" hidden="false" customHeight="false" outlineLevel="0" collapsed="false">
      <c r="A143" s="18"/>
      <c r="B143" s="19"/>
      <c r="C143" s="19"/>
      <c r="D143" s="20"/>
      <c r="E143" s="20"/>
      <c r="F143" s="18"/>
      <c r="G143" s="18"/>
      <c r="H143" s="19"/>
      <c r="I143" s="21"/>
      <c r="J143" s="22"/>
      <c r="K143" s="22"/>
      <c r="L143" s="22"/>
      <c r="M143" s="22"/>
      <c r="N143" s="23"/>
      <c r="O143" s="22"/>
      <c r="P143" s="24"/>
      <c r="Q143" s="72"/>
      <c r="R143" s="75" t="s">
        <v>187</v>
      </c>
      <c r="S143" s="118" t="n">
        <f aca="false">+S141-S142</f>
        <v>15009.858042534</v>
      </c>
      <c r="T143" s="26"/>
      <c r="U143" s="27"/>
      <c r="V143" s="27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</row>
    <row r="144" customFormat="false" ht="13.5" hidden="false" customHeight="false" outlineLevel="0" collapsed="false">
      <c r="A144" s="18"/>
      <c r="B144" s="19"/>
      <c r="C144" s="19"/>
      <c r="D144" s="20"/>
      <c r="E144" s="20"/>
      <c r="F144" s="18"/>
      <c r="G144" s="18"/>
      <c r="H144" s="19"/>
      <c r="I144" s="21"/>
      <c r="J144" s="22"/>
      <c r="K144" s="22"/>
      <c r="L144" s="22"/>
      <c r="M144" s="22"/>
      <c r="N144" s="23"/>
      <c r="O144" s="22"/>
      <c r="P144" s="24"/>
      <c r="Q144" s="19"/>
      <c r="R144" s="18"/>
      <c r="S144" s="25"/>
      <c r="T144" s="26"/>
      <c r="U144" s="27"/>
      <c r="V144" s="27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</row>
    <row r="145" customFormat="false" ht="12.75" hidden="false" customHeight="false" outlineLevel="0" collapsed="false">
      <c r="A145" s="119" t="s">
        <v>109</v>
      </c>
      <c r="B145" s="120" t="s">
        <v>110</v>
      </c>
      <c r="C145" s="120" t="s">
        <v>111</v>
      </c>
      <c r="D145" s="121" t="s">
        <v>112</v>
      </c>
      <c r="E145" s="121"/>
      <c r="F145" s="119" t="s">
        <v>113</v>
      </c>
      <c r="G145" s="119" t="s">
        <v>114</v>
      </c>
      <c r="H145" s="120" t="s">
        <v>115</v>
      </c>
      <c r="I145" s="122" t="s">
        <v>116</v>
      </c>
      <c r="J145" s="120" t="s">
        <v>117</v>
      </c>
      <c r="K145" s="120" t="s">
        <v>118</v>
      </c>
      <c r="L145" s="120" t="s">
        <v>119</v>
      </c>
      <c r="M145" s="120" t="s">
        <v>120</v>
      </c>
      <c r="N145" s="123" t="s">
        <v>121</v>
      </c>
      <c r="O145" s="120" t="s">
        <v>122</v>
      </c>
      <c r="P145" s="124" t="s">
        <v>123</v>
      </c>
      <c r="Q145" s="120" t="s">
        <v>124</v>
      </c>
      <c r="R145" s="119" t="s">
        <v>125</v>
      </c>
      <c r="S145" s="87" t="s">
        <v>213</v>
      </c>
      <c r="T145" s="89"/>
      <c r="U145" s="89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F145" s="125"/>
      <c r="AG145" s="125"/>
      <c r="AH145" s="125"/>
      <c r="AI145" s="125"/>
      <c r="AJ145" s="125"/>
      <c r="AK145" s="125"/>
      <c r="AL145" s="125"/>
      <c r="AM145" s="125"/>
      <c r="AN145" s="125"/>
      <c r="AO145" s="125"/>
      <c r="AP145" s="125"/>
      <c r="AQ145" s="125"/>
      <c r="AR145" s="125"/>
      <c r="AS145" s="125"/>
      <c r="AT145" s="125"/>
      <c r="AU145" s="125"/>
      <c r="AV145" s="125"/>
      <c r="AW145" s="125"/>
      <c r="AX145" s="125"/>
      <c r="AY145" s="125"/>
      <c r="AZ145" s="125"/>
      <c r="BA145" s="125"/>
      <c r="BB145" s="125"/>
      <c r="BC145" s="125"/>
      <c r="BD145" s="125"/>
      <c r="BE145" s="125"/>
      <c r="BF145" s="125"/>
      <c r="BG145" s="125"/>
      <c r="BH145" s="125"/>
      <c r="BI145" s="125"/>
      <c r="BJ145" s="125"/>
      <c r="BK145" s="125"/>
      <c r="BL145" s="125"/>
      <c r="BM145" s="125"/>
      <c r="BN145" s="125"/>
      <c r="BO145" s="125"/>
      <c r="BP145" s="125"/>
      <c r="BQ145" s="125"/>
      <c r="BR145" s="125"/>
      <c r="BS145" s="125"/>
      <c r="BT145" s="125"/>
      <c r="BU145" s="125"/>
      <c r="BV145" s="125"/>
      <c r="BW145" s="125"/>
      <c r="BX145" s="125"/>
      <c r="BY145" s="125"/>
      <c r="BZ145" s="125"/>
      <c r="CA145" s="125"/>
      <c r="CB145" s="125"/>
      <c r="CC145" s="125"/>
      <c r="CD145" s="125"/>
      <c r="CE145" s="125"/>
      <c r="CF145" s="125"/>
      <c r="CG145" s="125"/>
      <c r="CH145" s="125"/>
      <c r="CI145" s="125"/>
      <c r="CJ145" s="125"/>
      <c r="CK145" s="125"/>
      <c r="CL145" s="125"/>
      <c r="CM145" s="125"/>
      <c r="CN145" s="125"/>
      <c r="CO145" s="125"/>
      <c r="CP145" s="125"/>
      <c r="CQ145" s="125"/>
      <c r="CR145" s="125"/>
      <c r="CS145" s="125"/>
      <c r="CT145" s="125"/>
      <c r="CU145" s="125"/>
      <c r="CV145" s="125"/>
      <c r="CW145" s="125"/>
      <c r="CX145" s="125"/>
      <c r="CY145" s="125"/>
      <c r="CZ145" s="125"/>
      <c r="DA145" s="125"/>
      <c r="DB145" s="125"/>
      <c r="DC145" s="125"/>
      <c r="DD145" s="125"/>
      <c r="DE145" s="125"/>
      <c r="DF145" s="125"/>
      <c r="DG145" s="125"/>
      <c r="DH145" s="125"/>
      <c r="DI145" s="125"/>
      <c r="DJ145" s="125"/>
      <c r="DK145" s="125"/>
      <c r="DL145" s="125"/>
      <c r="DM145" s="125"/>
      <c r="DN145" s="125"/>
      <c r="DO145" s="125"/>
      <c r="DP145" s="125"/>
      <c r="DQ145" s="125"/>
      <c r="DR145" s="125"/>
      <c r="DS145" s="125"/>
      <c r="DT145" s="125"/>
      <c r="DU145" s="125"/>
      <c r="DV145" s="125"/>
      <c r="DW145" s="125"/>
      <c r="DX145" s="125"/>
      <c r="DY145" s="125"/>
      <c r="DZ145" s="125"/>
      <c r="EA145" s="125"/>
      <c r="EB145" s="125"/>
      <c r="EC145" s="125"/>
      <c r="ED145" s="125"/>
      <c r="EE145" s="125"/>
      <c r="EF145" s="125"/>
      <c r="EG145" s="125"/>
      <c r="EH145" s="125"/>
      <c r="EI145" s="125"/>
      <c r="EJ145" s="125"/>
      <c r="EK145" s="125"/>
      <c r="EL145" s="125"/>
      <c r="EM145" s="125"/>
      <c r="EN145" s="125"/>
      <c r="EO145" s="125"/>
      <c r="EP145" s="125"/>
      <c r="EQ145" s="125"/>
      <c r="ER145" s="125"/>
      <c r="ES145" s="125"/>
      <c r="ET145" s="125"/>
      <c r="EU145" s="125"/>
      <c r="EV145" s="125"/>
      <c r="EW145" s="125"/>
      <c r="EX145" s="125"/>
      <c r="EY145" s="125"/>
      <c r="EZ145" s="125"/>
      <c r="FA145" s="125"/>
      <c r="FB145" s="125"/>
      <c r="FC145" s="125"/>
      <c r="FD145" s="125"/>
      <c r="FE145" s="125"/>
      <c r="FF145" s="125"/>
      <c r="FG145" s="125"/>
      <c r="FH145" s="125"/>
      <c r="FI145" s="125"/>
      <c r="FJ145" s="125"/>
      <c r="FK145" s="125"/>
      <c r="FL145" s="125"/>
      <c r="FM145" s="125"/>
      <c r="FN145" s="125"/>
      <c r="FO145" s="125"/>
      <c r="FP145" s="125"/>
      <c r="FQ145" s="125"/>
      <c r="FR145" s="125"/>
      <c r="FS145" s="125"/>
      <c r="FT145" s="125"/>
      <c r="FU145" s="125"/>
      <c r="FV145" s="125"/>
      <c r="FW145" s="125"/>
      <c r="FX145" s="125"/>
      <c r="FY145" s="125"/>
      <c r="FZ145" s="125"/>
      <c r="GA145" s="125"/>
      <c r="GB145" s="125"/>
      <c r="GC145" s="125"/>
      <c r="GD145" s="125"/>
      <c r="GE145" s="125"/>
      <c r="GF145" s="125"/>
      <c r="GG145" s="125"/>
      <c r="GH145" s="125"/>
      <c r="GI145" s="125"/>
      <c r="GJ145" s="125"/>
      <c r="GK145" s="125"/>
      <c r="GL145" s="125"/>
      <c r="GM145" s="125"/>
      <c r="GN145" s="125"/>
      <c r="GO145" s="125"/>
      <c r="GP145" s="125"/>
      <c r="GQ145" s="125"/>
      <c r="GR145" s="125"/>
      <c r="GS145" s="125"/>
      <c r="GT145" s="125"/>
      <c r="GU145" s="125"/>
      <c r="GV145" s="125"/>
      <c r="GW145" s="125"/>
      <c r="GX145" s="125"/>
      <c r="GY145" s="125"/>
      <c r="GZ145" s="125"/>
      <c r="HA145" s="125"/>
      <c r="HB145" s="125"/>
      <c r="HC145" s="125"/>
      <c r="HD145" s="125"/>
      <c r="HE145" s="125"/>
      <c r="HF145" s="125"/>
      <c r="HG145" s="125"/>
      <c r="HH145" s="125"/>
      <c r="HI145" s="125"/>
      <c r="HJ145" s="125"/>
      <c r="HK145" s="125"/>
      <c r="HL145" s="125"/>
      <c r="HM145" s="125"/>
      <c r="HN145" s="125"/>
      <c r="HO145" s="125"/>
      <c r="HP145" s="125"/>
      <c r="HQ145" s="125"/>
      <c r="HR145" s="125"/>
      <c r="HS145" s="125"/>
      <c r="HT145" s="125"/>
      <c r="HU145" s="125"/>
      <c r="HV145" s="125"/>
      <c r="HW145" s="125"/>
      <c r="HX145" s="125"/>
      <c r="HY145" s="125"/>
      <c r="HZ145" s="125"/>
      <c r="IA145" s="125"/>
      <c r="IB145" s="125"/>
      <c r="IC145" s="125"/>
      <c r="ID145" s="125"/>
      <c r="IE145" s="125"/>
      <c r="IF145" s="125"/>
      <c r="IG145" s="125"/>
      <c r="IH145" s="125"/>
      <c r="II145" s="125"/>
      <c r="IJ145" s="125"/>
      <c r="IK145" s="125"/>
      <c r="IL145" s="125"/>
      <c r="IM145" s="125"/>
      <c r="IN145" s="125"/>
      <c r="IO145" s="125"/>
      <c r="IP145" s="125"/>
      <c r="IQ145" s="125"/>
      <c r="IR145" s="125"/>
      <c r="IS145" s="125"/>
      <c r="IT145" s="125"/>
      <c r="IU145" s="125"/>
      <c r="IV145" s="125"/>
      <c r="IW145" s="125"/>
    </row>
    <row r="146" customFormat="false" ht="12.75" hidden="false" customHeight="false" outlineLevel="0" collapsed="false">
      <c r="A146" s="75" t="s">
        <v>145</v>
      </c>
      <c r="B146" s="70" t="s">
        <v>287</v>
      </c>
      <c r="C146" s="70" t="s">
        <v>288</v>
      </c>
      <c r="D146" s="76" t="n">
        <v>36831</v>
      </c>
      <c r="E146" s="76" t="n">
        <v>36981</v>
      </c>
      <c r="F146" s="75" t="s">
        <v>289</v>
      </c>
      <c r="G146" s="75" t="s">
        <v>290</v>
      </c>
      <c r="H146" s="70" t="s">
        <v>291</v>
      </c>
      <c r="I146" s="78" t="n">
        <v>0.005</v>
      </c>
      <c r="J146" s="69"/>
      <c r="K146" s="69"/>
      <c r="L146" s="69"/>
      <c r="M146" s="69"/>
      <c r="N146" s="142"/>
      <c r="O146" s="69"/>
      <c r="P146" s="137" t="s">
        <v>292</v>
      </c>
      <c r="Q146" s="70" t="n">
        <v>18225</v>
      </c>
      <c r="R146" s="75" t="s">
        <v>293</v>
      </c>
      <c r="S146" s="36" t="n">
        <f aca="false">+I146*Q146*I$1</f>
        <v>2733.75</v>
      </c>
      <c r="T146" s="38" t="n">
        <v>457211</v>
      </c>
      <c r="U146" s="38"/>
      <c r="V146" s="138" t="s">
        <v>157</v>
      </c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  <c r="BA146" s="138"/>
      <c r="BB146" s="138"/>
      <c r="BC146" s="138"/>
      <c r="BD146" s="138"/>
      <c r="BE146" s="138"/>
      <c r="BF146" s="138"/>
      <c r="BG146" s="138"/>
      <c r="BH146" s="138"/>
      <c r="BI146" s="138"/>
      <c r="BJ146" s="138"/>
      <c r="BK146" s="138"/>
      <c r="BL146" s="138"/>
      <c r="BM146" s="138"/>
      <c r="BN146" s="138"/>
      <c r="BO146" s="138"/>
      <c r="BP146" s="138"/>
      <c r="BQ146" s="138"/>
      <c r="BR146" s="138"/>
      <c r="BS146" s="138"/>
      <c r="BT146" s="138"/>
      <c r="BU146" s="138"/>
      <c r="BV146" s="138"/>
      <c r="BW146" s="138"/>
      <c r="BX146" s="138"/>
      <c r="BY146" s="138"/>
      <c r="BZ146" s="138"/>
      <c r="CA146" s="138"/>
      <c r="CB146" s="138"/>
      <c r="CC146" s="138"/>
      <c r="CD146" s="138"/>
      <c r="CE146" s="138"/>
      <c r="CF146" s="138"/>
      <c r="CG146" s="138"/>
      <c r="CH146" s="138"/>
      <c r="CI146" s="138"/>
      <c r="CJ146" s="138"/>
      <c r="CK146" s="138"/>
      <c r="CL146" s="138"/>
      <c r="CM146" s="138"/>
      <c r="CN146" s="138"/>
      <c r="CO146" s="138"/>
      <c r="CP146" s="138"/>
      <c r="CQ146" s="138"/>
      <c r="CR146" s="138"/>
      <c r="CS146" s="138"/>
      <c r="CT146" s="138"/>
      <c r="CU146" s="138"/>
      <c r="CV146" s="138"/>
      <c r="CW146" s="138"/>
      <c r="CX146" s="138"/>
      <c r="CY146" s="138"/>
      <c r="CZ146" s="138"/>
      <c r="DA146" s="138"/>
      <c r="DB146" s="138"/>
      <c r="DC146" s="138"/>
      <c r="DD146" s="138"/>
      <c r="DE146" s="138"/>
      <c r="DF146" s="138"/>
      <c r="DG146" s="138"/>
      <c r="DH146" s="138"/>
      <c r="DI146" s="138"/>
      <c r="DJ146" s="138"/>
      <c r="DK146" s="138"/>
      <c r="DL146" s="138"/>
      <c r="DM146" s="138"/>
      <c r="DN146" s="138"/>
      <c r="DO146" s="138"/>
      <c r="DP146" s="138"/>
      <c r="DQ146" s="138"/>
      <c r="DR146" s="138"/>
      <c r="DS146" s="138"/>
      <c r="DT146" s="138"/>
      <c r="DU146" s="138"/>
      <c r="DV146" s="138"/>
      <c r="DW146" s="138"/>
      <c r="DX146" s="138"/>
      <c r="DY146" s="138"/>
      <c r="DZ146" s="138"/>
      <c r="EA146" s="138"/>
      <c r="EB146" s="138"/>
      <c r="EC146" s="138"/>
      <c r="ED146" s="138"/>
      <c r="EE146" s="138"/>
      <c r="EF146" s="138"/>
      <c r="EG146" s="138"/>
      <c r="EH146" s="138"/>
      <c r="EI146" s="138"/>
      <c r="EJ146" s="138"/>
      <c r="EK146" s="138"/>
      <c r="EL146" s="138"/>
      <c r="EM146" s="138"/>
      <c r="EN146" s="138"/>
      <c r="EO146" s="138"/>
      <c r="EP146" s="138"/>
      <c r="EQ146" s="138"/>
      <c r="ER146" s="138"/>
      <c r="ES146" s="138"/>
      <c r="ET146" s="138"/>
      <c r="EU146" s="138"/>
      <c r="EV146" s="138"/>
      <c r="EW146" s="138"/>
      <c r="EX146" s="138"/>
      <c r="EY146" s="138"/>
      <c r="EZ146" s="138"/>
      <c r="FA146" s="138"/>
      <c r="FB146" s="138"/>
      <c r="FC146" s="138"/>
      <c r="FD146" s="138"/>
      <c r="FE146" s="138"/>
      <c r="FF146" s="138"/>
      <c r="FG146" s="138"/>
      <c r="FH146" s="138"/>
      <c r="FI146" s="138"/>
      <c r="FJ146" s="138"/>
      <c r="FK146" s="138"/>
      <c r="FL146" s="138"/>
      <c r="FM146" s="138"/>
      <c r="FN146" s="138"/>
      <c r="FO146" s="138"/>
      <c r="FP146" s="138"/>
      <c r="FQ146" s="138"/>
      <c r="FR146" s="138"/>
      <c r="FS146" s="138"/>
      <c r="FT146" s="138"/>
      <c r="FU146" s="138"/>
      <c r="FV146" s="138"/>
      <c r="FW146" s="138"/>
      <c r="FX146" s="138"/>
      <c r="FY146" s="138"/>
      <c r="FZ146" s="138"/>
      <c r="GA146" s="138"/>
      <c r="GB146" s="138"/>
      <c r="GC146" s="138"/>
      <c r="GD146" s="138"/>
      <c r="GE146" s="138"/>
      <c r="GF146" s="138"/>
      <c r="GG146" s="138"/>
      <c r="GH146" s="138"/>
      <c r="GI146" s="138"/>
      <c r="GJ146" s="138"/>
      <c r="GK146" s="138"/>
      <c r="GL146" s="138"/>
      <c r="GM146" s="138"/>
      <c r="GN146" s="138"/>
      <c r="GO146" s="138"/>
      <c r="GP146" s="138"/>
      <c r="GQ146" s="138"/>
      <c r="GR146" s="138"/>
      <c r="GS146" s="138"/>
      <c r="GT146" s="138"/>
      <c r="GU146" s="138"/>
      <c r="GV146" s="138"/>
      <c r="GW146" s="138"/>
      <c r="GX146" s="138"/>
      <c r="GY146" s="138"/>
      <c r="GZ146" s="138"/>
      <c r="HA146" s="138"/>
      <c r="HB146" s="138"/>
      <c r="HC146" s="138"/>
      <c r="HD146" s="138"/>
      <c r="HE146" s="138"/>
      <c r="HF146" s="138"/>
      <c r="HG146" s="138"/>
      <c r="HH146" s="138"/>
      <c r="HI146" s="138"/>
      <c r="HJ146" s="138"/>
      <c r="HK146" s="138"/>
      <c r="HL146" s="138"/>
      <c r="HM146" s="138"/>
      <c r="HN146" s="138"/>
      <c r="HO146" s="138"/>
      <c r="HP146" s="138"/>
      <c r="HQ146" s="138"/>
      <c r="HR146" s="138"/>
      <c r="HS146" s="138"/>
      <c r="HT146" s="138"/>
      <c r="HU146" s="138"/>
      <c r="HV146" s="138"/>
      <c r="HW146" s="138"/>
      <c r="HX146" s="138"/>
      <c r="HY146" s="138"/>
      <c r="HZ146" s="138"/>
      <c r="IA146" s="138"/>
      <c r="IB146" s="138"/>
      <c r="IC146" s="138"/>
      <c r="ID146" s="138"/>
      <c r="IE146" s="138"/>
      <c r="IF146" s="138"/>
      <c r="IG146" s="138"/>
      <c r="IH146" s="138"/>
      <c r="II146" s="138"/>
      <c r="IJ146" s="138"/>
      <c r="IK146" s="138"/>
      <c r="IL146" s="138"/>
      <c r="IM146" s="138"/>
      <c r="IN146" s="138"/>
      <c r="IO146" s="138"/>
      <c r="IP146" s="138"/>
      <c r="IQ146" s="138"/>
      <c r="IR146" s="138"/>
      <c r="IS146" s="138"/>
      <c r="IT146" s="138"/>
      <c r="IU146" s="138"/>
      <c r="IV146" s="138"/>
      <c r="IW146" s="138"/>
    </row>
    <row r="147" customFormat="false" ht="12.75" hidden="false" customHeight="false" outlineLevel="0" collapsed="false">
      <c r="A147" s="75" t="s">
        <v>145</v>
      </c>
      <c r="B147" s="70" t="s">
        <v>287</v>
      </c>
      <c r="C147" s="70" t="s">
        <v>288</v>
      </c>
      <c r="D147" s="76" t="n">
        <v>36861</v>
      </c>
      <c r="E147" s="76" t="n">
        <v>36981</v>
      </c>
      <c r="F147" s="75" t="s">
        <v>289</v>
      </c>
      <c r="G147" s="75" t="s">
        <v>290</v>
      </c>
      <c r="H147" s="70" t="s">
        <v>291</v>
      </c>
      <c r="I147" s="78" t="n">
        <v>0.005</v>
      </c>
      <c r="J147" s="69"/>
      <c r="K147" s="69"/>
      <c r="L147" s="69"/>
      <c r="M147" s="69"/>
      <c r="N147" s="142"/>
      <c r="O147" s="69"/>
      <c r="P147" s="137" t="s">
        <v>294</v>
      </c>
      <c r="Q147" s="70" t="n">
        <v>10000</v>
      </c>
      <c r="R147" s="75" t="s">
        <v>295</v>
      </c>
      <c r="S147" s="36" t="n">
        <f aca="false">+I147*Q147*I$1</f>
        <v>1500</v>
      </c>
      <c r="T147" s="38" t="n">
        <v>506635</v>
      </c>
      <c r="U147" s="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  <c r="AW147" s="138"/>
      <c r="AX147" s="138"/>
      <c r="AY147" s="138"/>
      <c r="AZ147" s="138"/>
      <c r="BA147" s="138"/>
      <c r="BB147" s="138"/>
      <c r="BC147" s="138"/>
      <c r="BD147" s="138"/>
      <c r="BE147" s="138"/>
      <c r="BF147" s="138"/>
      <c r="BG147" s="138"/>
      <c r="BH147" s="138"/>
      <c r="BI147" s="138"/>
      <c r="BJ147" s="138"/>
      <c r="BK147" s="138"/>
      <c r="BL147" s="138"/>
      <c r="BM147" s="138"/>
      <c r="BN147" s="138"/>
      <c r="BO147" s="138"/>
      <c r="BP147" s="138"/>
      <c r="BQ147" s="138"/>
      <c r="BR147" s="138"/>
      <c r="BS147" s="138"/>
      <c r="BT147" s="138"/>
      <c r="BU147" s="138"/>
      <c r="BV147" s="138"/>
      <c r="BW147" s="138"/>
      <c r="BX147" s="138"/>
      <c r="BY147" s="138"/>
      <c r="BZ147" s="138"/>
      <c r="CA147" s="138"/>
      <c r="CB147" s="138"/>
      <c r="CC147" s="138"/>
      <c r="CD147" s="138"/>
      <c r="CE147" s="138"/>
      <c r="CF147" s="138"/>
      <c r="CG147" s="138"/>
      <c r="CH147" s="138"/>
      <c r="CI147" s="138"/>
      <c r="CJ147" s="138"/>
      <c r="CK147" s="138"/>
      <c r="CL147" s="138"/>
      <c r="CM147" s="138"/>
      <c r="CN147" s="138"/>
      <c r="CO147" s="138"/>
      <c r="CP147" s="138"/>
      <c r="CQ147" s="138"/>
      <c r="CR147" s="138"/>
      <c r="CS147" s="138"/>
      <c r="CT147" s="138"/>
      <c r="CU147" s="138"/>
      <c r="CV147" s="138"/>
      <c r="CW147" s="138"/>
      <c r="CX147" s="138"/>
      <c r="CY147" s="138"/>
      <c r="CZ147" s="138"/>
      <c r="DA147" s="138"/>
      <c r="DB147" s="138"/>
      <c r="DC147" s="138"/>
      <c r="DD147" s="138"/>
      <c r="DE147" s="138"/>
      <c r="DF147" s="138"/>
      <c r="DG147" s="138"/>
      <c r="DH147" s="138"/>
      <c r="DI147" s="138"/>
      <c r="DJ147" s="138"/>
      <c r="DK147" s="138"/>
      <c r="DL147" s="138"/>
      <c r="DM147" s="138"/>
      <c r="DN147" s="138"/>
      <c r="DO147" s="138"/>
      <c r="DP147" s="138"/>
      <c r="DQ147" s="138"/>
      <c r="DR147" s="138"/>
      <c r="DS147" s="138"/>
      <c r="DT147" s="138"/>
      <c r="DU147" s="138"/>
      <c r="DV147" s="138"/>
      <c r="DW147" s="138"/>
      <c r="DX147" s="138"/>
      <c r="DY147" s="138"/>
      <c r="DZ147" s="138"/>
      <c r="EA147" s="138"/>
      <c r="EB147" s="138"/>
      <c r="EC147" s="138"/>
      <c r="ED147" s="138"/>
      <c r="EE147" s="138"/>
      <c r="EF147" s="138"/>
      <c r="EG147" s="138"/>
      <c r="EH147" s="138"/>
      <c r="EI147" s="138"/>
      <c r="EJ147" s="138"/>
      <c r="EK147" s="138"/>
      <c r="EL147" s="138"/>
      <c r="EM147" s="138"/>
      <c r="EN147" s="138"/>
      <c r="EO147" s="138"/>
      <c r="EP147" s="138"/>
      <c r="EQ147" s="138"/>
      <c r="ER147" s="138"/>
      <c r="ES147" s="138"/>
      <c r="ET147" s="138"/>
      <c r="EU147" s="138"/>
      <c r="EV147" s="138"/>
      <c r="EW147" s="138"/>
      <c r="EX147" s="138"/>
      <c r="EY147" s="138"/>
      <c r="EZ147" s="138"/>
      <c r="FA147" s="138"/>
      <c r="FB147" s="138"/>
      <c r="FC147" s="138"/>
      <c r="FD147" s="138"/>
      <c r="FE147" s="138"/>
      <c r="FF147" s="138"/>
      <c r="FG147" s="138"/>
      <c r="FH147" s="138"/>
      <c r="FI147" s="138"/>
      <c r="FJ147" s="138"/>
      <c r="FK147" s="138"/>
      <c r="FL147" s="138"/>
      <c r="FM147" s="138"/>
      <c r="FN147" s="138"/>
      <c r="FO147" s="138"/>
      <c r="FP147" s="138"/>
      <c r="FQ147" s="138"/>
      <c r="FR147" s="138"/>
      <c r="FS147" s="138"/>
      <c r="FT147" s="138"/>
      <c r="FU147" s="138"/>
      <c r="FV147" s="138"/>
      <c r="FW147" s="138"/>
      <c r="FX147" s="138"/>
      <c r="FY147" s="138"/>
      <c r="FZ147" s="138"/>
      <c r="GA147" s="138"/>
      <c r="GB147" s="138"/>
      <c r="GC147" s="138"/>
      <c r="GD147" s="138"/>
      <c r="GE147" s="138"/>
      <c r="GF147" s="138"/>
      <c r="GG147" s="138"/>
      <c r="GH147" s="138"/>
      <c r="GI147" s="138"/>
      <c r="GJ147" s="138"/>
      <c r="GK147" s="138"/>
      <c r="GL147" s="138"/>
      <c r="GM147" s="138"/>
      <c r="GN147" s="138"/>
      <c r="GO147" s="138"/>
      <c r="GP147" s="138"/>
      <c r="GQ147" s="138"/>
      <c r="GR147" s="138"/>
      <c r="GS147" s="138"/>
      <c r="GT147" s="138"/>
      <c r="GU147" s="138"/>
      <c r="GV147" s="138"/>
      <c r="GW147" s="138"/>
      <c r="GX147" s="138"/>
      <c r="GY147" s="138"/>
      <c r="GZ147" s="138"/>
      <c r="HA147" s="138"/>
      <c r="HB147" s="138"/>
      <c r="HC147" s="138"/>
      <c r="HD147" s="138"/>
      <c r="HE147" s="138"/>
      <c r="HF147" s="138"/>
      <c r="HG147" s="138"/>
      <c r="HH147" s="138"/>
      <c r="HI147" s="138"/>
      <c r="HJ147" s="138"/>
      <c r="HK147" s="138"/>
      <c r="HL147" s="138"/>
      <c r="HM147" s="138"/>
      <c r="HN147" s="138"/>
      <c r="HO147" s="138"/>
      <c r="HP147" s="138"/>
      <c r="HQ147" s="138"/>
      <c r="HR147" s="138"/>
      <c r="HS147" s="138"/>
      <c r="HT147" s="138"/>
      <c r="HU147" s="138"/>
      <c r="HV147" s="138"/>
      <c r="HW147" s="138"/>
      <c r="HX147" s="138"/>
      <c r="HY147" s="138"/>
      <c r="HZ147" s="138"/>
      <c r="IA147" s="138"/>
      <c r="IB147" s="138"/>
      <c r="IC147" s="138"/>
      <c r="ID147" s="138"/>
      <c r="IE147" s="138"/>
      <c r="IF147" s="138"/>
      <c r="IG147" s="138"/>
      <c r="IH147" s="138"/>
      <c r="II147" s="138"/>
      <c r="IJ147" s="138"/>
      <c r="IK147" s="138"/>
      <c r="IL147" s="138"/>
      <c r="IM147" s="138"/>
      <c r="IN147" s="138"/>
      <c r="IO147" s="138"/>
      <c r="IP147" s="138"/>
      <c r="IQ147" s="138"/>
      <c r="IR147" s="138"/>
      <c r="IS147" s="138"/>
      <c r="IT147" s="138"/>
      <c r="IU147" s="138"/>
      <c r="IV147" s="138"/>
      <c r="IW147" s="138"/>
    </row>
    <row r="148" customFormat="false" ht="12.75" hidden="false" customHeight="false" outlineLevel="0" collapsed="false">
      <c r="A148" s="75"/>
      <c r="B148" s="70"/>
      <c r="C148" s="70"/>
      <c r="D148" s="76"/>
      <c r="E148" s="76"/>
      <c r="F148" s="75"/>
      <c r="G148" s="75"/>
      <c r="H148" s="70"/>
      <c r="I148" s="78"/>
      <c r="J148" s="69"/>
      <c r="K148" s="69"/>
      <c r="L148" s="69"/>
      <c r="M148" s="69"/>
      <c r="N148" s="142" t="s">
        <v>9</v>
      </c>
      <c r="O148" s="69"/>
      <c r="P148" s="137"/>
      <c r="Q148" s="70"/>
      <c r="R148" s="75" t="s">
        <v>9</v>
      </c>
      <c r="S148" s="36"/>
      <c r="T148" s="38"/>
      <c r="U148" s="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8"/>
      <c r="AX148" s="138"/>
      <c r="AY148" s="138"/>
      <c r="AZ148" s="138"/>
      <c r="BA148" s="138"/>
      <c r="BB148" s="138"/>
      <c r="BC148" s="138"/>
      <c r="BD148" s="138"/>
      <c r="BE148" s="138"/>
      <c r="BF148" s="138"/>
      <c r="BG148" s="138"/>
      <c r="BH148" s="138"/>
      <c r="BI148" s="138"/>
      <c r="BJ148" s="138"/>
      <c r="BK148" s="138"/>
      <c r="BL148" s="138"/>
      <c r="BM148" s="138"/>
      <c r="BN148" s="138"/>
      <c r="BO148" s="138"/>
      <c r="BP148" s="138"/>
      <c r="BQ148" s="138"/>
      <c r="BR148" s="138"/>
      <c r="BS148" s="138"/>
      <c r="BT148" s="138"/>
      <c r="BU148" s="138"/>
      <c r="BV148" s="138"/>
      <c r="BW148" s="138"/>
      <c r="BX148" s="138"/>
      <c r="BY148" s="138"/>
      <c r="BZ148" s="138"/>
      <c r="CA148" s="138"/>
      <c r="CB148" s="138"/>
      <c r="CC148" s="138"/>
      <c r="CD148" s="138"/>
      <c r="CE148" s="138"/>
      <c r="CF148" s="138"/>
      <c r="CG148" s="138"/>
      <c r="CH148" s="138"/>
      <c r="CI148" s="138"/>
      <c r="CJ148" s="138"/>
      <c r="CK148" s="138"/>
      <c r="CL148" s="138"/>
      <c r="CM148" s="138"/>
      <c r="CN148" s="138"/>
      <c r="CO148" s="138"/>
      <c r="CP148" s="138"/>
      <c r="CQ148" s="138"/>
      <c r="CR148" s="138"/>
      <c r="CS148" s="138"/>
      <c r="CT148" s="138"/>
      <c r="CU148" s="138"/>
      <c r="CV148" s="138"/>
      <c r="CW148" s="138"/>
      <c r="CX148" s="138"/>
      <c r="CY148" s="138"/>
      <c r="CZ148" s="138"/>
      <c r="DA148" s="138"/>
      <c r="DB148" s="138"/>
      <c r="DC148" s="138"/>
      <c r="DD148" s="138"/>
      <c r="DE148" s="138"/>
      <c r="DF148" s="138"/>
      <c r="DG148" s="138"/>
      <c r="DH148" s="138"/>
      <c r="DI148" s="138"/>
      <c r="DJ148" s="138"/>
      <c r="DK148" s="138"/>
      <c r="DL148" s="138"/>
      <c r="DM148" s="138"/>
      <c r="DN148" s="138"/>
      <c r="DO148" s="138"/>
      <c r="DP148" s="138"/>
      <c r="DQ148" s="138"/>
      <c r="DR148" s="138"/>
      <c r="DS148" s="138"/>
      <c r="DT148" s="138"/>
      <c r="DU148" s="138"/>
      <c r="DV148" s="138"/>
      <c r="DW148" s="138"/>
      <c r="DX148" s="138"/>
      <c r="DY148" s="138"/>
      <c r="DZ148" s="138"/>
      <c r="EA148" s="138"/>
      <c r="EB148" s="138"/>
      <c r="EC148" s="138"/>
      <c r="ED148" s="138"/>
      <c r="EE148" s="138"/>
      <c r="EF148" s="138"/>
      <c r="EG148" s="138"/>
      <c r="EH148" s="138"/>
      <c r="EI148" s="138"/>
      <c r="EJ148" s="138"/>
      <c r="EK148" s="138"/>
      <c r="EL148" s="138"/>
      <c r="EM148" s="138"/>
      <c r="EN148" s="138"/>
      <c r="EO148" s="138"/>
      <c r="EP148" s="138"/>
      <c r="EQ148" s="138"/>
      <c r="ER148" s="138"/>
      <c r="ES148" s="138"/>
      <c r="ET148" s="138"/>
      <c r="EU148" s="138"/>
      <c r="EV148" s="138"/>
      <c r="EW148" s="138"/>
      <c r="EX148" s="138"/>
      <c r="EY148" s="138"/>
      <c r="EZ148" s="138"/>
      <c r="FA148" s="138"/>
      <c r="FB148" s="138"/>
      <c r="FC148" s="138"/>
      <c r="FD148" s="138"/>
      <c r="FE148" s="138"/>
      <c r="FF148" s="138"/>
      <c r="FG148" s="138"/>
      <c r="FH148" s="138"/>
      <c r="FI148" s="138"/>
      <c r="FJ148" s="138"/>
      <c r="FK148" s="138"/>
      <c r="FL148" s="138"/>
      <c r="FM148" s="138"/>
      <c r="FN148" s="138"/>
      <c r="FO148" s="138"/>
      <c r="FP148" s="138"/>
      <c r="FQ148" s="138"/>
      <c r="FR148" s="138"/>
      <c r="FS148" s="138"/>
      <c r="FT148" s="138"/>
      <c r="FU148" s="138"/>
      <c r="FV148" s="138"/>
      <c r="FW148" s="138"/>
      <c r="FX148" s="138"/>
      <c r="FY148" s="138"/>
      <c r="FZ148" s="138"/>
      <c r="GA148" s="138"/>
      <c r="GB148" s="138"/>
      <c r="GC148" s="138"/>
      <c r="GD148" s="138"/>
      <c r="GE148" s="138"/>
      <c r="GF148" s="138"/>
      <c r="GG148" s="138"/>
      <c r="GH148" s="138"/>
      <c r="GI148" s="138"/>
      <c r="GJ148" s="138"/>
      <c r="GK148" s="138"/>
      <c r="GL148" s="138"/>
      <c r="GM148" s="138"/>
      <c r="GN148" s="138"/>
      <c r="GO148" s="138"/>
      <c r="GP148" s="138"/>
      <c r="GQ148" s="138"/>
      <c r="GR148" s="138"/>
      <c r="GS148" s="138"/>
      <c r="GT148" s="138"/>
      <c r="GU148" s="138"/>
      <c r="GV148" s="138"/>
      <c r="GW148" s="138"/>
      <c r="GX148" s="138"/>
      <c r="GY148" s="138"/>
      <c r="GZ148" s="138"/>
      <c r="HA148" s="138"/>
      <c r="HB148" s="138"/>
      <c r="HC148" s="138"/>
      <c r="HD148" s="138"/>
      <c r="HE148" s="138"/>
      <c r="HF148" s="138"/>
      <c r="HG148" s="138"/>
      <c r="HH148" s="138"/>
      <c r="HI148" s="138"/>
      <c r="HJ148" s="138"/>
      <c r="HK148" s="138"/>
      <c r="HL148" s="138"/>
      <c r="HM148" s="138"/>
      <c r="HN148" s="138"/>
      <c r="HO148" s="138"/>
      <c r="HP148" s="138"/>
      <c r="HQ148" s="138"/>
      <c r="HR148" s="138"/>
      <c r="HS148" s="138"/>
      <c r="HT148" s="138"/>
      <c r="HU148" s="138"/>
      <c r="HV148" s="138"/>
      <c r="HW148" s="138"/>
      <c r="HX148" s="138"/>
      <c r="HY148" s="138"/>
      <c r="HZ148" s="138"/>
      <c r="IA148" s="138"/>
      <c r="IB148" s="138"/>
      <c r="IC148" s="138"/>
      <c r="ID148" s="138"/>
      <c r="IE148" s="138"/>
      <c r="IF148" s="138"/>
      <c r="IG148" s="138"/>
      <c r="IH148" s="138"/>
      <c r="II148" s="138"/>
      <c r="IJ148" s="138"/>
      <c r="IK148" s="138"/>
      <c r="IL148" s="138"/>
      <c r="IM148" s="138"/>
      <c r="IN148" s="138"/>
      <c r="IO148" s="138"/>
      <c r="IP148" s="138"/>
      <c r="IQ148" s="138"/>
      <c r="IR148" s="138"/>
      <c r="IS148" s="138"/>
      <c r="IT148" s="138"/>
      <c r="IU148" s="138"/>
      <c r="IV148" s="138"/>
      <c r="IW148" s="138"/>
    </row>
    <row r="149" customFormat="false" ht="12.75" hidden="false" customHeight="false" outlineLevel="0" collapsed="false">
      <c r="A149" s="75"/>
      <c r="B149" s="70"/>
      <c r="C149" s="70"/>
      <c r="D149" s="76"/>
      <c r="E149" s="76"/>
      <c r="F149" s="75"/>
      <c r="G149" s="75"/>
      <c r="H149" s="70"/>
      <c r="I149" s="78"/>
      <c r="J149" s="69"/>
      <c r="K149" s="69"/>
      <c r="L149" s="69"/>
      <c r="M149" s="69"/>
      <c r="N149" s="79"/>
      <c r="O149" s="69"/>
      <c r="P149" s="137"/>
      <c r="Q149" s="70" t="n">
        <f aca="false">SUM(Q146:Q148)</f>
        <v>28225</v>
      </c>
      <c r="R149" s="75" t="s">
        <v>185</v>
      </c>
      <c r="S149" s="36" t="n">
        <f aca="false">SUM(S146:S148)</f>
        <v>4233.75</v>
      </c>
      <c r="T149" s="37"/>
      <c r="U149" s="38"/>
      <c r="V149" s="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38"/>
      <c r="BB149" s="138"/>
      <c r="BC149" s="138"/>
      <c r="BD149" s="138"/>
      <c r="BE149" s="138"/>
      <c r="BF149" s="138"/>
      <c r="BG149" s="138"/>
      <c r="BH149" s="138"/>
      <c r="BI149" s="138"/>
      <c r="BJ149" s="138"/>
      <c r="BK149" s="138"/>
      <c r="BL149" s="138"/>
      <c r="BM149" s="138"/>
      <c r="BN149" s="138"/>
      <c r="BO149" s="138"/>
      <c r="BP149" s="138"/>
      <c r="BQ149" s="138"/>
      <c r="BR149" s="138"/>
      <c r="BS149" s="138"/>
      <c r="BT149" s="138"/>
      <c r="BU149" s="138"/>
      <c r="BV149" s="138"/>
      <c r="BW149" s="138"/>
      <c r="BX149" s="138"/>
      <c r="BY149" s="138"/>
      <c r="BZ149" s="138"/>
      <c r="CA149" s="138"/>
      <c r="CB149" s="138"/>
      <c r="CC149" s="138"/>
      <c r="CD149" s="138"/>
      <c r="CE149" s="138"/>
      <c r="CF149" s="138"/>
      <c r="CG149" s="138"/>
      <c r="CH149" s="138"/>
      <c r="CI149" s="138"/>
      <c r="CJ149" s="138"/>
      <c r="CK149" s="138"/>
      <c r="CL149" s="138"/>
      <c r="CM149" s="138"/>
      <c r="CN149" s="138"/>
      <c r="CO149" s="138"/>
      <c r="CP149" s="138"/>
      <c r="CQ149" s="138"/>
      <c r="CR149" s="138"/>
      <c r="CS149" s="138"/>
      <c r="CT149" s="138"/>
      <c r="CU149" s="138"/>
      <c r="CV149" s="138"/>
      <c r="CW149" s="138"/>
      <c r="CX149" s="138"/>
      <c r="CY149" s="138"/>
      <c r="CZ149" s="138"/>
      <c r="DA149" s="138"/>
      <c r="DB149" s="138"/>
      <c r="DC149" s="138"/>
      <c r="DD149" s="138"/>
      <c r="DE149" s="138"/>
      <c r="DF149" s="138"/>
      <c r="DG149" s="138"/>
      <c r="DH149" s="138"/>
      <c r="DI149" s="138"/>
      <c r="DJ149" s="138"/>
      <c r="DK149" s="138"/>
      <c r="DL149" s="138"/>
      <c r="DM149" s="138"/>
      <c r="DN149" s="138"/>
      <c r="DO149" s="138"/>
      <c r="DP149" s="138"/>
      <c r="DQ149" s="138"/>
      <c r="DR149" s="138"/>
      <c r="DS149" s="138"/>
      <c r="DT149" s="138"/>
      <c r="DU149" s="138"/>
      <c r="DV149" s="138"/>
      <c r="DW149" s="138"/>
      <c r="DX149" s="138"/>
      <c r="DY149" s="138"/>
      <c r="DZ149" s="138"/>
      <c r="EA149" s="138"/>
      <c r="EB149" s="138"/>
      <c r="EC149" s="138"/>
      <c r="ED149" s="138"/>
      <c r="EE149" s="138"/>
      <c r="EF149" s="138"/>
      <c r="EG149" s="138"/>
      <c r="EH149" s="138"/>
      <c r="EI149" s="138"/>
      <c r="EJ149" s="138"/>
      <c r="EK149" s="138"/>
      <c r="EL149" s="138"/>
      <c r="EM149" s="138"/>
      <c r="EN149" s="138"/>
      <c r="EO149" s="138"/>
      <c r="EP149" s="138"/>
      <c r="EQ149" s="138"/>
      <c r="ER149" s="138"/>
      <c r="ES149" s="138"/>
      <c r="ET149" s="138"/>
      <c r="EU149" s="138"/>
      <c r="EV149" s="138"/>
      <c r="EW149" s="138"/>
      <c r="EX149" s="138"/>
      <c r="EY149" s="138"/>
      <c r="EZ149" s="138"/>
      <c r="FA149" s="138"/>
      <c r="FB149" s="138"/>
      <c r="FC149" s="138"/>
      <c r="FD149" s="138"/>
      <c r="FE149" s="138"/>
      <c r="FF149" s="138"/>
      <c r="FG149" s="138"/>
      <c r="FH149" s="138"/>
      <c r="FI149" s="138"/>
      <c r="FJ149" s="138"/>
      <c r="FK149" s="138"/>
      <c r="FL149" s="138"/>
      <c r="FM149" s="138"/>
      <c r="FN149" s="138"/>
      <c r="FO149" s="138"/>
      <c r="FP149" s="138"/>
      <c r="FQ149" s="138"/>
      <c r="FR149" s="138"/>
      <c r="FS149" s="138"/>
      <c r="FT149" s="138"/>
      <c r="FU149" s="138"/>
      <c r="FV149" s="138"/>
      <c r="FW149" s="138"/>
      <c r="FX149" s="138"/>
      <c r="FY149" s="138"/>
      <c r="FZ149" s="138"/>
      <c r="GA149" s="138"/>
      <c r="GB149" s="138"/>
      <c r="GC149" s="138"/>
      <c r="GD149" s="138"/>
      <c r="GE149" s="138"/>
      <c r="GF149" s="138"/>
      <c r="GG149" s="138"/>
      <c r="GH149" s="138"/>
      <c r="GI149" s="138"/>
      <c r="GJ149" s="138"/>
      <c r="GK149" s="138"/>
      <c r="GL149" s="138"/>
      <c r="GM149" s="138"/>
      <c r="GN149" s="138"/>
      <c r="GO149" s="138"/>
      <c r="GP149" s="138"/>
      <c r="GQ149" s="138"/>
      <c r="GR149" s="138"/>
      <c r="GS149" s="138"/>
      <c r="GT149" s="138"/>
      <c r="GU149" s="138"/>
      <c r="GV149" s="138"/>
      <c r="GW149" s="138"/>
      <c r="GX149" s="138"/>
      <c r="GY149" s="138"/>
      <c r="GZ149" s="138"/>
      <c r="HA149" s="138"/>
      <c r="HB149" s="138"/>
      <c r="HC149" s="138"/>
      <c r="HD149" s="138"/>
      <c r="HE149" s="138"/>
      <c r="HF149" s="138"/>
      <c r="HG149" s="138"/>
      <c r="HH149" s="138"/>
      <c r="HI149" s="138"/>
      <c r="HJ149" s="138"/>
      <c r="HK149" s="138"/>
      <c r="HL149" s="138"/>
      <c r="HM149" s="138"/>
      <c r="HN149" s="138"/>
      <c r="HO149" s="138"/>
      <c r="HP149" s="138"/>
      <c r="HQ149" s="138"/>
      <c r="HR149" s="138"/>
      <c r="HS149" s="138"/>
      <c r="HT149" s="138"/>
      <c r="HU149" s="138"/>
      <c r="HV149" s="138"/>
      <c r="HW149" s="138"/>
      <c r="HX149" s="138"/>
      <c r="HY149" s="138"/>
      <c r="HZ149" s="138"/>
      <c r="IA149" s="138"/>
      <c r="IB149" s="138"/>
      <c r="IC149" s="138"/>
      <c r="ID149" s="138"/>
      <c r="IE149" s="138"/>
      <c r="IF149" s="138"/>
      <c r="IG149" s="138"/>
      <c r="IH149" s="138"/>
      <c r="II149" s="138"/>
      <c r="IJ149" s="138"/>
      <c r="IK149" s="138"/>
      <c r="IL149" s="138"/>
      <c r="IM149" s="138"/>
      <c r="IN149" s="138"/>
      <c r="IO149" s="138"/>
      <c r="IP149" s="138"/>
      <c r="IQ149" s="138"/>
      <c r="IR149" s="138"/>
      <c r="IS149" s="138"/>
      <c r="IT149" s="138"/>
      <c r="IU149" s="138"/>
      <c r="IV149" s="138"/>
      <c r="IW149" s="138"/>
    </row>
    <row r="150" customFormat="false" ht="12.75" hidden="false" customHeight="false" outlineLevel="0" collapsed="false">
      <c r="A150" s="18"/>
      <c r="B150" s="19"/>
      <c r="C150" s="19"/>
      <c r="D150" s="20"/>
      <c r="E150" s="20"/>
      <c r="F150" s="18"/>
      <c r="G150" s="18"/>
      <c r="H150" s="19"/>
      <c r="I150" s="21"/>
      <c r="J150" s="22"/>
      <c r="K150" s="22"/>
      <c r="L150" s="22"/>
      <c r="M150" s="22"/>
      <c r="N150" s="23"/>
      <c r="O150" s="22"/>
      <c r="P150" s="24"/>
      <c r="Q150" s="72"/>
      <c r="R150" s="75" t="s">
        <v>186</v>
      </c>
      <c r="S150" s="36" t="n">
        <v>0</v>
      </c>
      <c r="T150" s="26"/>
      <c r="U150" s="27"/>
      <c r="V150" s="27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</row>
    <row r="151" customFormat="false" ht="13.5" hidden="false" customHeight="false" outlineLevel="0" collapsed="false">
      <c r="A151" s="18"/>
      <c r="B151" s="19"/>
      <c r="C151" s="19"/>
      <c r="D151" s="20"/>
      <c r="E151" s="20"/>
      <c r="F151" s="18"/>
      <c r="G151" s="18"/>
      <c r="H151" s="19"/>
      <c r="I151" s="21"/>
      <c r="J151" s="22"/>
      <c r="K151" s="22"/>
      <c r="L151" s="22"/>
      <c r="M151" s="22"/>
      <c r="N151" s="23"/>
      <c r="O151" s="22"/>
      <c r="P151" s="24"/>
      <c r="Q151" s="72"/>
      <c r="R151" s="75" t="s">
        <v>187</v>
      </c>
      <c r="S151" s="118" t="n">
        <f aca="false">+S149-S150</f>
        <v>4233.75</v>
      </c>
      <c r="T151" s="26"/>
      <c r="U151" s="27"/>
      <c r="V151" s="27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</row>
    <row r="152" customFormat="false" ht="13.5" hidden="false" customHeight="false" outlineLevel="0" collapsed="false">
      <c r="A152" s="18"/>
      <c r="B152" s="19"/>
      <c r="C152" s="19"/>
      <c r="D152" s="20"/>
      <c r="E152" s="20"/>
      <c r="F152" s="18"/>
      <c r="G152" s="18"/>
      <c r="H152" s="19"/>
      <c r="I152" s="21"/>
      <c r="J152" s="22"/>
      <c r="K152" s="22"/>
      <c r="L152" s="22"/>
      <c r="M152" s="22"/>
      <c r="N152" s="23"/>
      <c r="O152" s="22"/>
      <c r="P152" s="24"/>
      <c r="Q152" s="19"/>
      <c r="R152" s="18"/>
      <c r="S152" s="25"/>
      <c r="T152" s="26"/>
      <c r="U152" s="27"/>
      <c r="V152" s="27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</row>
    <row r="153" customFormat="false" ht="12.75" hidden="false" customHeight="false" outlineLevel="0" collapsed="false">
      <c r="A153" s="119" t="s">
        <v>109</v>
      </c>
      <c r="B153" s="120" t="s">
        <v>110</v>
      </c>
      <c r="C153" s="120" t="s">
        <v>111</v>
      </c>
      <c r="D153" s="121" t="s">
        <v>112</v>
      </c>
      <c r="E153" s="121"/>
      <c r="F153" s="119" t="s">
        <v>113</v>
      </c>
      <c r="G153" s="119" t="s">
        <v>114</v>
      </c>
      <c r="H153" s="120" t="s">
        <v>115</v>
      </c>
      <c r="I153" s="122" t="s">
        <v>116</v>
      </c>
      <c r="J153" s="120" t="s">
        <v>117</v>
      </c>
      <c r="K153" s="120" t="s">
        <v>118</v>
      </c>
      <c r="L153" s="120" t="s">
        <v>119</v>
      </c>
      <c r="M153" s="120" t="s">
        <v>120</v>
      </c>
      <c r="N153" s="120" t="s">
        <v>296</v>
      </c>
      <c r="O153" s="120" t="s">
        <v>122</v>
      </c>
      <c r="P153" s="124" t="s">
        <v>123</v>
      </c>
      <c r="Q153" s="120" t="s">
        <v>124</v>
      </c>
      <c r="R153" s="119" t="s">
        <v>125</v>
      </c>
      <c r="S153" s="154" t="s">
        <v>213</v>
      </c>
      <c r="T153" s="89"/>
      <c r="U153" s="89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  <c r="DW153" s="125"/>
      <c r="DX153" s="125"/>
      <c r="DY153" s="125"/>
      <c r="DZ153" s="125"/>
      <c r="EA153" s="125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125"/>
      <c r="GL153" s="125"/>
      <c r="GM153" s="125"/>
      <c r="GN153" s="125"/>
      <c r="GO153" s="125"/>
      <c r="GP153" s="125"/>
      <c r="GQ153" s="125"/>
      <c r="GR153" s="125"/>
      <c r="GS153" s="125"/>
      <c r="GT153" s="125"/>
      <c r="GU153" s="125"/>
      <c r="GV153" s="125"/>
      <c r="GW153" s="125"/>
      <c r="GX153" s="125"/>
      <c r="GY153" s="125"/>
      <c r="GZ153" s="125"/>
      <c r="HA153" s="125"/>
      <c r="HB153" s="125"/>
      <c r="HC153" s="125"/>
      <c r="HD153" s="125"/>
      <c r="HE153" s="125"/>
      <c r="HF153" s="125"/>
      <c r="HG153" s="125"/>
      <c r="HH153" s="125"/>
      <c r="HI153" s="125"/>
      <c r="HJ153" s="125"/>
      <c r="HK153" s="125"/>
      <c r="HL153" s="125"/>
      <c r="HM153" s="125"/>
      <c r="HN153" s="125"/>
      <c r="HO153" s="125"/>
      <c r="HP153" s="125"/>
      <c r="HQ153" s="125"/>
      <c r="HR153" s="125"/>
      <c r="HS153" s="125"/>
      <c r="HT153" s="125"/>
      <c r="HU153" s="125"/>
      <c r="HV153" s="125"/>
      <c r="HW153" s="125"/>
      <c r="HX153" s="125"/>
      <c r="HY153" s="125"/>
      <c r="HZ153" s="125"/>
      <c r="IA153" s="125"/>
      <c r="IB153" s="125"/>
      <c r="IC153" s="125"/>
      <c r="ID153" s="125"/>
      <c r="IE153" s="125"/>
      <c r="IF153" s="125"/>
      <c r="IG153" s="125"/>
      <c r="IH153" s="125"/>
      <c r="II153" s="125"/>
      <c r="IJ153" s="125"/>
      <c r="IK153" s="125"/>
      <c r="IL153" s="125"/>
      <c r="IM153" s="125"/>
      <c r="IN153" s="125"/>
      <c r="IO153" s="125"/>
      <c r="IP153" s="125"/>
      <c r="IQ153" s="125"/>
      <c r="IR153" s="125"/>
      <c r="IS153" s="125"/>
      <c r="IT153" s="125"/>
      <c r="IU153" s="125"/>
      <c r="IV153" s="125"/>
      <c r="IW153" s="125"/>
    </row>
    <row r="154" customFormat="false" ht="12.75" hidden="false" customHeight="false" outlineLevel="0" collapsed="false">
      <c r="A154" s="18" t="s">
        <v>145</v>
      </c>
      <c r="B154" s="35" t="s">
        <v>297</v>
      </c>
      <c r="C154" s="19" t="s">
        <v>297</v>
      </c>
      <c r="D154" s="20" t="n">
        <v>36982</v>
      </c>
      <c r="E154" s="20" t="n">
        <v>37011</v>
      </c>
      <c r="F154" s="18" t="s">
        <v>298</v>
      </c>
      <c r="G154" s="18" t="s">
        <v>299</v>
      </c>
      <c r="H154" s="35" t="s">
        <v>155</v>
      </c>
      <c r="I154" s="21" t="n">
        <f aca="false">0.45/I$1</f>
        <v>0.015</v>
      </c>
      <c r="J154" s="22"/>
      <c r="K154" s="22"/>
      <c r="L154" s="22"/>
      <c r="M154" s="22"/>
      <c r="N154" s="22"/>
      <c r="O154" s="22"/>
      <c r="P154" s="155" t="n">
        <v>3.8665</v>
      </c>
      <c r="Q154" s="19" t="n">
        <v>2174</v>
      </c>
      <c r="R154" s="18" t="s">
        <v>300</v>
      </c>
      <c r="S154" s="25" t="n">
        <f aca="false">I154*$I$1*Q154</f>
        <v>978.3</v>
      </c>
      <c r="T154" s="27" t="n">
        <v>706706</v>
      </c>
      <c r="U154" s="27"/>
      <c r="V154" s="28" t="s">
        <v>280</v>
      </c>
    </row>
    <row r="155" customFormat="false" ht="12.75" hidden="false" customHeight="false" outlineLevel="0" collapsed="false">
      <c r="A155" s="18"/>
      <c r="B155" s="35"/>
      <c r="C155" s="19"/>
      <c r="D155" s="20"/>
      <c r="E155" s="20"/>
      <c r="F155" s="18"/>
      <c r="G155" s="18"/>
      <c r="H155" s="35"/>
      <c r="I155" s="21"/>
      <c r="J155" s="22"/>
      <c r="K155" s="22"/>
      <c r="L155" s="22"/>
      <c r="M155" s="22"/>
      <c r="N155" s="22"/>
      <c r="O155" s="22"/>
      <c r="P155" s="155"/>
      <c r="Q155" s="19"/>
      <c r="R155" s="18"/>
      <c r="S155" s="25"/>
      <c r="T155" s="27"/>
      <c r="U155" s="27"/>
      <c r="V155" s="28"/>
    </row>
    <row r="156" customFormat="false" ht="12.75" hidden="false" customHeight="false" outlineLevel="0" collapsed="false">
      <c r="N156" s="28"/>
      <c r="P156" s="4"/>
      <c r="Q156" s="4"/>
      <c r="S156" s="156"/>
      <c r="V156" s="28"/>
    </row>
    <row r="157" customFormat="false" ht="12.75" hidden="false" customHeight="false" outlineLevel="0" collapsed="false">
      <c r="A157" s="75"/>
      <c r="B157" s="70"/>
      <c r="C157" s="70"/>
      <c r="D157" s="76"/>
      <c r="E157" s="76"/>
      <c r="F157" s="75"/>
      <c r="G157" s="75"/>
      <c r="H157" s="70"/>
      <c r="I157" s="78"/>
      <c r="J157" s="69"/>
      <c r="K157" s="69"/>
      <c r="L157" s="69"/>
      <c r="M157" s="69"/>
      <c r="N157" s="79"/>
      <c r="O157" s="69"/>
      <c r="P157" s="137"/>
      <c r="Q157" s="70" t="n">
        <f aca="false">SUM(Q154:Q156)</f>
        <v>2174</v>
      </c>
      <c r="R157" s="75" t="s">
        <v>185</v>
      </c>
      <c r="S157" s="36" t="n">
        <f aca="false">SUM(S154:S156)</f>
        <v>978.3</v>
      </c>
      <c r="T157" s="37"/>
      <c r="U157" s="38"/>
      <c r="V157" s="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  <c r="AY157" s="138"/>
      <c r="AZ157" s="138"/>
      <c r="BA157" s="138"/>
      <c r="BB157" s="138"/>
      <c r="BC157" s="138"/>
      <c r="BD157" s="138"/>
      <c r="BE157" s="138"/>
      <c r="BF157" s="138"/>
      <c r="BG157" s="138"/>
      <c r="BH157" s="138"/>
      <c r="BI157" s="138"/>
      <c r="BJ157" s="138"/>
      <c r="BK157" s="138"/>
      <c r="BL157" s="138"/>
      <c r="BM157" s="138"/>
      <c r="BN157" s="138"/>
      <c r="BO157" s="138"/>
      <c r="BP157" s="138"/>
      <c r="BQ157" s="138"/>
      <c r="BR157" s="138"/>
      <c r="BS157" s="138"/>
      <c r="BT157" s="138"/>
      <c r="BU157" s="138"/>
      <c r="BV157" s="138"/>
      <c r="BW157" s="138"/>
      <c r="BX157" s="138"/>
      <c r="BY157" s="138"/>
      <c r="BZ157" s="138"/>
      <c r="CA157" s="138"/>
      <c r="CB157" s="138"/>
      <c r="CC157" s="138"/>
      <c r="CD157" s="138"/>
      <c r="CE157" s="138"/>
      <c r="CF157" s="138"/>
      <c r="CG157" s="138"/>
      <c r="CH157" s="138"/>
      <c r="CI157" s="138"/>
      <c r="CJ157" s="138"/>
      <c r="CK157" s="138"/>
      <c r="CL157" s="138"/>
      <c r="CM157" s="138"/>
      <c r="CN157" s="138"/>
      <c r="CO157" s="138"/>
      <c r="CP157" s="138"/>
      <c r="CQ157" s="138"/>
      <c r="CR157" s="138"/>
      <c r="CS157" s="138"/>
      <c r="CT157" s="138"/>
      <c r="CU157" s="138"/>
      <c r="CV157" s="138"/>
      <c r="CW157" s="138"/>
      <c r="CX157" s="138"/>
      <c r="CY157" s="138"/>
      <c r="CZ157" s="138"/>
      <c r="DA157" s="138"/>
      <c r="DB157" s="138"/>
      <c r="DC157" s="138"/>
      <c r="DD157" s="138"/>
      <c r="DE157" s="138"/>
      <c r="DF157" s="138"/>
      <c r="DG157" s="138"/>
      <c r="DH157" s="138"/>
      <c r="DI157" s="138"/>
      <c r="DJ157" s="138"/>
      <c r="DK157" s="138"/>
      <c r="DL157" s="138"/>
      <c r="DM157" s="138"/>
      <c r="DN157" s="138"/>
      <c r="DO157" s="138"/>
      <c r="DP157" s="138"/>
      <c r="DQ157" s="138"/>
      <c r="DR157" s="138"/>
      <c r="DS157" s="138"/>
      <c r="DT157" s="138"/>
      <c r="DU157" s="138"/>
      <c r="DV157" s="138"/>
      <c r="DW157" s="138"/>
      <c r="DX157" s="138"/>
      <c r="DY157" s="138"/>
      <c r="DZ157" s="138"/>
      <c r="EA157" s="138"/>
      <c r="EB157" s="138"/>
      <c r="EC157" s="138"/>
      <c r="ED157" s="138"/>
      <c r="EE157" s="138"/>
      <c r="EF157" s="138"/>
      <c r="EG157" s="138"/>
      <c r="EH157" s="138"/>
      <c r="EI157" s="138"/>
      <c r="EJ157" s="138"/>
      <c r="EK157" s="138"/>
      <c r="EL157" s="138"/>
      <c r="EM157" s="138"/>
      <c r="EN157" s="138"/>
      <c r="EO157" s="138"/>
      <c r="EP157" s="138"/>
      <c r="EQ157" s="138"/>
      <c r="ER157" s="138"/>
      <c r="ES157" s="138"/>
      <c r="ET157" s="138"/>
      <c r="EU157" s="138"/>
      <c r="EV157" s="138"/>
      <c r="EW157" s="138"/>
      <c r="EX157" s="138"/>
      <c r="EY157" s="138"/>
      <c r="EZ157" s="138"/>
      <c r="FA157" s="138"/>
      <c r="FB157" s="138"/>
      <c r="FC157" s="138"/>
      <c r="FD157" s="138"/>
      <c r="FE157" s="138"/>
      <c r="FF157" s="138"/>
      <c r="FG157" s="138"/>
      <c r="FH157" s="138"/>
      <c r="FI157" s="138"/>
      <c r="FJ157" s="138"/>
      <c r="FK157" s="138"/>
      <c r="FL157" s="138"/>
      <c r="FM157" s="138"/>
      <c r="FN157" s="138"/>
      <c r="FO157" s="138"/>
      <c r="FP157" s="138"/>
      <c r="FQ157" s="138"/>
      <c r="FR157" s="138"/>
      <c r="FS157" s="138"/>
      <c r="FT157" s="138"/>
      <c r="FU157" s="138"/>
      <c r="FV157" s="138"/>
      <c r="FW157" s="138"/>
      <c r="FX157" s="138"/>
      <c r="FY157" s="138"/>
      <c r="FZ157" s="138"/>
      <c r="GA157" s="138"/>
      <c r="GB157" s="138"/>
      <c r="GC157" s="138"/>
      <c r="GD157" s="138"/>
      <c r="GE157" s="138"/>
      <c r="GF157" s="138"/>
      <c r="GG157" s="138"/>
      <c r="GH157" s="138"/>
      <c r="GI157" s="138"/>
      <c r="GJ157" s="138"/>
      <c r="GK157" s="138"/>
      <c r="GL157" s="138"/>
      <c r="GM157" s="138"/>
      <c r="GN157" s="138"/>
      <c r="GO157" s="138"/>
      <c r="GP157" s="138"/>
      <c r="GQ157" s="138"/>
      <c r="GR157" s="138"/>
      <c r="GS157" s="138"/>
      <c r="GT157" s="138"/>
      <c r="GU157" s="138"/>
      <c r="GV157" s="138"/>
      <c r="GW157" s="138"/>
      <c r="GX157" s="138"/>
      <c r="GY157" s="138"/>
      <c r="GZ157" s="138"/>
      <c r="HA157" s="138"/>
      <c r="HB157" s="138"/>
      <c r="HC157" s="138"/>
      <c r="HD157" s="138"/>
      <c r="HE157" s="138"/>
      <c r="HF157" s="138"/>
      <c r="HG157" s="138"/>
      <c r="HH157" s="138"/>
      <c r="HI157" s="138"/>
      <c r="HJ157" s="138"/>
      <c r="HK157" s="138"/>
      <c r="HL157" s="138"/>
      <c r="HM157" s="138"/>
      <c r="HN157" s="138"/>
      <c r="HO157" s="138"/>
      <c r="HP157" s="138"/>
      <c r="HQ157" s="138"/>
      <c r="HR157" s="138"/>
      <c r="HS157" s="138"/>
      <c r="HT157" s="138"/>
      <c r="HU157" s="138"/>
      <c r="HV157" s="138"/>
      <c r="HW157" s="138"/>
      <c r="HX157" s="138"/>
      <c r="HY157" s="138"/>
      <c r="HZ157" s="138"/>
      <c r="IA157" s="138"/>
      <c r="IB157" s="138"/>
      <c r="IC157" s="138"/>
      <c r="ID157" s="138"/>
      <c r="IE157" s="138"/>
      <c r="IF157" s="138"/>
      <c r="IG157" s="138"/>
      <c r="IH157" s="138"/>
      <c r="II157" s="138"/>
      <c r="IJ157" s="138"/>
      <c r="IK157" s="138"/>
      <c r="IL157" s="138"/>
      <c r="IM157" s="138"/>
      <c r="IN157" s="138"/>
      <c r="IO157" s="138"/>
      <c r="IP157" s="138"/>
      <c r="IQ157" s="138"/>
      <c r="IR157" s="138"/>
      <c r="IS157" s="138"/>
      <c r="IT157" s="138"/>
      <c r="IU157" s="138"/>
      <c r="IV157" s="138"/>
      <c r="IW157" s="138"/>
    </row>
    <row r="158" customFormat="false" ht="12.75" hidden="false" customHeight="false" outlineLevel="0" collapsed="false">
      <c r="A158" s="18"/>
      <c r="B158" s="19"/>
      <c r="C158" s="19"/>
      <c r="D158" s="20"/>
      <c r="E158" s="20"/>
      <c r="F158" s="18"/>
      <c r="G158" s="18"/>
      <c r="H158" s="19"/>
      <c r="I158" s="21"/>
      <c r="J158" s="22"/>
      <c r="K158" s="22"/>
      <c r="L158" s="22"/>
      <c r="M158" s="22"/>
      <c r="N158" s="23"/>
      <c r="O158" s="22"/>
      <c r="P158" s="24"/>
      <c r="Q158" s="72"/>
      <c r="R158" s="75" t="s">
        <v>186</v>
      </c>
      <c r="S158" s="36" t="n">
        <v>0</v>
      </c>
      <c r="T158" s="26"/>
      <c r="U158" s="27"/>
      <c r="V158" s="27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</row>
    <row r="159" customFormat="false" ht="13.5" hidden="false" customHeight="false" outlineLevel="0" collapsed="false">
      <c r="A159" s="18"/>
      <c r="B159" s="19"/>
      <c r="C159" s="19"/>
      <c r="D159" s="20"/>
      <c r="E159" s="20"/>
      <c r="F159" s="18"/>
      <c r="G159" s="18"/>
      <c r="H159" s="19"/>
      <c r="I159" s="21"/>
      <c r="J159" s="22"/>
      <c r="K159" s="22"/>
      <c r="L159" s="22"/>
      <c r="M159" s="22"/>
      <c r="N159" s="23"/>
      <c r="O159" s="22"/>
      <c r="P159" s="24"/>
      <c r="Q159" s="72"/>
      <c r="R159" s="75" t="s">
        <v>187</v>
      </c>
      <c r="S159" s="118" t="n">
        <f aca="false">+S157-S158</f>
        <v>978.3</v>
      </c>
      <c r="T159" s="26"/>
      <c r="U159" s="27"/>
      <c r="V159" s="27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</row>
    <row r="160" customFormat="false" ht="13.5" hidden="false" customHeight="false" outlineLevel="0" collapsed="false">
      <c r="A160" s="18"/>
      <c r="B160" s="19"/>
      <c r="C160" s="19"/>
      <c r="D160" s="20"/>
      <c r="E160" s="20"/>
      <c r="F160" s="18"/>
      <c r="G160" s="18"/>
      <c r="H160" s="19"/>
      <c r="I160" s="21"/>
      <c r="J160" s="22"/>
      <c r="K160" s="22"/>
      <c r="L160" s="22"/>
      <c r="M160" s="22"/>
      <c r="N160" s="23"/>
      <c r="O160" s="22"/>
      <c r="P160" s="24"/>
      <c r="Q160" s="19"/>
      <c r="R160" s="18"/>
      <c r="S160" s="25"/>
      <c r="T160" s="26"/>
      <c r="U160" s="27"/>
      <c r="V160" s="27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  <c r="IV160" s="4"/>
      <c r="IW160" s="4"/>
    </row>
    <row r="161" customFormat="false" ht="12.75" hidden="false" customHeight="false" outlineLevel="0" collapsed="false">
      <c r="A161" s="18"/>
      <c r="B161" s="19"/>
      <c r="C161" s="19"/>
      <c r="D161" s="20"/>
      <c r="E161" s="20"/>
      <c r="F161" s="18"/>
      <c r="G161" s="18"/>
      <c r="H161" s="19"/>
      <c r="I161" s="21"/>
      <c r="J161" s="22"/>
      <c r="K161" s="69"/>
      <c r="L161" s="22"/>
      <c r="M161" s="22"/>
      <c r="N161" s="23"/>
      <c r="O161" s="22"/>
      <c r="P161" s="137"/>
      <c r="Q161" s="72"/>
      <c r="R161" s="70"/>
      <c r="S161" s="157"/>
      <c r="T161" s="26"/>
      <c r="U161" s="27"/>
      <c r="V161" s="27"/>
    </row>
    <row r="162" customFormat="false" ht="12.75" hidden="false" customHeight="false" outlineLevel="0" collapsed="false">
      <c r="A162" s="18"/>
      <c r="B162" s="19"/>
      <c r="C162" s="19"/>
      <c r="D162" s="20"/>
      <c r="E162" s="20"/>
      <c r="F162" s="18"/>
      <c r="G162" s="18"/>
      <c r="H162" s="19"/>
      <c r="I162" s="21"/>
      <c r="J162" s="22"/>
      <c r="K162" s="69"/>
      <c r="L162" s="22"/>
      <c r="M162" s="22"/>
      <c r="N162" s="158"/>
      <c r="O162" s="22"/>
      <c r="P162" s="137"/>
      <c r="Q162" s="70"/>
      <c r="R162" s="70"/>
      <c r="S162" s="138"/>
      <c r="T162" s="73"/>
      <c r="U162" s="159"/>
      <c r="V162" s="159"/>
    </row>
    <row r="163" customFormat="false" ht="12.75" hidden="false" customHeight="false" outlineLevel="0" collapsed="false">
      <c r="A163" s="18"/>
      <c r="B163" s="19"/>
      <c r="C163" s="19"/>
      <c r="D163" s="20" t="s">
        <v>9</v>
      </c>
      <c r="E163" s="20"/>
      <c r="F163" s="18"/>
      <c r="G163" s="18"/>
      <c r="H163" s="19"/>
      <c r="I163" s="21"/>
      <c r="J163" s="22"/>
      <c r="K163" s="69"/>
      <c r="L163" s="22"/>
      <c r="M163" s="22"/>
      <c r="N163" s="23"/>
      <c r="O163" s="22"/>
      <c r="P163" s="137"/>
      <c r="Q163" s="46"/>
      <c r="R163" s="160"/>
      <c r="S163" s="161"/>
      <c r="T163" s="37"/>
      <c r="U163" s="38"/>
      <c r="V163" s="38"/>
    </row>
    <row r="164" customFormat="false" ht="12.75" hidden="false" customHeight="false" outlineLevel="0" collapsed="false">
      <c r="A164" s="29"/>
      <c r="B164" s="19"/>
      <c r="C164" s="19"/>
      <c r="D164" s="20"/>
      <c r="E164" s="20"/>
      <c r="F164" s="18"/>
      <c r="G164" s="18"/>
      <c r="H164" s="19"/>
      <c r="I164" s="21"/>
      <c r="J164" s="22"/>
      <c r="K164" s="22"/>
      <c r="L164" s="22"/>
      <c r="M164" s="22"/>
      <c r="N164" s="23"/>
      <c r="O164" s="22"/>
      <c r="P164" s="137"/>
      <c r="Q164" s="72"/>
      <c r="R164" s="162"/>
      <c r="S164" s="161"/>
      <c r="T164" s="37"/>
      <c r="U164" s="38"/>
      <c r="V164" s="38"/>
    </row>
    <row r="165" customFormat="false" ht="12.75" hidden="false" customHeight="false" outlineLevel="0" collapsed="false">
      <c r="A165" s="29"/>
      <c r="B165" s="19"/>
      <c r="C165" s="19"/>
      <c r="D165" s="20"/>
      <c r="E165" s="20"/>
      <c r="F165" s="18"/>
      <c r="G165" s="18"/>
      <c r="H165" s="19"/>
      <c r="I165" s="22"/>
      <c r="J165" s="22"/>
      <c r="K165" s="22"/>
      <c r="L165" s="22"/>
      <c r="M165" s="22"/>
      <c r="N165" s="23"/>
      <c r="O165" s="22"/>
      <c r="P165" s="137"/>
      <c r="Q165" s="72"/>
      <c r="R165" s="36"/>
      <c r="S165" s="161"/>
      <c r="T165" s="37"/>
      <c r="U165" s="38"/>
      <c r="V165" s="38"/>
    </row>
    <row r="166" customFormat="false" ht="12.75" hidden="false" customHeight="false" outlineLevel="0" collapsed="false">
      <c r="A166" s="29"/>
      <c r="B166" s="19"/>
      <c r="C166" s="19"/>
      <c r="D166" s="20"/>
      <c r="E166" s="20"/>
      <c r="F166" s="18"/>
      <c r="G166" s="18"/>
      <c r="H166" s="19"/>
      <c r="I166" s="21"/>
      <c r="J166" s="22"/>
      <c r="K166" s="22"/>
      <c r="L166" s="22"/>
      <c r="M166" s="22"/>
      <c r="N166" s="23"/>
      <c r="O166" s="22"/>
      <c r="P166" s="137"/>
      <c r="Q166" s="72"/>
      <c r="R166" s="36"/>
      <c r="S166" s="161"/>
      <c r="T166" s="37"/>
      <c r="U166" s="38"/>
      <c r="V166" s="38"/>
    </row>
    <row r="167" customFormat="false" ht="12.75" hidden="false" customHeight="false" outlineLevel="0" collapsed="false">
      <c r="A167" s="29"/>
      <c r="B167" s="19"/>
      <c r="C167" s="19"/>
      <c r="D167" s="20"/>
      <c r="E167" s="20"/>
      <c r="F167" s="18"/>
      <c r="G167" s="18"/>
      <c r="H167" s="19"/>
      <c r="I167" s="22"/>
      <c r="J167" s="22"/>
      <c r="K167" s="22"/>
      <c r="L167" s="22"/>
      <c r="M167" s="22"/>
      <c r="N167" s="23"/>
      <c r="O167" s="22"/>
      <c r="P167" s="137"/>
      <c r="Q167" s="72"/>
      <c r="R167" s="36"/>
      <c r="S167" s="36"/>
      <c r="T167" s="37"/>
      <c r="U167" s="38"/>
      <c r="V167" s="38"/>
    </row>
    <row r="168" customFormat="false" ht="12.75" hidden="false" customHeight="false" outlineLevel="0" collapsed="false">
      <c r="A168" s="29"/>
      <c r="B168" s="19"/>
      <c r="C168" s="19"/>
      <c r="D168" s="20"/>
      <c r="E168" s="20"/>
      <c r="F168" s="18"/>
      <c r="G168" s="18"/>
      <c r="H168" s="19"/>
      <c r="I168" s="21"/>
      <c r="J168" s="22"/>
      <c r="K168" s="22"/>
      <c r="L168" s="22"/>
      <c r="M168" s="22"/>
      <c r="N168" s="23"/>
      <c r="O168" s="22"/>
      <c r="P168" s="137"/>
      <c r="Q168" s="72"/>
      <c r="R168" s="36"/>
      <c r="S168" s="36"/>
      <c r="T168" s="37"/>
      <c r="U168" s="38"/>
      <c r="V168" s="38"/>
    </row>
    <row r="169" customFormat="false" ht="12.75" hidden="false" customHeight="false" outlineLevel="0" collapsed="false">
      <c r="A169" s="29"/>
      <c r="B169" s="19"/>
      <c r="C169" s="19"/>
      <c r="D169" s="20"/>
      <c r="E169" s="20"/>
      <c r="F169" s="18"/>
      <c r="G169" s="18"/>
      <c r="H169" s="19"/>
      <c r="I169" s="22"/>
      <c r="J169" s="22"/>
      <c r="K169" s="22"/>
      <c r="L169" s="22"/>
      <c r="M169" s="22"/>
      <c r="N169" s="23"/>
      <c r="O169" s="22"/>
      <c r="P169" s="137"/>
      <c r="Q169" s="72"/>
      <c r="R169" s="36"/>
      <c r="S169" s="36"/>
      <c r="T169" s="37"/>
      <c r="U169" s="38"/>
      <c r="V169" s="38"/>
    </row>
    <row r="170" customFormat="false" ht="12.75" hidden="false" customHeight="false" outlineLevel="0" collapsed="false">
      <c r="A170" s="29"/>
      <c r="B170" s="19"/>
      <c r="C170" s="19"/>
      <c r="D170" s="20"/>
      <c r="E170" s="20"/>
      <c r="F170" s="18"/>
      <c r="G170" s="18"/>
      <c r="H170" s="19"/>
      <c r="I170" s="22"/>
      <c r="J170" s="22"/>
      <c r="K170" s="22"/>
      <c r="L170" s="22"/>
      <c r="M170" s="22"/>
      <c r="N170" s="23"/>
      <c r="O170" s="22"/>
      <c r="P170" s="137"/>
      <c r="Q170" s="72"/>
      <c r="R170" s="36"/>
      <c r="S170" s="36"/>
      <c r="T170" s="37"/>
      <c r="U170" s="70"/>
      <c r="V170" s="38"/>
    </row>
    <row r="171" customFormat="false" ht="12.75" hidden="false" customHeight="false" outlineLevel="0" collapsed="false">
      <c r="A171" s="29"/>
      <c r="B171" s="19"/>
      <c r="C171" s="19"/>
      <c r="D171" s="20"/>
      <c r="E171" s="20"/>
      <c r="F171" s="18"/>
      <c r="G171" s="18"/>
      <c r="H171" s="19"/>
      <c r="I171" s="22"/>
      <c r="J171" s="22"/>
      <c r="K171" s="22"/>
      <c r="L171" s="22"/>
      <c r="M171" s="22"/>
      <c r="N171" s="23"/>
      <c r="O171" s="22"/>
      <c r="P171" s="137"/>
      <c r="Q171" s="72"/>
      <c r="R171" s="36"/>
      <c r="S171" s="36"/>
      <c r="T171" s="37"/>
      <c r="U171" s="38"/>
      <c r="V171" s="38"/>
    </row>
    <row r="172" customFormat="false" ht="12.75" hidden="false" customHeight="false" outlineLevel="0" collapsed="false">
      <c r="A172" s="29"/>
      <c r="B172" s="19"/>
      <c r="C172" s="19"/>
      <c r="D172" s="20"/>
      <c r="E172" s="20"/>
      <c r="F172" s="18"/>
      <c r="G172" s="18"/>
      <c r="H172" s="19"/>
      <c r="I172" s="22"/>
      <c r="J172" s="22"/>
      <c r="K172" s="22"/>
      <c r="L172" s="22"/>
      <c r="M172" s="22"/>
      <c r="N172" s="23"/>
      <c r="O172" s="22"/>
      <c r="P172" s="137"/>
      <c r="Q172" s="72"/>
      <c r="R172" s="36"/>
      <c r="S172" s="36"/>
      <c r="T172" s="37"/>
      <c r="U172" s="38"/>
      <c r="V172" s="38"/>
    </row>
    <row r="173" customFormat="false" ht="12.75" hidden="false" customHeight="false" outlineLevel="0" collapsed="false">
      <c r="A173" s="29"/>
      <c r="B173" s="19"/>
      <c r="C173" s="19"/>
      <c r="D173" s="20"/>
      <c r="E173" s="20"/>
      <c r="F173" s="18"/>
      <c r="G173" s="18"/>
      <c r="H173" s="19"/>
      <c r="I173" s="21"/>
      <c r="J173" s="22"/>
      <c r="K173" s="22"/>
      <c r="L173" s="22"/>
      <c r="M173" s="22"/>
      <c r="N173" s="23"/>
      <c r="O173" s="22"/>
      <c r="P173" s="137"/>
      <c r="Q173" s="72"/>
      <c r="R173" s="70"/>
      <c r="S173" s="36"/>
      <c r="T173" s="37"/>
      <c r="U173" s="38"/>
      <c r="V173" s="38"/>
    </row>
    <row r="174" customFormat="false" ht="12.75" hidden="false" customHeight="false" outlineLevel="0" collapsed="false">
      <c r="A174" s="29"/>
      <c r="B174" s="19"/>
      <c r="C174" s="19"/>
      <c r="D174" s="20"/>
      <c r="E174" s="20"/>
      <c r="F174" s="18"/>
      <c r="G174" s="18"/>
      <c r="H174" s="19"/>
      <c r="I174" s="21"/>
      <c r="J174" s="22"/>
      <c r="K174" s="22"/>
      <c r="L174" s="22"/>
      <c r="M174" s="22"/>
      <c r="N174" s="23"/>
      <c r="O174" s="22"/>
      <c r="P174" s="137"/>
      <c r="Q174" s="72"/>
      <c r="R174" s="70"/>
      <c r="S174" s="36"/>
      <c r="T174" s="37"/>
      <c r="U174" s="38"/>
      <c r="V174" s="38"/>
    </row>
    <row r="175" customFormat="false" ht="12.75" hidden="false" customHeight="false" outlineLevel="0" collapsed="false">
      <c r="P175" s="74"/>
      <c r="Q175" s="74"/>
      <c r="R175" s="74"/>
      <c r="S175" s="138"/>
      <c r="T175" s="73"/>
      <c r="U175" s="73"/>
    </row>
    <row r="176" customFormat="false" ht="12.75" hidden="false" customHeight="false" outlineLevel="0" collapsed="false">
      <c r="P176" s="74"/>
      <c r="Q176" s="74"/>
      <c r="R176" s="74"/>
      <c r="S176" s="138"/>
      <c r="T176" s="73"/>
      <c r="U176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8.56"/>
    <col collapsed="false" customWidth="false" hidden="false" outlineLevel="0" max="3" min="2" style="4" width="9.14"/>
    <col collapsed="false" customWidth="true" hidden="false" outlineLevel="0" max="5" min="4" style="4" width="9.85"/>
    <col collapsed="false" customWidth="true" hidden="false" outlineLevel="0" max="6" min="6" style="4" width="12.42"/>
    <col collapsed="false" customWidth="false" hidden="false" outlineLevel="0" max="7" min="7" style="4" width="9.14"/>
    <col collapsed="false" customWidth="true" hidden="false" outlineLevel="0" max="8" min="8" style="4" width="10.28"/>
    <col collapsed="false" customWidth="true" hidden="false" outlineLevel="0" max="9" min="9" style="4" width="7.7"/>
    <col collapsed="false" customWidth="true" hidden="false" outlineLevel="0" max="10" min="10" style="4" width="13.99"/>
    <col collapsed="false" customWidth="true" hidden="false" outlineLevel="0" max="11" min="11" style="4" width="8.14"/>
    <col collapsed="false" customWidth="true" hidden="false" outlineLevel="0" max="12" min="12" style="4" width="9.99"/>
    <col collapsed="false" customWidth="true" hidden="false" outlineLevel="0" max="13" min="13" style="163" width="9.7"/>
    <col collapsed="false" customWidth="false" hidden="false" outlineLevel="0" max="257" min="14" style="4" width="9.14"/>
  </cols>
  <sheetData>
    <row r="1" customFormat="false" ht="12.75" hidden="false" customHeight="false" outlineLevel="0" collapsed="false">
      <c r="A1" s="164" t="s">
        <v>9</v>
      </c>
      <c r="B1" s="164"/>
    </row>
    <row r="2" customFormat="false" ht="12.75" hidden="false" customHeight="false" outlineLevel="0" collapsed="false">
      <c r="B2" s="164"/>
    </row>
    <row r="3" customFormat="false" ht="12.75" hidden="false" customHeight="false" outlineLevel="0" collapsed="false">
      <c r="A3" s="165" t="s">
        <v>301</v>
      </c>
      <c r="B3" s="166"/>
      <c r="C3" s="166"/>
      <c r="D3" s="166"/>
      <c r="E3" s="166"/>
      <c r="F3" s="166"/>
      <c r="G3" s="166"/>
      <c r="H3" s="167"/>
      <c r="J3" s="168" t="s">
        <v>302</v>
      </c>
      <c r="K3" s="169" t="n">
        <f aca="false">+Rates!W17</f>
        <v>0.182209150004115</v>
      </c>
      <c r="Z3" s="4" t="n">
        <v>2.8</v>
      </c>
      <c r="AC3" s="4" t="n">
        <v>3.03</v>
      </c>
    </row>
    <row r="4" customFormat="false" ht="12.75" hidden="false" customHeight="false" outlineLevel="0" collapsed="false">
      <c r="A4" s="170"/>
      <c r="B4" s="171" t="n">
        <v>1</v>
      </c>
      <c r="C4" s="171" t="n">
        <v>2</v>
      </c>
      <c r="D4" s="171" t="n">
        <v>3</v>
      </c>
      <c r="E4" s="171" t="n">
        <v>4</v>
      </c>
      <c r="F4" s="171" t="s">
        <v>303</v>
      </c>
      <c r="G4" s="171" t="n">
        <v>5</v>
      </c>
      <c r="H4" s="172" t="n">
        <v>6</v>
      </c>
      <c r="J4" s="173" t="s">
        <v>304</v>
      </c>
      <c r="K4" s="174" t="n">
        <f aca="false">+Rates!W16</f>
        <v>0.159609150004115</v>
      </c>
    </row>
    <row r="5" customFormat="false" ht="12.75" hidden="false" customHeight="false" outlineLevel="0" collapsed="false">
      <c r="A5" s="175" t="n">
        <v>1</v>
      </c>
      <c r="B5" s="176" t="n">
        <f aca="false">+Rates!B17</f>
        <v>0.0392560963371802</v>
      </c>
      <c r="C5" s="176" t="n">
        <f aca="false">+Rates!B22</f>
        <v>0.063465957875643</v>
      </c>
      <c r="D5" s="176" t="n">
        <f aca="false">+Rates!B27</f>
        <v>0.088873570199413</v>
      </c>
      <c r="E5" s="176" t="n">
        <f aca="false">+Rates!B32</f>
        <v>0.200498968008256</v>
      </c>
      <c r="F5" s="176"/>
      <c r="G5" s="176" t="n">
        <f aca="false">+Rates!B37</f>
        <v>0.290851666317334</v>
      </c>
      <c r="H5" s="177" t="n">
        <f aca="false">+Rates!B42</f>
        <v>0.341244487897686</v>
      </c>
      <c r="J5" s="171"/>
    </row>
    <row r="6" customFormat="false" ht="12.75" hidden="false" customHeight="false" outlineLevel="0" collapsed="false">
      <c r="A6" s="175" t="n">
        <v>2</v>
      </c>
      <c r="B6" s="176"/>
      <c r="C6" s="176"/>
      <c r="D6" s="176" t="n">
        <f aca="false">+Rates!B52</f>
        <v>0.0536476901351631</v>
      </c>
      <c r="E6" s="176" t="n">
        <f aca="false">+Rates!B57</f>
        <v>0.185195372750642</v>
      </c>
      <c r="F6" s="176"/>
      <c r="G6" s="176" t="n">
        <f aca="false">+Rates!B62</f>
        <v>0.278150214054506</v>
      </c>
      <c r="H6" s="177" t="n">
        <f aca="false">+Rates!B67</f>
        <v>0.329997641112047</v>
      </c>
      <c r="J6" s="168" t="s">
        <v>305</v>
      </c>
      <c r="K6" s="178" t="n">
        <f aca="false">+Rates!Z17</f>
        <v>0.232858739255014</v>
      </c>
    </row>
    <row r="7" customFormat="false" ht="12.75" hidden="false" customHeight="false" outlineLevel="0" collapsed="false">
      <c r="A7" s="175" t="n">
        <v>3</v>
      </c>
      <c r="B7" s="176"/>
      <c r="C7" s="176"/>
      <c r="D7" s="176" t="n">
        <f aca="false">+Rates!B72</f>
        <v>0.0457346725592609</v>
      </c>
      <c r="E7" s="176" t="n">
        <f aca="false">+Rates!B77</f>
        <v>0.161858840995188</v>
      </c>
      <c r="F7" s="176"/>
      <c r="G7" s="176" t="n">
        <f aca="false">+Rates!B82</f>
        <v>0.255836084832103</v>
      </c>
      <c r="H7" s="177" t="n">
        <f aca="false">+Rates!B87</f>
        <v>0.308251729922416</v>
      </c>
      <c r="J7" s="173" t="s">
        <v>306</v>
      </c>
      <c r="K7" s="174" t="n">
        <f aca="false">+Rates!Z16</f>
        <v>0.135558739255014</v>
      </c>
    </row>
    <row r="8" customFormat="false" ht="12.75" hidden="false" customHeight="false" outlineLevel="0" collapsed="false">
      <c r="A8" s="175" t="n">
        <v>4</v>
      </c>
      <c r="B8" s="176"/>
      <c r="C8" s="176"/>
      <c r="D8" s="176"/>
      <c r="E8" s="176" t="n">
        <f aca="false">+Rates!B92</f>
        <v>0.134899684028132</v>
      </c>
      <c r="F8" s="176"/>
      <c r="G8" s="176"/>
      <c r="H8" s="177" t="n">
        <f aca="false">+Rates!B102</f>
        <v>0.280604341473596</v>
      </c>
      <c r="J8" s="164"/>
      <c r="K8" s="179"/>
    </row>
    <row r="9" customFormat="false" ht="12.75" hidden="false" customHeight="false" outlineLevel="0" collapsed="false">
      <c r="A9" s="180" t="s">
        <v>303</v>
      </c>
      <c r="B9" s="176"/>
      <c r="C9" s="176"/>
      <c r="D9" s="176"/>
      <c r="E9" s="176"/>
      <c r="F9" s="176" t="n">
        <f aca="false">+Rates!B107</f>
        <v>0.0345831841496534</v>
      </c>
      <c r="G9" s="176"/>
      <c r="H9" s="177"/>
      <c r="K9" s="181"/>
    </row>
    <row r="10" customFormat="false" ht="12.75" hidden="false" customHeight="false" outlineLevel="0" collapsed="false">
      <c r="A10" s="175" t="n">
        <v>5</v>
      </c>
      <c r="B10" s="176"/>
      <c r="C10" s="176"/>
      <c r="D10" s="176"/>
      <c r="E10" s="176"/>
      <c r="F10" s="176"/>
      <c r="G10" s="176" t="n">
        <f aca="false">+Rates!B112</f>
        <v>0.119557978075518</v>
      </c>
      <c r="H10" s="177"/>
      <c r="K10" s="179"/>
      <c r="N10" s="163" t="s">
        <v>299</v>
      </c>
    </row>
    <row r="11" customFormat="false" ht="12.75" hidden="false" customHeight="false" outlineLevel="0" collapsed="false">
      <c r="A11" s="175" t="n">
        <v>6</v>
      </c>
      <c r="B11" s="138"/>
      <c r="C11" s="138"/>
      <c r="D11" s="138"/>
      <c r="E11" s="138"/>
      <c r="F11" s="138"/>
      <c r="G11" s="138"/>
      <c r="H11" s="177" t="n">
        <f aca="false">+Rates!B122</f>
        <v>0.0737293981248114</v>
      </c>
      <c r="J11" s="165" t="s">
        <v>307</v>
      </c>
      <c r="K11" s="182"/>
      <c r="N11" s="163" t="n">
        <v>4.46</v>
      </c>
      <c r="O11" s="4" t="n">
        <v>4.455</v>
      </c>
    </row>
    <row r="12" customFormat="false" ht="12.75" hidden="false" customHeight="false" outlineLevel="0" collapsed="false">
      <c r="A12" s="183"/>
      <c r="B12" s="184" t="s">
        <v>308</v>
      </c>
      <c r="C12" s="184"/>
      <c r="D12" s="184"/>
      <c r="E12" s="184"/>
      <c r="F12" s="184"/>
      <c r="G12" s="184"/>
      <c r="H12" s="185"/>
      <c r="J12" s="186" t="s">
        <v>309</v>
      </c>
      <c r="K12" s="187" t="n">
        <f aca="false">SUM(Rates!AI17)</f>
        <v>0.0348457286432157</v>
      </c>
      <c r="N12" s="163" t="n">
        <v>4.42</v>
      </c>
      <c r="O12" s="4" t="n">
        <v>4.44</v>
      </c>
    </row>
    <row r="13" customFormat="false" ht="12.75" hidden="false" customHeight="false" outlineLevel="0" collapsed="false">
      <c r="A13" s="188" t="s">
        <v>310</v>
      </c>
      <c r="B13" s="189" t="s">
        <v>311</v>
      </c>
      <c r="C13" s="190" t="s">
        <v>312</v>
      </c>
      <c r="D13" s="190" t="s">
        <v>313</v>
      </c>
      <c r="E13" s="190" t="s">
        <v>314</v>
      </c>
      <c r="F13" s="191"/>
      <c r="G13" s="191"/>
      <c r="H13" s="192"/>
      <c r="J13" s="186" t="s">
        <v>315</v>
      </c>
      <c r="K13" s="193" t="n">
        <f aca="false">SUM(Rates!H137)</f>
        <v>0.0890510883019817</v>
      </c>
      <c r="N13" s="163"/>
    </row>
    <row r="14" customFormat="false" ht="13.5" hidden="false" customHeight="false" outlineLevel="0" collapsed="false">
      <c r="A14" s="194" t="s">
        <v>316</v>
      </c>
      <c r="B14" s="195" t="n">
        <f aca="false">SUM(Rates!B69+Rates!B71)</f>
        <v>0.0268346725592609</v>
      </c>
      <c r="C14" s="195" t="n">
        <f aca="false">SUM(Rates!K22+Rates!B69+Rates!B71)</f>
        <v>0.19477931302145</v>
      </c>
      <c r="D14" s="195" t="n">
        <f aca="false">SUM(Rates!B69+Rates!B71+Rates!K47)</f>
        <v>0.164567643648045</v>
      </c>
      <c r="E14" s="195" t="n">
        <f aca="false">0.0622+B14</f>
        <v>0.0890346725592609</v>
      </c>
      <c r="F14" s="132" t="s">
        <v>317</v>
      </c>
      <c r="G14" s="132"/>
      <c r="H14" s="196"/>
      <c r="J14" s="170" t="s">
        <v>318</v>
      </c>
      <c r="K14" s="197" t="n">
        <f aca="false">SUM(K12:K13)</f>
        <v>0.123896816945197</v>
      </c>
      <c r="M14" s="163" t="s">
        <v>319</v>
      </c>
      <c r="N14" s="163" t="n">
        <f aca="false">+N11-E14</f>
        <v>4.37096532744074</v>
      </c>
    </row>
    <row r="15" customFormat="false" ht="13.5" hidden="false" customHeight="false" outlineLevel="0" collapsed="false">
      <c r="A15" s="138"/>
      <c r="B15" s="198"/>
      <c r="C15" s="198"/>
      <c r="D15" s="198"/>
      <c r="E15" s="198"/>
      <c r="F15" s="138"/>
      <c r="G15" s="138"/>
      <c r="H15" s="138"/>
      <c r="J15" s="170"/>
      <c r="K15" s="187"/>
      <c r="N15" s="163"/>
    </row>
    <row r="16" customFormat="false" ht="12.75" hidden="false" customHeight="false" outlineLevel="0" collapsed="false">
      <c r="A16" s="165" t="s">
        <v>320</v>
      </c>
      <c r="B16" s="199"/>
      <c r="C16" s="199" t="n">
        <v>2</v>
      </c>
      <c r="D16" s="199" t="n">
        <v>3</v>
      </c>
      <c r="E16" s="199" t="n">
        <v>4</v>
      </c>
      <c r="F16" s="199" t="s">
        <v>303</v>
      </c>
      <c r="G16" s="199" t="n">
        <v>5</v>
      </c>
      <c r="H16" s="200" t="n">
        <v>6</v>
      </c>
      <c r="J16" s="201"/>
      <c r="K16" s="202"/>
      <c r="N16" s="163"/>
    </row>
    <row r="17" customFormat="false" ht="12.75" hidden="false" customHeight="false" outlineLevel="0" collapsed="false">
      <c r="A17" s="175" t="n">
        <v>2</v>
      </c>
      <c r="B17" s="176"/>
      <c r="C17" s="203" t="n">
        <f aca="false">SUM(Rates!E37)-0.0189</f>
        <v>0.089805583450492</v>
      </c>
      <c r="D17" s="203" t="n">
        <f aca="false">SUM(Rates!E39,Rates!E41)</f>
        <v>0.146147690135163</v>
      </c>
      <c r="E17" s="203" t="n">
        <f aca="false">SUM(Rates!E47)</f>
        <v>0.389495372750642</v>
      </c>
      <c r="F17" s="203"/>
      <c r="G17" s="203"/>
      <c r="H17" s="204"/>
      <c r="J17" s="170"/>
      <c r="K17" s="187"/>
      <c r="N17" s="163"/>
    </row>
    <row r="18" customFormat="false" ht="12.75" hidden="false" customHeight="false" outlineLevel="0" collapsed="false">
      <c r="A18" s="175" t="n">
        <v>3</v>
      </c>
      <c r="B18" s="176"/>
      <c r="C18" s="203"/>
      <c r="D18" s="203" t="n">
        <f aca="false">SUM(Rates!E49,Rates!E51)</f>
        <v>0.100734672559261</v>
      </c>
      <c r="E18" s="203" t="n">
        <f aca="false">SUM(Rates!E57)</f>
        <v>0.345358840995188</v>
      </c>
      <c r="F18" s="203"/>
      <c r="G18" s="203"/>
      <c r="H18" s="204"/>
      <c r="J18" s="170"/>
      <c r="K18" s="187"/>
      <c r="N18" s="163"/>
    </row>
    <row r="19" customFormat="false" ht="12.75" hidden="false" customHeight="false" outlineLevel="0" collapsed="false">
      <c r="A19" s="175" t="n">
        <v>4</v>
      </c>
      <c r="B19" s="176"/>
      <c r="C19" s="203"/>
      <c r="D19" s="203"/>
      <c r="E19" s="203" t="n">
        <f aca="false">SUM(Rates!E67)</f>
        <v>0.288199684028132</v>
      </c>
      <c r="F19" s="203"/>
      <c r="G19" s="203"/>
      <c r="H19" s="204"/>
      <c r="J19" s="170"/>
      <c r="K19" s="187"/>
      <c r="N19" s="163"/>
    </row>
    <row r="20" customFormat="false" ht="12.75" hidden="false" customHeight="false" outlineLevel="0" collapsed="false">
      <c r="A20" s="170" t="n">
        <v>6</v>
      </c>
      <c r="B20" s="198"/>
      <c r="C20" s="198"/>
      <c r="D20" s="198"/>
      <c r="E20" s="198"/>
      <c r="F20" s="205"/>
      <c r="G20" s="205"/>
      <c r="H20" s="206" t="n">
        <f aca="false">SUM(Rates!E82)</f>
        <v>0.155980572638371</v>
      </c>
      <c r="J20" s="170"/>
      <c r="K20" s="187"/>
      <c r="N20" s="163"/>
    </row>
    <row r="21" customFormat="false" ht="12.75" hidden="false" customHeight="false" outlineLevel="0" collapsed="false">
      <c r="A21" s="194"/>
      <c r="B21" s="207" t="s">
        <v>321</v>
      </c>
      <c r="C21" s="195"/>
      <c r="D21" s="195"/>
      <c r="E21" s="195"/>
      <c r="F21" s="132"/>
      <c r="G21" s="132"/>
      <c r="H21" s="196"/>
      <c r="J21" s="170"/>
      <c r="K21" s="187"/>
      <c r="N21" s="163"/>
    </row>
    <row r="22" customFormat="false" ht="12.75" hidden="false" customHeight="false" outlineLevel="0" collapsed="false">
      <c r="A22" s="208"/>
      <c r="J22" s="170"/>
      <c r="K22" s="187"/>
      <c r="N22" s="163" t="n">
        <f aca="false">+N12-E14</f>
        <v>4.33096532744074</v>
      </c>
    </row>
    <row r="23" customFormat="false" ht="12.75" hidden="false" customHeight="false" outlineLevel="0" collapsed="false">
      <c r="A23" s="209" t="s">
        <v>322</v>
      </c>
      <c r="B23" s="166"/>
      <c r="C23" s="166"/>
      <c r="D23" s="166"/>
      <c r="E23" s="166"/>
      <c r="F23" s="166"/>
      <c r="G23" s="166"/>
      <c r="H23" s="166"/>
      <c r="I23" s="166"/>
      <c r="J23" s="166"/>
      <c r="K23" s="202"/>
      <c r="N23" s="163"/>
    </row>
    <row r="24" customFormat="false" ht="12.75" hidden="false" customHeight="false" outlineLevel="0" collapsed="false">
      <c r="A24" s="210"/>
      <c r="B24" s="138"/>
      <c r="C24" s="171" t="s">
        <v>323</v>
      </c>
      <c r="D24" s="138"/>
      <c r="E24" s="138"/>
      <c r="F24" s="138"/>
      <c r="G24" s="138"/>
      <c r="H24" s="138"/>
      <c r="I24" s="138"/>
      <c r="J24" s="138"/>
      <c r="K24" s="211"/>
      <c r="M24" s="163" t="s">
        <v>324</v>
      </c>
      <c r="N24" s="163" t="n">
        <f aca="false">+N11-D14</f>
        <v>4.29543235635196</v>
      </c>
    </row>
    <row r="25" customFormat="false" ht="12.75" hidden="false" customHeight="false" outlineLevel="0" collapsed="false">
      <c r="A25" s="210"/>
      <c r="B25" s="138"/>
      <c r="C25" s="171" t="s">
        <v>325</v>
      </c>
      <c r="D25" s="138" t="s">
        <v>326</v>
      </c>
      <c r="E25" s="138"/>
      <c r="F25" s="138"/>
      <c r="G25" s="138"/>
      <c r="H25" s="138"/>
      <c r="I25" s="138"/>
      <c r="J25" s="138"/>
      <c r="K25" s="211"/>
      <c r="N25" s="163" t="n">
        <f aca="false">+N12-D14</f>
        <v>4.25543235635196</v>
      </c>
    </row>
    <row r="26" customFormat="false" ht="12.75" hidden="false" customHeight="false" outlineLevel="0" collapsed="false">
      <c r="A26" s="175"/>
      <c r="B26" s="171" t="s">
        <v>327</v>
      </c>
      <c r="C26" s="171" t="s">
        <v>328</v>
      </c>
      <c r="D26" s="171" t="s">
        <v>329</v>
      </c>
      <c r="E26" s="171" t="s">
        <v>330</v>
      </c>
      <c r="F26" s="171" t="s">
        <v>331</v>
      </c>
      <c r="G26" s="138" t="s">
        <v>332</v>
      </c>
      <c r="H26" s="171" t="s">
        <v>260</v>
      </c>
      <c r="I26" s="171" t="s">
        <v>333</v>
      </c>
      <c r="J26" s="171" t="s">
        <v>334</v>
      </c>
      <c r="K26" s="212" t="s">
        <v>335</v>
      </c>
      <c r="N26" s="163"/>
    </row>
    <row r="27" customFormat="false" ht="12.75" hidden="false" customHeight="false" outlineLevel="0" collapsed="false">
      <c r="A27" s="180" t="s">
        <v>336</v>
      </c>
      <c r="B27" s="176" t="n">
        <f aca="false">+Rates!H22-0.0225+B35+B36</f>
        <v>0.271814786430274</v>
      </c>
      <c r="C27" s="176" t="n">
        <f aca="false">+Rates!H22-0.0072</f>
        <v>0.221953505535056</v>
      </c>
      <c r="D27" s="176" t="n">
        <f aca="false">+C27-0.0072</f>
        <v>0.214753505535055</v>
      </c>
      <c r="E27" s="176" t="n">
        <f aca="false">+D27-0.0225</f>
        <v>0.192253505535056</v>
      </c>
      <c r="F27" s="176" t="n">
        <f aca="false">+D27+0.0072</f>
        <v>0.221953505535056</v>
      </c>
      <c r="G27" s="176" t="n">
        <f aca="false">+Rates!H27</f>
        <v>0.339165051794496</v>
      </c>
      <c r="H27" s="176" t="n">
        <f aca="false">+Rates!H32</f>
        <v>0.377051390058972</v>
      </c>
      <c r="I27" s="176" t="n">
        <f aca="false">+Rates!H37</f>
        <v>0.442401273885351</v>
      </c>
      <c r="J27" s="181" t="n">
        <f aca="false">+Rates!H42</f>
        <v>0.508354888507719</v>
      </c>
      <c r="K27" s="177" t="n">
        <f aca="false">+Rates!H47</f>
        <v>0.588366817887233</v>
      </c>
      <c r="M27" s="163" t="s">
        <v>278</v>
      </c>
      <c r="N27" s="163" t="n">
        <f aca="false">+N11-C14</f>
        <v>4.26522068697855</v>
      </c>
    </row>
    <row r="28" customFormat="false" ht="12.75" hidden="false" customHeight="false" outlineLevel="0" collapsed="false">
      <c r="A28" s="180" t="s">
        <v>337</v>
      </c>
      <c r="B28" s="176"/>
      <c r="C28" s="176" t="n">
        <f aca="false">+Rates!H52-0.0072</f>
        <v>0.103405401312468</v>
      </c>
      <c r="D28" s="176"/>
      <c r="E28" s="176"/>
      <c r="F28" s="176" t="n">
        <f aca="false">+C28+0.0072</f>
        <v>0.110605401312468</v>
      </c>
      <c r="G28" s="176"/>
      <c r="H28" s="176"/>
      <c r="I28" s="176"/>
      <c r="J28" s="213"/>
      <c r="K28" s="212"/>
      <c r="N28" s="163" t="n">
        <f aca="false">+N12-C14</f>
        <v>4.22522068697855</v>
      </c>
    </row>
    <row r="29" customFormat="false" ht="12.75" hidden="false" customHeight="false" outlineLevel="0" collapsed="false">
      <c r="A29" s="175" t="n">
        <v>1</v>
      </c>
      <c r="B29" s="176" t="n">
        <f aca="false">+Rates!H57-0.0225+B35+B36</f>
        <v>0.222268300223805</v>
      </c>
      <c r="C29" s="176"/>
      <c r="D29" s="176" t="n">
        <f aca="false">+Rates!H57-0.0072</f>
        <v>0.172407019328586</v>
      </c>
      <c r="E29" s="176" t="n">
        <f aca="false">+D29-0.0225</f>
        <v>0.149907019328586</v>
      </c>
      <c r="F29" s="176"/>
      <c r="G29" s="176" t="n">
        <f aca="false">+Rates!H62</f>
        <v>0.287755767833039</v>
      </c>
      <c r="H29" s="176" t="n">
        <f aca="false">+Rates!H67</f>
        <v>0.324696123707032</v>
      </c>
      <c r="I29" s="176" t="n">
        <f aca="false">+Rates!H72</f>
        <v>0.390141815883716</v>
      </c>
      <c r="J29" s="176" t="n">
        <f aca="false">+Rates!H77</f>
        <v>0.454807019036478</v>
      </c>
      <c r="K29" s="177" t="n">
        <f aca="false">+Rates!H82</f>
        <v>0.534343565841637</v>
      </c>
    </row>
    <row r="30" customFormat="false" ht="12.75" hidden="false" customHeight="false" outlineLevel="0" collapsed="false">
      <c r="A30" s="175" t="n">
        <v>2</v>
      </c>
      <c r="B30" s="176"/>
      <c r="C30" s="176"/>
      <c r="D30" s="176"/>
      <c r="E30" s="176"/>
      <c r="F30" s="176"/>
      <c r="G30" s="176"/>
      <c r="H30" s="176"/>
      <c r="I30" s="176"/>
      <c r="J30" s="176" t="n">
        <f aca="false">SUM(Rates!H87)</f>
        <v>0.0893783824609212</v>
      </c>
      <c r="K30" s="177"/>
    </row>
    <row r="31" customFormat="false" ht="12.75" hidden="false" customHeight="false" outlineLevel="0" collapsed="false">
      <c r="A31" s="175" t="n">
        <v>4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7" t="n">
        <f aca="false">+Rates!H97</f>
        <v>0.206237846655791</v>
      </c>
    </row>
    <row r="32" customFormat="false" ht="12.75" hidden="false" customHeight="false" outlineLevel="0" collapsed="false">
      <c r="A32" s="175" t="n">
        <v>5</v>
      </c>
      <c r="B32" s="176"/>
      <c r="C32" s="176"/>
      <c r="D32" s="176"/>
      <c r="E32" s="176"/>
      <c r="F32" s="176"/>
      <c r="G32" s="176"/>
      <c r="H32" s="176"/>
      <c r="I32" s="176" t="n">
        <f aca="false">+Rates!H102</f>
        <v>0.117885302739311</v>
      </c>
      <c r="J32" s="176" t="n">
        <f aca="false">+Rates!H107</f>
        <v>0.120622553880401</v>
      </c>
      <c r="K32" s="177" t="n">
        <f aca="false">+Rates!H117</f>
        <v>0.195719360097819</v>
      </c>
    </row>
    <row r="33" customFormat="false" ht="12.75" hidden="false" customHeight="false" outlineLevel="0" collapsed="false">
      <c r="A33" s="214" t="n">
        <v>6</v>
      </c>
      <c r="B33" s="215"/>
      <c r="C33" s="215"/>
      <c r="D33" s="215"/>
      <c r="E33" s="215"/>
      <c r="F33" s="176"/>
      <c r="G33" s="176"/>
      <c r="H33" s="176"/>
      <c r="I33" s="176"/>
      <c r="J33" s="176"/>
      <c r="K33" s="177" t="n">
        <f aca="false">+Rates!H132</f>
        <v>0.118364699949571</v>
      </c>
    </row>
    <row r="34" customFormat="false" ht="12.75" hidden="false" customHeight="false" outlineLevel="0" collapsed="false">
      <c r="A34" s="179"/>
      <c r="B34" s="176"/>
      <c r="C34" s="176"/>
      <c r="D34" s="176"/>
      <c r="E34" s="176"/>
      <c r="F34" s="216"/>
      <c r="G34" s="176"/>
      <c r="H34" s="176"/>
      <c r="I34" s="176"/>
      <c r="J34" s="176"/>
      <c r="K34" s="177"/>
    </row>
    <row r="35" customFormat="false" ht="12.75" hidden="false" customHeight="false" outlineLevel="0" collapsed="false">
      <c r="A35" s="217" t="s">
        <v>338</v>
      </c>
      <c r="B35" s="169" t="n">
        <f aca="false">0.0009+0.0022+0.0075</f>
        <v>0.0106</v>
      </c>
      <c r="F35" s="218" t="s">
        <v>339</v>
      </c>
      <c r="G35" s="138"/>
      <c r="H35" s="138"/>
      <c r="I35" s="138"/>
      <c r="J35" s="138"/>
      <c r="K35" s="212"/>
    </row>
    <row r="36" customFormat="false" ht="12.75" hidden="false" customHeight="false" outlineLevel="0" collapsed="false">
      <c r="A36" s="194" t="s">
        <v>340</v>
      </c>
      <c r="B36" s="219" t="n">
        <f aca="false">0.0101*(+Rates!H4+Rates!H57-0.0225)</f>
        <v>0.0545612808952187</v>
      </c>
      <c r="F36" s="218" t="s">
        <v>341</v>
      </c>
      <c r="G36" s="138"/>
      <c r="H36" s="138"/>
      <c r="I36" s="220" t="n">
        <f aca="false">+I27-I32</f>
        <v>0.32451597114604</v>
      </c>
      <c r="J36" s="220" t="n">
        <f aca="false">+J27-J32</f>
        <v>0.387732334627318</v>
      </c>
      <c r="K36" s="221" t="n">
        <f aca="false">+K27-K32</f>
        <v>0.392647457789414</v>
      </c>
    </row>
    <row r="37" customFormat="false" ht="12.75" hidden="false" customHeight="false" outlineLevel="0" collapsed="false">
      <c r="A37" s="138"/>
      <c r="B37" s="176"/>
      <c r="F37" s="222" t="s">
        <v>342</v>
      </c>
      <c r="G37" s="132"/>
      <c r="H37" s="132"/>
      <c r="I37" s="223" t="n">
        <f aca="false">+I29-I32</f>
        <v>0.272256513144405</v>
      </c>
      <c r="J37" s="223" t="n">
        <f aca="false">+J29-J32</f>
        <v>0.334184465156076</v>
      </c>
      <c r="K37" s="224" t="n">
        <f aca="false">+K29-K32</f>
        <v>0.338624205743817</v>
      </c>
    </row>
    <row r="38" customFormat="false" ht="12.75" hidden="false" customHeight="false" outlineLevel="0" collapsed="false">
      <c r="A38" s="138"/>
      <c r="B38" s="176"/>
    </row>
    <row r="39" customFormat="false" ht="12.75" hidden="false" customHeight="false" outlineLevel="0" collapsed="false">
      <c r="A39" s="209" t="s">
        <v>343</v>
      </c>
      <c r="B39" s="166"/>
      <c r="C39" s="166"/>
      <c r="D39" s="166"/>
      <c r="E39" s="166"/>
      <c r="F39" s="166"/>
      <c r="G39" s="166"/>
      <c r="H39" s="166"/>
      <c r="I39" s="166"/>
      <c r="J39" s="225"/>
      <c r="K39" s="226"/>
      <c r="L39" s="138"/>
    </row>
    <row r="40" customFormat="false" ht="12.75" hidden="false" customHeight="false" outlineLevel="0" collapsed="false">
      <c r="A40" s="175"/>
      <c r="B40" s="171" t="s">
        <v>312</v>
      </c>
      <c r="C40" s="171" t="s">
        <v>344</v>
      </c>
      <c r="D40" s="171" t="s">
        <v>345</v>
      </c>
      <c r="E40" s="171" t="s">
        <v>346</v>
      </c>
      <c r="F40" s="171" t="s">
        <v>347</v>
      </c>
      <c r="G40" s="171" t="s">
        <v>348</v>
      </c>
      <c r="H40" s="227"/>
      <c r="I40" s="138"/>
      <c r="J40" s="227" t="s">
        <v>349</v>
      </c>
      <c r="K40" s="228" t="s">
        <v>350</v>
      </c>
      <c r="L40" s="138"/>
    </row>
    <row r="41" customFormat="false" ht="12.75" hidden="false" customHeight="false" outlineLevel="0" collapsed="false">
      <c r="A41" s="180" t="s">
        <v>312</v>
      </c>
      <c r="B41" s="176" t="n">
        <f aca="false">+Rates!K17</f>
        <v>0.167332371728828</v>
      </c>
      <c r="C41" s="176" t="n">
        <f aca="false">+Rates!K27</f>
        <v>0.217407462841701</v>
      </c>
      <c r="D41" s="176" t="n">
        <f aca="false">+Rates!K22</f>
        <v>0.167944640462189</v>
      </c>
      <c r="E41" s="176" t="n">
        <f aca="false">+Rates!K32</f>
        <v>0.387368544500375</v>
      </c>
      <c r="F41" s="176" t="n">
        <f aca="false">+Rates!K37</f>
        <v>0.483384899511135</v>
      </c>
      <c r="G41" s="176" t="n">
        <f aca="false">+Rates!K42</f>
        <v>0.549573716542343</v>
      </c>
      <c r="H41" s="203"/>
      <c r="I41" s="138"/>
      <c r="J41" s="229" t="n">
        <f aca="false">+Rates!N32</f>
        <v>0.959184899511135</v>
      </c>
      <c r="K41" s="230" t="n">
        <f aca="false">SUM(Rates!N37)</f>
        <v>1.10857371654234</v>
      </c>
      <c r="L41" s="138"/>
    </row>
    <row r="42" customFormat="false" ht="12.75" hidden="false" customHeight="false" outlineLevel="0" collapsed="false">
      <c r="A42" s="180" t="s">
        <v>351</v>
      </c>
      <c r="B42" s="176"/>
      <c r="C42" s="176" t="n">
        <f aca="false">+Rates!K87</f>
        <v>0.169259563291791</v>
      </c>
      <c r="D42" s="231" t="n">
        <f aca="false">+D44</f>
        <v>0.163859563291791</v>
      </c>
      <c r="E42" s="176" t="n">
        <f aca="false">+E44</f>
        <v>0.340090185676393</v>
      </c>
      <c r="F42" s="176" t="n">
        <f aca="false">+F44</f>
        <v>0.436497783277736</v>
      </c>
      <c r="G42" s="176" t="n">
        <f aca="false">+G44</f>
        <v>0.502944893524555</v>
      </c>
      <c r="H42" s="203"/>
      <c r="I42" s="138"/>
      <c r="J42" s="229" t="n">
        <f aca="false">SUM(Rates!N77)</f>
        <v>0.766997783277736</v>
      </c>
      <c r="K42" s="230" t="n">
        <f aca="false">SUM(Rates!N82)</f>
        <v>0.916644893524555</v>
      </c>
      <c r="L42" s="138"/>
    </row>
    <row r="43" customFormat="false" ht="12.75" hidden="false" customHeight="false" outlineLevel="0" collapsed="false">
      <c r="A43" s="180" t="s">
        <v>313</v>
      </c>
      <c r="B43" s="176"/>
      <c r="C43" s="176" t="n">
        <f aca="false">+Rates!K52</f>
        <v>0.18832049163396</v>
      </c>
      <c r="D43" s="176" t="n">
        <f aca="false">+Rates!K47</f>
        <v>0.137732971088784</v>
      </c>
      <c r="E43" s="176" t="n">
        <f aca="false">+Rates!K57</f>
        <v>0.36284877633539</v>
      </c>
      <c r="F43" s="176" t="n">
        <f aca="false">+Rates!K62</f>
        <v>0.461061666306929</v>
      </c>
      <c r="G43" s="176" t="n">
        <f aca="false">+Rates!K67</f>
        <v>0.528758919036722</v>
      </c>
      <c r="H43" s="203"/>
      <c r="I43" s="138"/>
      <c r="J43" s="229" t="n">
        <f aca="false">SUM(Rates!N52)</f>
        <v>0.806161666306929</v>
      </c>
      <c r="K43" s="230" t="n">
        <f aca="false">SUM(Rates!N57)</f>
        <v>0.957058919036722</v>
      </c>
      <c r="L43" s="138"/>
    </row>
    <row r="44" customFormat="false" ht="12.75" hidden="false" customHeight="false" outlineLevel="0" collapsed="false">
      <c r="A44" s="180" t="s">
        <v>314</v>
      </c>
      <c r="B44" s="176"/>
      <c r="C44" s="176" t="n">
        <f aca="false">+Rates!K87</f>
        <v>0.169259563291791</v>
      </c>
      <c r="D44" s="176" t="n">
        <f aca="false">+Rates!K77</f>
        <v>0.163859563291791</v>
      </c>
      <c r="E44" s="176" t="n">
        <f aca="false">+Rates!K97</f>
        <v>0.340090185676393</v>
      </c>
      <c r="F44" s="176" t="n">
        <f aca="false">+Rates!K102</f>
        <v>0.436497783277736</v>
      </c>
      <c r="G44" s="176" t="n">
        <f aca="false">+Rates!K107</f>
        <v>0.502944893524555</v>
      </c>
      <c r="H44" s="203"/>
      <c r="I44" s="138"/>
      <c r="J44" s="229" t="n">
        <f aca="false">SUM(Rates!N77)</f>
        <v>0.766997783277736</v>
      </c>
      <c r="K44" s="230" t="n">
        <f aca="false">SUM(Rates!N82)</f>
        <v>0.916644893524555</v>
      </c>
      <c r="L44" s="138"/>
    </row>
    <row r="45" customFormat="false" ht="12.75" hidden="false" customHeight="false" outlineLevel="0" collapsed="false">
      <c r="A45" s="232" t="s">
        <v>352</v>
      </c>
      <c r="B45" s="138"/>
      <c r="C45" s="138"/>
      <c r="D45" s="138"/>
      <c r="E45" s="163" t="n">
        <f aca="false">+Rates!K112</f>
        <v>0.175296706463565</v>
      </c>
      <c r="F45" s="176" t="n">
        <f aca="false">+Rates!K117</f>
        <v>0.269309515859766</v>
      </c>
      <c r="G45" s="176" t="n">
        <f aca="false">+Rates!K122</f>
        <v>0.334066614007372</v>
      </c>
      <c r="H45" s="176"/>
      <c r="I45" s="138"/>
      <c r="J45" s="229" t="n">
        <f aca="false">SUM(Rates!N87)</f>
        <v>0.529409515859766</v>
      </c>
      <c r="K45" s="230" t="n">
        <f aca="false">SUM(Rates!N92)</f>
        <v>0.677366614007372</v>
      </c>
    </row>
    <row r="46" customFormat="false" ht="12.75" hidden="false" customHeight="false" outlineLevel="0" collapsed="false">
      <c r="A46" s="232" t="s">
        <v>285</v>
      </c>
      <c r="B46" s="138"/>
      <c r="C46" s="138"/>
      <c r="D46" s="138"/>
      <c r="E46" s="163"/>
      <c r="F46" s="176" t="n">
        <f aca="false">+Rates!K142</f>
        <v>0</v>
      </c>
      <c r="G46" s="176" t="n">
        <f aca="false">+Rates!K147</f>
        <v>0</v>
      </c>
      <c r="H46" s="203"/>
      <c r="I46" s="138"/>
      <c r="J46" s="229"/>
      <c r="K46" s="230" t="n">
        <f aca="false">SUM(Rates!N102)</f>
        <v>0.576968717304876</v>
      </c>
    </row>
    <row r="47" customFormat="false" ht="12.75" hidden="false" customHeight="false" outlineLevel="0" collapsed="false">
      <c r="A47" s="233" t="s">
        <v>353</v>
      </c>
      <c r="B47" s="132"/>
      <c r="C47" s="132"/>
      <c r="D47" s="132"/>
      <c r="E47" s="234"/>
      <c r="F47" s="132"/>
      <c r="G47" s="215" t="n">
        <f aca="false">+Rates!K152</f>
        <v>0</v>
      </c>
      <c r="H47" s="235"/>
      <c r="I47" s="132"/>
      <c r="J47" s="236"/>
      <c r="K47" s="237" t="n">
        <f aca="false">SUM(Rates!N107)</f>
        <v>0.379191124871001</v>
      </c>
    </row>
    <row r="48" customFormat="false" ht="12.75" hidden="false" customHeight="false" outlineLevel="0" collapsed="false">
      <c r="A48" s="238"/>
      <c r="E48" s="163"/>
      <c r="G48" s="176"/>
      <c r="H48" s="239"/>
      <c r="J48" s="229"/>
      <c r="K48" s="229"/>
    </row>
    <row r="49" customFormat="false" ht="12.75" hidden="false" customHeight="false" outlineLevel="0" collapsed="false">
      <c r="F49" s="165" t="s">
        <v>354</v>
      </c>
      <c r="G49" s="166"/>
      <c r="H49" s="166"/>
      <c r="I49" s="166"/>
      <c r="J49" s="167"/>
    </row>
    <row r="50" customFormat="false" ht="12.75" hidden="false" customHeight="false" outlineLevel="0" collapsed="false">
      <c r="A50" s="165" t="s">
        <v>355</v>
      </c>
      <c r="B50" s="240" t="s">
        <v>356</v>
      </c>
      <c r="C50" s="240" t="s">
        <v>357</v>
      </c>
      <c r="D50" s="240" t="s">
        <v>358</v>
      </c>
      <c r="E50" s="240" t="s">
        <v>359</v>
      </c>
      <c r="F50" s="170"/>
      <c r="G50" s="138" t="s">
        <v>360</v>
      </c>
      <c r="H50" s="138" t="s">
        <v>361</v>
      </c>
      <c r="I50" s="171" t="s">
        <v>362</v>
      </c>
      <c r="J50" s="172" t="s">
        <v>363</v>
      </c>
    </row>
    <row r="51" customFormat="false" ht="12.75" hidden="false" customHeight="false" outlineLevel="0" collapsed="false">
      <c r="A51" s="194"/>
      <c r="B51" s="195" t="n">
        <f aca="false">+Rates!Q17</f>
        <v>0.0953776649746193</v>
      </c>
      <c r="C51" s="195" t="n">
        <f aca="false">SUM(Rates!Q22)</f>
        <v>0.0973776649746193</v>
      </c>
      <c r="D51" s="195" t="n">
        <f aca="false">SUM(Rates!Q27)</f>
        <v>0.146145752302968</v>
      </c>
      <c r="E51" s="195" t="n">
        <f aca="false">SUM(Rates!Q32)</f>
        <v>0.170744147843943</v>
      </c>
      <c r="F51" s="186" t="s">
        <v>364</v>
      </c>
      <c r="G51" s="203" t="n">
        <f aca="false">+Rates!AF17-0.0072</f>
        <v>0.0161082055906225</v>
      </c>
      <c r="H51" s="241" t="n">
        <f aca="false">+G51+0.0072</f>
        <v>0.0233082055906225</v>
      </c>
      <c r="I51" s="242" t="n">
        <f aca="false">+Rates!AF35</f>
        <v>0.128161783309529</v>
      </c>
      <c r="J51" s="204" t="n">
        <f aca="false">+Rates!AF23</f>
        <v>0.1931703215169</v>
      </c>
    </row>
    <row r="52" customFormat="false" ht="12.75" hidden="false" customHeight="false" outlineLevel="0" collapsed="false">
      <c r="F52" s="194" t="n">
        <v>1</v>
      </c>
      <c r="G52" s="132"/>
      <c r="H52" s="132"/>
      <c r="I52" s="132"/>
      <c r="J52" s="243" t="n">
        <f aca="false">SUM(Rates!AF29)</f>
        <v>0.1913703215169</v>
      </c>
    </row>
    <row r="53" customFormat="false" ht="13.5" hidden="false" customHeight="false" outlineLevel="0" collapsed="false">
      <c r="I53" s="244"/>
      <c r="J53" s="138"/>
      <c r="K53" s="138"/>
      <c r="L53" s="138"/>
    </row>
    <row r="54" customFormat="false" ht="14.25" hidden="false" customHeight="false" outlineLevel="0" collapsed="false">
      <c r="A54" s="165" t="s">
        <v>365</v>
      </c>
      <c r="B54" s="166"/>
      <c r="C54" s="166"/>
      <c r="D54" s="166"/>
      <c r="E54" s="167"/>
      <c r="F54" s="245" t="s">
        <v>366</v>
      </c>
      <c r="G54" s="167"/>
      <c r="I54" s="246" t="s">
        <v>367</v>
      </c>
      <c r="J54" s="247" t="s">
        <v>368</v>
      </c>
      <c r="K54" s="248" t="n">
        <f aca="false">+Rates!AL17</f>
        <v>0.121969387755102</v>
      </c>
      <c r="L54" s="249" t="s">
        <v>45</v>
      </c>
    </row>
    <row r="55" customFormat="false" ht="13.5" hidden="false" customHeight="false" outlineLevel="0" collapsed="false">
      <c r="A55" s="175"/>
      <c r="B55" s="171" t="s">
        <v>369</v>
      </c>
      <c r="C55" s="171" t="s">
        <v>370</v>
      </c>
      <c r="D55" s="171" t="s">
        <v>175</v>
      </c>
      <c r="E55" s="172"/>
      <c r="F55" s="250" t="s">
        <v>371</v>
      </c>
      <c r="G55" s="212"/>
      <c r="I55" s="251"/>
      <c r="J55" s="244"/>
      <c r="K55" s="252"/>
      <c r="L55" s="244"/>
    </row>
    <row r="56" customFormat="false" ht="12.75" hidden="false" customHeight="false" outlineLevel="0" collapsed="false">
      <c r="A56" s="180" t="s">
        <v>369</v>
      </c>
      <c r="B56" s="176" t="n">
        <f aca="false">+Rates!T32</f>
        <v>0.119046673638484</v>
      </c>
      <c r="C56" s="176" t="n">
        <f aca="false">+C57+B56</f>
        <v>0.195082054241286</v>
      </c>
      <c r="D56" s="176" t="n">
        <f aca="false">SUM(Rates!T27,Rates!T37,Rates!T32)</f>
        <v>0.375106836157591</v>
      </c>
      <c r="E56" s="177"/>
      <c r="F56" s="253" t="s">
        <v>372</v>
      </c>
      <c r="G56" s="177" t="n">
        <f aca="false">Rates!AC34</f>
        <v>0.0549363106014887</v>
      </c>
      <c r="H56" s="254"/>
      <c r="I56" s="255"/>
      <c r="J56" s="255"/>
      <c r="K56" s="255"/>
      <c r="L56" s="255"/>
    </row>
    <row r="57" customFormat="false" ht="12.75" hidden="false" customHeight="false" outlineLevel="0" collapsed="false">
      <c r="A57" s="180" t="s">
        <v>370</v>
      </c>
      <c r="B57" s="176"/>
      <c r="C57" s="176" t="n">
        <f aca="false">+Rates!T37</f>
        <v>0.0760353806028016</v>
      </c>
      <c r="D57" s="176" t="n">
        <f aca="false">+Rates!T37+Rates!T27</f>
        <v>0.256060162519107</v>
      </c>
      <c r="E57" s="177"/>
      <c r="F57" s="201"/>
      <c r="G57" s="201"/>
      <c r="H57" s="240"/>
      <c r="I57" s="256"/>
      <c r="J57" s="256" t="s">
        <v>373</v>
      </c>
      <c r="K57" s="256"/>
      <c r="L57" s="257"/>
    </row>
    <row r="58" customFormat="false" ht="12.75" hidden="false" customHeight="false" outlineLevel="0" collapsed="false">
      <c r="A58" s="180" t="s">
        <v>374</v>
      </c>
      <c r="B58" s="176"/>
      <c r="C58" s="176"/>
      <c r="D58" s="176" t="n">
        <f aca="false">+Rates!T27</f>
        <v>0.180024781916305</v>
      </c>
      <c r="E58" s="177"/>
      <c r="F58" s="176"/>
      <c r="G58" s="258"/>
      <c r="H58" s="138" t="s">
        <v>375</v>
      </c>
      <c r="I58" s="255"/>
      <c r="J58" s="255"/>
      <c r="K58" s="255"/>
      <c r="L58" s="259"/>
    </row>
    <row r="59" customFormat="false" ht="12.75" hidden="false" customHeight="false" outlineLevel="0" collapsed="false">
      <c r="A59" s="260"/>
      <c r="B59" s="215" t="s">
        <v>376</v>
      </c>
      <c r="C59" s="215"/>
      <c r="D59" s="215"/>
      <c r="E59" s="219"/>
      <c r="F59" s="176"/>
      <c r="G59" s="170"/>
      <c r="H59" s="261" t="n">
        <v>0</v>
      </c>
      <c r="I59" s="261" t="s">
        <v>337</v>
      </c>
      <c r="J59" s="261" t="n">
        <v>1</v>
      </c>
      <c r="K59" s="261" t="n">
        <v>2</v>
      </c>
      <c r="L59" s="262" t="n">
        <v>3</v>
      </c>
    </row>
    <row r="60" customFormat="false" ht="12.75" hidden="false" customHeight="false" outlineLevel="0" collapsed="false">
      <c r="G60" s="263" t="s">
        <v>336</v>
      </c>
      <c r="H60" s="198" t="n">
        <f aca="false">+Rates!H238</f>
        <v>0.0792194433239207</v>
      </c>
      <c r="I60" s="261"/>
      <c r="J60" s="198" t="n">
        <f aca="false">+Rates!H244</f>
        <v>0.165553505535056</v>
      </c>
      <c r="K60" s="198" t="n">
        <f aca="false">+Rates!H250</f>
        <v>0.276965051794496</v>
      </c>
      <c r="L60" s="206" t="n">
        <f aca="false">+Rates!H256</f>
        <v>0.312051390058972</v>
      </c>
    </row>
    <row r="61" customFormat="false" ht="13.5" hidden="false" customHeight="false" outlineLevel="0" collapsed="false">
      <c r="F61" s="264"/>
      <c r="G61" s="265" t="s">
        <v>337</v>
      </c>
      <c r="H61" s="205"/>
      <c r="I61" s="198" t="n">
        <f aca="false">+Rates!H262</f>
        <v>0.0853054013124684</v>
      </c>
      <c r="J61" s="261"/>
      <c r="K61" s="261"/>
      <c r="L61" s="262"/>
    </row>
    <row r="62" customFormat="false" ht="13.5" hidden="false" customHeight="false" outlineLevel="0" collapsed="false">
      <c r="A62" s="266" t="s">
        <v>377</v>
      </c>
      <c r="B62" s="267"/>
      <c r="C62" s="267"/>
      <c r="D62" s="267"/>
      <c r="E62" s="267"/>
      <c r="F62" s="268" t="n">
        <f aca="false">Rates!A1</f>
        <v>36980</v>
      </c>
      <c r="G62" s="269" t="n">
        <v>1</v>
      </c>
      <c r="H62" s="235"/>
      <c r="I62" s="269"/>
      <c r="J62" s="195" t="n">
        <f aca="false">+Rates!H268</f>
        <v>0.125707019328586</v>
      </c>
      <c r="K62" s="195" t="n">
        <f aca="false">+Rates!H274</f>
        <v>0.235955767833039</v>
      </c>
      <c r="L62" s="243" t="n">
        <f aca="false">+Rates!H280</f>
        <v>0.270096123707032</v>
      </c>
    </row>
    <row r="63" customFormat="false" ht="12.75" hidden="false" customHeight="false" outlineLevel="0" collapsed="false">
      <c r="A63" s="239" t="s">
        <v>378</v>
      </c>
      <c r="B63" s="163" t="n">
        <f aca="false">+Rates!B6</f>
        <v>4.97</v>
      </c>
      <c r="D63" s="270" t="s">
        <v>379</v>
      </c>
      <c r="E63" s="163" t="n">
        <f aca="false">Rates!T3</f>
        <v>5.305</v>
      </c>
      <c r="F63" s="271" t="str">
        <f aca="false">Rates!A2</f>
        <v>Gas Daily </v>
      </c>
      <c r="I63" s="255"/>
      <c r="J63" s="255"/>
      <c r="K63" s="255"/>
      <c r="L63" s="255"/>
    </row>
    <row r="64" customFormat="false" ht="13.5" hidden="false" customHeight="false" outlineLevel="0" collapsed="false">
      <c r="A64" s="171" t="s">
        <v>380</v>
      </c>
      <c r="B64" s="272" t="n">
        <f aca="false">+Rates!B5</f>
        <v>5.17</v>
      </c>
      <c r="C64" s="171"/>
      <c r="D64" s="213" t="s">
        <v>381</v>
      </c>
      <c r="E64" s="163" t="n">
        <f aca="false">Rates!T4</f>
        <v>5.3810353806028</v>
      </c>
      <c r="F64" s="273" t="str">
        <f aca="false">Rates!B2</f>
        <v>Even</v>
      </c>
      <c r="I64" s="255"/>
      <c r="J64" s="255"/>
      <c r="K64" s="255"/>
      <c r="L64" s="255"/>
    </row>
    <row r="65" customFormat="false" ht="12.75" hidden="false" customHeight="false" outlineLevel="0" collapsed="false">
      <c r="A65" s="171" t="s">
        <v>382</v>
      </c>
      <c r="B65" s="163" t="n">
        <f aca="false">Rates!B4</f>
        <v>5.28</v>
      </c>
      <c r="C65" s="176"/>
      <c r="D65" s="181" t="s">
        <v>383</v>
      </c>
      <c r="E65" s="163" t="n">
        <f aca="false">+Rates!AF3</f>
        <v>5.31</v>
      </c>
      <c r="I65" s="255"/>
      <c r="J65" s="255"/>
      <c r="K65" s="255"/>
      <c r="L65" s="255"/>
    </row>
    <row r="66" customFormat="false" ht="12.75" hidden="false" customHeight="false" outlineLevel="0" collapsed="false">
      <c r="A66" s="239" t="s">
        <v>384</v>
      </c>
      <c r="B66" s="163" t="n">
        <f aca="false">Rates!B3</f>
        <v>5.3</v>
      </c>
      <c r="C66" s="176"/>
      <c r="D66" s="4" t="s">
        <v>385</v>
      </c>
      <c r="E66" s="163" t="n">
        <f aca="false">+Rates!H4</f>
        <v>5.245</v>
      </c>
      <c r="I66" s="255"/>
      <c r="J66" s="255"/>
      <c r="K66" s="255"/>
      <c r="L66" s="255"/>
    </row>
    <row r="67" customFormat="false" ht="12.75" hidden="false" customHeight="false" outlineLevel="0" collapsed="false">
      <c r="A67" s="239" t="s">
        <v>386</v>
      </c>
      <c r="B67" s="163" t="n">
        <f aca="false">Rates!B7</f>
        <v>5.955</v>
      </c>
      <c r="C67" s="176"/>
      <c r="D67" s="270" t="s">
        <v>387</v>
      </c>
      <c r="E67" s="163" t="n">
        <f aca="false">+Rates!H5</f>
        <v>5.805</v>
      </c>
      <c r="I67" s="244"/>
      <c r="J67" s="274"/>
      <c r="K67" s="275"/>
      <c r="L67" s="244"/>
    </row>
    <row r="68" customFormat="false" ht="12.75" hidden="false" customHeight="false" outlineLevel="0" collapsed="false">
      <c r="A68" s="171" t="s">
        <v>278</v>
      </c>
      <c r="B68" s="163" t="n">
        <f aca="false">Rates!K5</f>
        <v>4.93</v>
      </c>
      <c r="D68" s="181" t="s">
        <v>388</v>
      </c>
      <c r="E68" s="163" t="n">
        <f aca="false">Rates!Z3</f>
        <v>5.81</v>
      </c>
      <c r="I68" s="255"/>
      <c r="J68" s="255"/>
      <c r="K68" s="255"/>
      <c r="L68" s="255"/>
    </row>
    <row r="69" customFormat="false" ht="12.75" hidden="false" customHeight="false" outlineLevel="0" collapsed="false">
      <c r="A69" s="171" t="s">
        <v>324</v>
      </c>
      <c r="B69" s="163" t="n">
        <f aca="false">Rates!K4</f>
        <v>5.14</v>
      </c>
      <c r="D69" s="181" t="s">
        <v>56</v>
      </c>
      <c r="E69" s="163" t="n">
        <f aca="false">Rates!W3</f>
        <v>5.59</v>
      </c>
      <c r="I69" s="255"/>
      <c r="J69" s="255"/>
      <c r="K69" s="255"/>
      <c r="L69" s="255"/>
    </row>
    <row r="70" customFormat="false" ht="12.75" hidden="false" customHeight="false" outlineLevel="0" collapsed="false">
      <c r="A70" s="239" t="s">
        <v>319</v>
      </c>
      <c r="B70" s="163" t="n">
        <f aca="false">Rates!K3</f>
        <v>5.05</v>
      </c>
      <c r="D70" s="270" t="s">
        <v>83</v>
      </c>
      <c r="E70" s="163" t="n">
        <f aca="false">Rates!AI3</f>
        <v>5.8</v>
      </c>
      <c r="I70" s="255"/>
      <c r="J70" s="255"/>
      <c r="K70" s="255"/>
      <c r="L70" s="255"/>
    </row>
    <row r="71" customFormat="false" ht="12.75" hidden="false" customHeight="false" outlineLevel="0" collapsed="false">
      <c r="A71" s="239" t="s">
        <v>352</v>
      </c>
      <c r="B71" s="163" t="n">
        <f aca="false">Rates!K6</f>
        <v>5.2</v>
      </c>
      <c r="E71" s="163"/>
      <c r="I71" s="255"/>
      <c r="J71" s="255"/>
      <c r="K71" s="255"/>
      <c r="L71" s="255"/>
    </row>
    <row r="72" customFormat="false" ht="12.75" hidden="false" customHeight="false" outlineLevel="0" collapsed="false">
      <c r="A72" s="239" t="s">
        <v>353</v>
      </c>
      <c r="B72" s="163" t="n">
        <f aca="false">Rates!K7</f>
        <v>5.92</v>
      </c>
      <c r="D72" s="276" t="s">
        <v>389</v>
      </c>
      <c r="E72" s="277" t="n">
        <f aca="false">Rates!D2</f>
        <v>5.24</v>
      </c>
      <c r="I72" s="255"/>
      <c r="J72" s="255"/>
      <c r="K72" s="255"/>
      <c r="L72" s="255"/>
    </row>
    <row r="73" customFormat="false" ht="12.75" hidden="false" customHeight="false" outlineLevel="0" collapsed="false">
      <c r="I73" s="255"/>
      <c r="J73" s="255"/>
      <c r="K73" s="255"/>
      <c r="L73" s="255"/>
    </row>
    <row r="74" customFormat="false" ht="12.75" hidden="false" customHeight="false" outlineLevel="0" collapsed="false">
      <c r="I74" s="255"/>
      <c r="J74" s="255"/>
      <c r="K74" s="255"/>
      <c r="L74" s="255"/>
    </row>
    <row r="75" customFormat="false" ht="12.75" hidden="false" customHeight="false" outlineLevel="0" collapsed="false">
      <c r="I75" s="255"/>
      <c r="J75" s="255"/>
      <c r="K75" s="255"/>
      <c r="L75" s="255"/>
    </row>
    <row r="76" customFormat="false" ht="12.75" hidden="false" customHeight="false" outlineLevel="0" collapsed="false">
      <c r="I76" s="255"/>
      <c r="J76" s="255"/>
      <c r="K76" s="255"/>
      <c r="L76" s="255"/>
    </row>
    <row r="77" customFormat="false" ht="12.75" hidden="false" customHeight="false" outlineLevel="0" collapsed="false">
      <c r="I77" s="244"/>
      <c r="J77" s="138"/>
      <c r="K77" s="138"/>
      <c r="L77" s="138"/>
    </row>
    <row r="78" customFormat="false" ht="12.75" hidden="false" customHeight="false" outlineLevel="0" collapsed="false">
      <c r="I78" s="138"/>
      <c r="J78" s="244"/>
      <c r="K78" s="138"/>
      <c r="L78" s="244"/>
    </row>
    <row r="79" customFormat="false" ht="12.75" hidden="false" customHeight="false" outlineLevel="0" collapsed="false">
      <c r="I79" s="255"/>
      <c r="J79" s="255"/>
      <c r="K79" s="255"/>
      <c r="L79" s="255"/>
    </row>
    <row r="80" customFormat="false" ht="12.75" hidden="false" customHeight="false" outlineLevel="0" collapsed="false">
      <c r="I80" s="255"/>
      <c r="J80" s="255"/>
      <c r="K80" s="255"/>
      <c r="L80" s="255"/>
    </row>
    <row r="81" customFormat="false" ht="12.75" hidden="false" customHeight="false" outlineLevel="0" collapsed="false">
      <c r="I81" s="255"/>
      <c r="J81" s="255"/>
      <c r="K81" s="255"/>
      <c r="L81" s="255"/>
    </row>
    <row r="82" customFormat="false" ht="12.75" hidden="false" customHeight="false" outlineLevel="0" collapsed="false">
      <c r="I82" s="255"/>
      <c r="J82" s="255"/>
      <c r="K82" s="255"/>
      <c r="L82" s="255"/>
    </row>
    <row r="83" customFormat="false" ht="12.75" hidden="false" customHeight="false" outlineLevel="0" collapsed="false">
      <c r="I83" s="255"/>
      <c r="J83" s="255"/>
      <c r="K83" s="255"/>
      <c r="L83" s="255"/>
    </row>
    <row r="84" customFormat="false" ht="12.75" hidden="false" customHeight="false" outlineLevel="0" collapsed="false">
      <c r="I84" s="255"/>
      <c r="J84" s="255"/>
      <c r="K84" s="255"/>
      <c r="L84" s="255"/>
    </row>
    <row r="85" customFormat="false" ht="12.75" hidden="false" customHeight="false" outlineLevel="0" collapsed="false">
      <c r="I85" s="255"/>
      <c r="J85" s="255"/>
      <c r="K85" s="255"/>
      <c r="L85" s="255"/>
    </row>
    <row r="86" customFormat="false" ht="12.75" hidden="false" customHeight="false" outlineLevel="0" collapsed="false">
      <c r="I86" s="278"/>
      <c r="J86" s="278"/>
      <c r="K86" s="278"/>
      <c r="L86" s="278"/>
    </row>
    <row r="87" customFormat="false" ht="12.75" hidden="false" customHeight="false" outlineLevel="0" collapsed="false">
      <c r="I87" s="278"/>
      <c r="J87" s="278"/>
      <c r="K87" s="278"/>
      <c r="L87" s="278"/>
    </row>
    <row r="88" customFormat="false" ht="12.75" hidden="false" customHeight="false" outlineLevel="0" collapsed="false">
      <c r="I88" s="278"/>
      <c r="J88" s="278"/>
      <c r="K88" s="278"/>
      <c r="L88" s="278"/>
    </row>
    <row r="89" customFormat="false" ht="12.75" hidden="false" customHeight="false" outlineLevel="0" collapsed="false">
      <c r="I89" s="278"/>
      <c r="J89" s="278"/>
      <c r="K89" s="278"/>
      <c r="L89" s="278"/>
    </row>
    <row r="90" customFormat="false" ht="12.75" hidden="false" customHeight="false" outlineLevel="0" collapsed="false">
      <c r="I90" s="278"/>
      <c r="J90" s="278"/>
      <c r="K90" s="278"/>
      <c r="L90" s="2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&amp;C&amp;14April
 2001 Rates Using Current Cash Prices</oddHeader>
    <oddFooter>&amp;L&amp;D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21" activePane="bottomLeft" state="frozen"/>
      <selection pane="topLeft" activeCell="A1" activeCellId="0" sqref="A1"/>
      <selection pane="bottomLeft" activeCell="E34" activeCellId="0" sqref="E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11.85"/>
    <col collapsed="false" customWidth="true" hidden="false" outlineLevel="0" max="2" min="2" style="28" width="10.85"/>
    <col collapsed="false" customWidth="true" hidden="false" outlineLevel="0" max="3" min="3" style="28" width="3.99"/>
    <col collapsed="false" customWidth="true" hidden="false" outlineLevel="0" max="4" min="4" style="28" width="11.85"/>
    <col collapsed="false" customWidth="true" hidden="false" outlineLevel="0" max="5" min="5" style="28" width="11.99"/>
    <col collapsed="false" customWidth="true" hidden="false" outlineLevel="0" max="6" min="6" style="28" width="2.84"/>
    <col collapsed="false" customWidth="true" hidden="false" outlineLevel="0" max="8" min="7" style="28" width="10.85"/>
    <col collapsed="false" customWidth="true" hidden="false" outlineLevel="0" max="9" min="9" style="28" width="2.84"/>
    <col collapsed="false" customWidth="true" hidden="false" outlineLevel="0" max="11" min="10" style="279" width="10.85"/>
    <col collapsed="false" customWidth="true" hidden="false" outlineLevel="0" max="12" min="12" style="28" width="2.84"/>
    <col collapsed="false" customWidth="true" hidden="false" outlineLevel="0" max="14" min="13" style="28" width="10.85"/>
    <col collapsed="false" customWidth="true" hidden="false" outlineLevel="0" max="15" min="15" style="28" width="2.84"/>
    <col collapsed="false" customWidth="true" hidden="false" outlineLevel="0" max="17" min="16" style="28" width="10.85"/>
    <col collapsed="false" customWidth="true" hidden="false" outlineLevel="0" max="18" min="18" style="28" width="2.84"/>
    <col collapsed="false" customWidth="true" hidden="false" outlineLevel="0" max="20" min="19" style="28" width="10.85"/>
    <col collapsed="false" customWidth="true" hidden="false" outlineLevel="0" max="21" min="21" style="28" width="2.84"/>
    <col collapsed="false" customWidth="true" hidden="false" outlineLevel="0" max="23" min="22" style="28" width="10.85"/>
    <col collapsed="false" customWidth="true" hidden="false" outlineLevel="0" max="24" min="24" style="28" width="2.84"/>
    <col collapsed="false" customWidth="true" hidden="false" outlineLevel="0" max="25" min="25" style="28" width="12.14"/>
    <col collapsed="false" customWidth="true" hidden="false" outlineLevel="0" max="26" min="26" style="28" width="10.85"/>
    <col collapsed="false" customWidth="true" hidden="false" outlineLevel="0" max="27" min="27" style="28" width="3.42"/>
    <col collapsed="false" customWidth="true" hidden="false" outlineLevel="0" max="28" min="28" style="28" width="9.28"/>
    <col collapsed="false" customWidth="false" hidden="false" outlineLevel="0" max="29" min="29" style="28" width="9.14"/>
    <col collapsed="false" customWidth="true" hidden="false" outlineLevel="0" max="30" min="30" style="28" width="3.42"/>
    <col collapsed="false" customWidth="false" hidden="false" outlineLevel="0" max="32" min="31" style="28" width="9.14"/>
    <col collapsed="false" customWidth="true" hidden="false" outlineLevel="0" max="33" min="33" style="28" width="3.42"/>
    <col collapsed="false" customWidth="true" hidden="false" outlineLevel="0" max="34" min="34" style="28" width="9.28"/>
    <col collapsed="false" customWidth="false" hidden="false" outlineLevel="0" max="35" min="35" style="28" width="9.14"/>
    <col collapsed="false" customWidth="true" hidden="false" outlineLevel="0" max="36" min="36" style="28" width="3.42"/>
    <col collapsed="false" customWidth="false" hidden="false" outlineLevel="0" max="257" min="37" style="28" width="9.14"/>
  </cols>
  <sheetData>
    <row r="1" customFormat="false" ht="13.5" hidden="false" customHeight="false" outlineLevel="0" collapsed="false">
      <c r="A1" s="280" t="n">
        <v>36980</v>
      </c>
      <c r="D1" s="281" t="s">
        <v>389</v>
      </c>
      <c r="J1" s="282"/>
      <c r="K1" s="282"/>
    </row>
    <row r="2" customFormat="false" ht="13.5" hidden="false" customHeight="false" outlineLevel="0" collapsed="false">
      <c r="A2" s="283" t="s">
        <v>390</v>
      </c>
      <c r="B2" s="284" t="s">
        <v>391</v>
      </c>
      <c r="C2" s="283"/>
      <c r="D2" s="285" t="n">
        <v>5.24</v>
      </c>
      <c r="E2" s="286" t="s">
        <v>392</v>
      </c>
      <c r="F2" s="283"/>
      <c r="G2" s="283" t="s">
        <v>9</v>
      </c>
      <c r="H2" s="283"/>
      <c r="I2" s="283"/>
      <c r="J2" s="287" t="s">
        <v>9</v>
      </c>
      <c r="K2" s="288"/>
      <c r="L2" s="283"/>
      <c r="M2" s="283"/>
      <c r="N2" s="286" t="s">
        <v>392</v>
      </c>
      <c r="O2" s="283"/>
      <c r="P2" s="283"/>
      <c r="Q2" s="289"/>
      <c r="R2" s="283"/>
      <c r="S2" s="283"/>
      <c r="T2" s="289"/>
      <c r="U2" s="283"/>
      <c r="V2" s="283"/>
      <c r="W2" s="289"/>
      <c r="X2" s="283" t="s">
        <v>9</v>
      </c>
      <c r="Y2" s="283" t="s">
        <v>9</v>
      </c>
      <c r="Z2" s="283" t="s">
        <v>9</v>
      </c>
      <c r="AC2" s="28" t="s">
        <v>393</v>
      </c>
      <c r="AH2" s="290" t="s">
        <v>394</v>
      </c>
    </row>
    <row r="3" customFormat="false" ht="12.75" hidden="false" customHeight="false" outlineLevel="0" collapsed="false">
      <c r="A3" s="291" t="s">
        <v>395</v>
      </c>
      <c r="B3" s="292" t="n">
        <v>5.3</v>
      </c>
      <c r="C3" s="283"/>
      <c r="D3" s="291" t="s">
        <v>395</v>
      </c>
      <c r="E3" s="293" t="n">
        <f aca="false">+B3</f>
        <v>5.3</v>
      </c>
      <c r="F3" s="283"/>
      <c r="G3" s="294" t="s">
        <v>396</v>
      </c>
      <c r="H3" s="2" t="n">
        <v>5.22</v>
      </c>
      <c r="I3" s="283"/>
      <c r="J3" s="295" t="s">
        <v>281</v>
      </c>
      <c r="K3" s="296" t="n">
        <v>5.05</v>
      </c>
      <c r="L3" s="283"/>
      <c r="M3" s="291" t="s">
        <v>281</v>
      </c>
      <c r="N3" s="293" t="n">
        <f aca="false">+K3</f>
        <v>5.05</v>
      </c>
      <c r="O3" s="283"/>
      <c r="P3" s="291" t="s">
        <v>397</v>
      </c>
      <c r="Q3" s="297" t="n">
        <v>5.265</v>
      </c>
      <c r="R3" s="283" t="s">
        <v>9</v>
      </c>
      <c r="S3" s="291" t="s">
        <v>398</v>
      </c>
      <c r="T3" s="297" t="n">
        <v>5.305</v>
      </c>
      <c r="U3" s="283" t="s">
        <v>9</v>
      </c>
      <c r="V3" s="291" t="s">
        <v>56</v>
      </c>
      <c r="W3" s="297" t="n">
        <v>5.59</v>
      </c>
      <c r="X3" s="283"/>
      <c r="Y3" s="298" t="s">
        <v>399</v>
      </c>
      <c r="Z3" s="297" t="n">
        <v>5.81</v>
      </c>
      <c r="AB3" s="291" t="s">
        <v>353</v>
      </c>
      <c r="AC3" s="299" t="n">
        <f aca="false">K7</f>
        <v>5.92</v>
      </c>
      <c r="AE3" s="164" t="s">
        <v>400</v>
      </c>
      <c r="AF3" s="297" t="n">
        <v>5.31</v>
      </c>
      <c r="AH3" s="291" t="s">
        <v>401</v>
      </c>
      <c r="AI3" s="297" t="n">
        <v>5.8</v>
      </c>
      <c r="AK3" s="291" t="s">
        <v>367</v>
      </c>
      <c r="AL3" s="297" t="n">
        <v>5.805</v>
      </c>
    </row>
    <row r="4" customFormat="false" ht="12.75" hidden="false" customHeight="false" outlineLevel="0" collapsed="false">
      <c r="A4" s="291" t="s">
        <v>402</v>
      </c>
      <c r="B4" s="300" t="n">
        <v>5.28</v>
      </c>
      <c r="C4" s="171"/>
      <c r="D4" s="291" t="s">
        <v>402</v>
      </c>
      <c r="E4" s="293" t="n">
        <f aca="false">+B4</f>
        <v>5.28</v>
      </c>
      <c r="F4" s="171"/>
      <c r="G4" s="294" t="s">
        <v>403</v>
      </c>
      <c r="H4" s="300" t="n">
        <v>5.245</v>
      </c>
      <c r="I4" s="283"/>
      <c r="J4" s="295" t="s">
        <v>404</v>
      </c>
      <c r="K4" s="296" t="n">
        <v>5.14</v>
      </c>
      <c r="L4" s="283"/>
      <c r="M4" s="291" t="s">
        <v>404</v>
      </c>
      <c r="N4" s="293" t="n">
        <f aca="false">+K4</f>
        <v>5.14</v>
      </c>
      <c r="O4" s="283"/>
      <c r="P4" s="291"/>
      <c r="Q4" s="297"/>
      <c r="R4" s="283"/>
      <c r="S4" s="291" t="s">
        <v>405</v>
      </c>
      <c r="T4" s="297" t="n">
        <f aca="false">+T3+T37</f>
        <v>5.3810353806028</v>
      </c>
      <c r="U4" s="283"/>
      <c r="V4" s="291"/>
      <c r="W4" s="297" t="n">
        <f aca="false">+W17+W3</f>
        <v>5.77220915000411</v>
      </c>
      <c r="X4" s="283"/>
      <c r="Y4" s="283"/>
      <c r="Z4" s="283"/>
      <c r="AB4" s="164" t="s">
        <v>406</v>
      </c>
      <c r="AE4" s="164" t="s">
        <v>407</v>
      </c>
      <c r="AL4" s="301"/>
    </row>
    <row r="5" customFormat="false" ht="12.75" hidden="false" customHeight="false" outlineLevel="0" collapsed="false">
      <c r="A5" s="291" t="s">
        <v>408</v>
      </c>
      <c r="B5" s="302" t="n">
        <v>5.17</v>
      </c>
      <c r="C5" s="176"/>
      <c r="D5" s="291" t="s">
        <v>408</v>
      </c>
      <c r="E5" s="293" t="n">
        <f aca="false">+B5</f>
        <v>5.17</v>
      </c>
      <c r="F5" s="176"/>
      <c r="G5" s="294" t="s">
        <v>236</v>
      </c>
      <c r="H5" s="302" t="n">
        <v>5.805</v>
      </c>
      <c r="I5" s="283"/>
      <c r="J5" s="295" t="s">
        <v>282</v>
      </c>
      <c r="K5" s="296" t="n">
        <v>4.93</v>
      </c>
      <c r="L5" s="283"/>
      <c r="M5" s="291" t="s">
        <v>282</v>
      </c>
      <c r="N5" s="293" t="n">
        <f aca="false">+K5</f>
        <v>4.93</v>
      </c>
      <c r="O5" s="283"/>
      <c r="P5" s="291"/>
      <c r="Q5" s="289"/>
      <c r="R5" s="283"/>
      <c r="S5" s="291" t="s">
        <v>409</v>
      </c>
      <c r="T5" s="289" t="n">
        <f aca="false">+T4+T27</f>
        <v>5.56106016251911</v>
      </c>
      <c r="U5" s="283"/>
      <c r="V5" s="291"/>
      <c r="W5" s="289"/>
      <c r="X5" s="283"/>
      <c r="Y5" s="283"/>
      <c r="Z5" s="303"/>
      <c r="AL5" s="301"/>
    </row>
    <row r="6" customFormat="false" ht="12.75" hidden="false" customHeight="false" outlineLevel="0" collapsed="false">
      <c r="A6" s="294" t="s">
        <v>410</v>
      </c>
      <c r="B6" s="302" t="n">
        <f aca="false">4.91+0.06</f>
        <v>4.97</v>
      </c>
      <c r="C6" s="176"/>
      <c r="D6" s="294" t="s">
        <v>410</v>
      </c>
      <c r="E6" s="293" t="n">
        <f aca="false">+B6</f>
        <v>4.97</v>
      </c>
      <c r="F6" s="176"/>
      <c r="G6" s="138"/>
      <c r="H6" s="138"/>
      <c r="I6" s="252"/>
      <c r="J6" s="304" t="s">
        <v>411</v>
      </c>
      <c r="K6" s="305" t="n">
        <v>5.2</v>
      </c>
      <c r="L6" s="252"/>
      <c r="M6" s="294" t="s">
        <v>411</v>
      </c>
      <c r="N6" s="293" t="n">
        <f aca="false">+K6</f>
        <v>5.2</v>
      </c>
      <c r="O6" s="252"/>
      <c r="P6" s="294"/>
      <c r="Q6" s="306"/>
      <c r="R6" s="252"/>
      <c r="S6" s="294" t="s">
        <v>412</v>
      </c>
      <c r="T6" s="306" t="n">
        <f aca="false">+T5-T3</f>
        <v>0.256060162519106</v>
      </c>
      <c r="U6" s="252"/>
      <c r="V6" s="294"/>
      <c r="W6" s="306"/>
      <c r="X6" s="252"/>
      <c r="Y6" s="252"/>
      <c r="Z6" s="306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  <c r="IU6" s="138"/>
      <c r="IV6" s="138"/>
      <c r="IW6" s="138"/>
    </row>
    <row r="7" customFormat="false" ht="12.75" hidden="false" customHeight="false" outlineLevel="0" collapsed="false">
      <c r="A7" s="307" t="s">
        <v>413</v>
      </c>
      <c r="B7" s="302" t="n">
        <v>5.955</v>
      </c>
      <c r="C7" s="176"/>
      <c r="D7" s="307" t="s">
        <v>413</v>
      </c>
      <c r="E7" s="293" t="n">
        <f aca="false">+B7</f>
        <v>5.955</v>
      </c>
      <c r="F7" s="176"/>
      <c r="G7" s="176"/>
      <c r="H7" s="176"/>
      <c r="I7" s="308"/>
      <c r="J7" s="309" t="s">
        <v>353</v>
      </c>
      <c r="K7" s="310" t="n">
        <v>5.92</v>
      </c>
      <c r="L7" s="308"/>
      <c r="M7" s="307" t="s">
        <v>353</v>
      </c>
      <c r="N7" s="293" t="n">
        <f aca="false">+K7</f>
        <v>5.92</v>
      </c>
      <c r="O7" s="308"/>
      <c r="P7" s="307"/>
      <c r="Q7" s="311"/>
      <c r="R7" s="308"/>
      <c r="S7" s="307"/>
      <c r="T7" s="311"/>
      <c r="U7" s="308"/>
      <c r="V7" s="307"/>
      <c r="W7" s="311"/>
      <c r="X7" s="308"/>
      <c r="Y7" s="308"/>
      <c r="Z7" s="31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  <c r="IW7" s="132"/>
    </row>
    <row r="8" customFormat="false" ht="12.75" hidden="false" customHeight="false" outlineLevel="0" collapsed="false">
      <c r="A8" s="312" t="s">
        <v>414</v>
      </c>
      <c r="B8" s="176"/>
      <c r="C8" s="176"/>
      <c r="D8" s="176" t="s">
        <v>415</v>
      </c>
      <c r="E8" s="176"/>
      <c r="F8" s="176"/>
      <c r="G8" s="313" t="s">
        <v>416</v>
      </c>
      <c r="H8" s="176"/>
      <c r="I8" s="312"/>
      <c r="J8" s="314" t="s">
        <v>417</v>
      </c>
      <c r="K8" s="315"/>
      <c r="L8" s="283"/>
      <c r="M8" s="314" t="s">
        <v>417</v>
      </c>
      <c r="N8" s="316"/>
      <c r="O8" s="283"/>
      <c r="P8" s="291"/>
      <c r="Q8" s="289"/>
      <c r="R8" s="283"/>
      <c r="S8" s="312" t="s">
        <v>418</v>
      </c>
      <c r="T8" s="289"/>
      <c r="U8" s="283"/>
      <c r="V8" s="291" t="s">
        <v>419</v>
      </c>
      <c r="W8" s="289"/>
      <c r="X8" s="283"/>
      <c r="Y8" s="291" t="s">
        <v>420</v>
      </c>
      <c r="Z8" s="283"/>
      <c r="AB8" s="28" t="s">
        <v>421</v>
      </c>
      <c r="AE8" s="28" t="s">
        <v>421</v>
      </c>
      <c r="AH8" s="28" t="s">
        <v>422</v>
      </c>
      <c r="AK8" s="28" t="s">
        <v>423</v>
      </c>
    </row>
    <row r="9" customFormat="false" ht="12.75" hidden="false" customHeight="false" outlineLevel="0" collapsed="false">
      <c r="A9" s="312" t="s">
        <v>424</v>
      </c>
      <c r="B9" s="176"/>
      <c r="C9" s="176"/>
      <c r="D9" s="176"/>
      <c r="E9" s="176"/>
      <c r="F9" s="176"/>
      <c r="G9" s="176" t="s">
        <v>425</v>
      </c>
      <c r="H9" s="176"/>
      <c r="I9" s="205"/>
      <c r="J9" s="116" t="s">
        <v>426</v>
      </c>
      <c r="K9" s="315"/>
      <c r="L9" s="283"/>
      <c r="M9" s="4" t="s">
        <v>427</v>
      </c>
      <c r="N9" s="316"/>
      <c r="O9" s="283"/>
      <c r="P9" s="312" t="s">
        <v>428</v>
      </c>
      <c r="Q9" s="306"/>
      <c r="R9" s="252"/>
      <c r="S9" s="294" t="s">
        <v>429</v>
      </c>
      <c r="T9" s="306"/>
      <c r="U9" s="252"/>
      <c r="V9" s="294" t="s">
        <v>430</v>
      </c>
      <c r="W9" s="306"/>
      <c r="X9" s="283"/>
      <c r="Y9" s="291" t="s">
        <v>340</v>
      </c>
      <c r="Z9" s="283"/>
      <c r="AE9" s="28" t="s">
        <v>431</v>
      </c>
      <c r="AH9" s="28" t="s">
        <v>432</v>
      </c>
      <c r="AK9" s="28" t="s">
        <v>433</v>
      </c>
    </row>
    <row r="10" customFormat="false" ht="12.75" hidden="false" customHeight="false" outlineLevel="0" collapsed="false">
      <c r="A10" s="312" t="s">
        <v>434</v>
      </c>
      <c r="B10" s="176"/>
      <c r="C10" s="176"/>
      <c r="D10" s="176" t="s">
        <v>434</v>
      </c>
      <c r="E10" s="176"/>
      <c r="F10" s="176"/>
      <c r="G10" s="176" t="s">
        <v>435</v>
      </c>
      <c r="H10" s="176"/>
      <c r="I10" s="205"/>
      <c r="J10" s="317" t="s">
        <v>436</v>
      </c>
      <c r="K10" s="315"/>
      <c r="L10" s="283"/>
      <c r="M10" s="312" t="s">
        <v>436</v>
      </c>
      <c r="N10" s="316"/>
      <c r="O10" s="283"/>
      <c r="P10" s="312" t="s">
        <v>437</v>
      </c>
      <c r="Q10" s="306"/>
      <c r="R10" s="252"/>
      <c r="S10" s="294" t="s">
        <v>438</v>
      </c>
      <c r="T10" s="306"/>
      <c r="U10" s="252"/>
      <c r="V10" s="294" t="s">
        <v>439</v>
      </c>
      <c r="W10" s="306"/>
      <c r="X10" s="283"/>
      <c r="Y10" s="291" t="s">
        <v>440</v>
      </c>
      <c r="Z10" s="291"/>
      <c r="AB10" s="28" t="s">
        <v>441</v>
      </c>
      <c r="AE10" s="28" t="s">
        <v>442</v>
      </c>
      <c r="AH10" s="28" t="s">
        <v>443</v>
      </c>
      <c r="AK10" s="28" t="s">
        <v>444</v>
      </c>
    </row>
    <row r="11" customFormat="false" ht="12.75" hidden="false" customHeight="false" outlineLevel="0" collapsed="false">
      <c r="A11" s="294"/>
      <c r="B11" s="4"/>
      <c r="C11" s="4"/>
      <c r="D11" s="4"/>
      <c r="E11" s="4"/>
      <c r="F11" s="4"/>
      <c r="G11" s="4" t="s">
        <v>445</v>
      </c>
      <c r="H11" s="176"/>
      <c r="I11" s="205"/>
      <c r="J11" s="312" t="s">
        <v>446</v>
      </c>
      <c r="K11" s="315"/>
      <c r="L11" s="283"/>
      <c r="M11" s="312" t="s">
        <v>446</v>
      </c>
      <c r="N11" s="316"/>
      <c r="O11" s="283"/>
      <c r="P11" s="312" t="s">
        <v>447</v>
      </c>
      <c r="Q11" s="306"/>
      <c r="R11" s="252"/>
      <c r="S11" s="318" t="s">
        <v>448</v>
      </c>
      <c r="T11" s="319"/>
      <c r="U11" s="252"/>
      <c r="V11" s="294" t="s">
        <v>449</v>
      </c>
      <c r="W11" s="306"/>
      <c r="X11" s="283"/>
      <c r="Y11" s="291"/>
      <c r="Z11" s="291"/>
      <c r="AB11" s="28" t="s">
        <v>450</v>
      </c>
      <c r="AE11" s="28" t="s">
        <v>451</v>
      </c>
      <c r="AK11" s="28" t="s">
        <v>452</v>
      </c>
    </row>
    <row r="12" customFormat="false" ht="12.75" hidden="false" customHeight="false" outlineLevel="0" collapsed="false">
      <c r="A12" s="314"/>
      <c r="B12" s="320"/>
      <c r="C12" s="283"/>
      <c r="D12" s="291"/>
      <c r="E12" s="321"/>
      <c r="F12" s="322"/>
      <c r="G12" s="323"/>
      <c r="H12" s="324"/>
      <c r="I12" s="283"/>
      <c r="J12" s="325" t="s">
        <v>453</v>
      </c>
      <c r="K12" s="326"/>
      <c r="L12" s="283"/>
      <c r="M12" s="291" t="s">
        <v>19</v>
      </c>
      <c r="N12" s="297"/>
      <c r="O12" s="283"/>
      <c r="P12" s="294" t="s">
        <v>454</v>
      </c>
      <c r="Q12" s="289"/>
      <c r="R12" s="283"/>
      <c r="S12" s="291"/>
      <c r="T12" s="289"/>
      <c r="U12" s="283"/>
      <c r="V12" s="318" t="s">
        <v>448</v>
      </c>
      <c r="W12" s="319"/>
      <c r="X12" s="283"/>
      <c r="Y12" s="291"/>
      <c r="Z12" s="291"/>
      <c r="AE12" s="28" t="s">
        <v>455</v>
      </c>
      <c r="AK12" s="327" t="n">
        <v>36526</v>
      </c>
      <c r="AN12" s="28" t="s">
        <v>456</v>
      </c>
      <c r="AO12" s="2" t="n">
        <v>2.025</v>
      </c>
    </row>
    <row r="13" customFormat="false" ht="12.75" hidden="false" customHeight="false" outlineLevel="0" collapsed="false">
      <c r="A13" s="328" t="s">
        <v>92</v>
      </c>
      <c r="B13" s="329" t="s">
        <v>457</v>
      </c>
      <c r="C13" s="330"/>
      <c r="D13" s="28" t="s">
        <v>92</v>
      </c>
      <c r="E13" s="28" t="s">
        <v>458</v>
      </c>
      <c r="F13" s="331"/>
      <c r="G13" s="328" t="s">
        <v>459</v>
      </c>
      <c r="H13" s="332" t="s">
        <v>460</v>
      </c>
      <c r="I13" s="322"/>
      <c r="J13" s="333" t="s">
        <v>461</v>
      </c>
      <c r="K13" s="329" t="s">
        <v>462</v>
      </c>
      <c r="L13" s="322"/>
      <c r="M13" s="334" t="s">
        <v>463</v>
      </c>
      <c r="N13" s="335" t="s">
        <v>462</v>
      </c>
      <c r="O13" s="322"/>
      <c r="P13" s="336" t="s">
        <v>355</v>
      </c>
      <c r="Q13" s="337" t="s">
        <v>464</v>
      </c>
      <c r="R13" s="330"/>
      <c r="S13" s="336" t="s">
        <v>465</v>
      </c>
      <c r="T13" s="337" t="s">
        <v>466</v>
      </c>
      <c r="U13" s="330"/>
      <c r="V13" s="336" t="s">
        <v>192</v>
      </c>
      <c r="W13" s="337" t="s">
        <v>467</v>
      </c>
      <c r="X13" s="330"/>
      <c r="Y13" s="336" t="s">
        <v>58</v>
      </c>
      <c r="Z13" s="337" t="s">
        <v>468</v>
      </c>
      <c r="AB13" s="336" t="s">
        <v>469</v>
      </c>
      <c r="AC13" s="337" t="s">
        <v>372</v>
      </c>
      <c r="AE13" s="28" t="s">
        <v>470</v>
      </c>
      <c r="AF13" s="28" t="s">
        <v>471</v>
      </c>
      <c r="AH13" s="336" t="s">
        <v>394</v>
      </c>
      <c r="AI13" s="337" t="s">
        <v>472</v>
      </c>
      <c r="AK13" s="336" t="s">
        <v>473</v>
      </c>
      <c r="AL13" s="337" t="s">
        <v>474</v>
      </c>
      <c r="AN13" s="164" t="s">
        <v>475</v>
      </c>
      <c r="AO13" s="2"/>
    </row>
    <row r="14" customFormat="false" ht="12.75" hidden="false" customHeight="false" outlineLevel="0" collapsed="false">
      <c r="A14" s="338" t="s">
        <v>476</v>
      </c>
      <c r="B14" s="339" t="n">
        <v>0.0029</v>
      </c>
      <c r="C14" s="331"/>
      <c r="D14" s="340" t="s">
        <v>477</v>
      </c>
      <c r="E14" s="341" t="n">
        <v>0.0642</v>
      </c>
      <c r="F14" s="331"/>
      <c r="G14" s="338" t="s">
        <v>476</v>
      </c>
      <c r="H14" s="339" t="n">
        <v>0.0439</v>
      </c>
      <c r="I14" s="331"/>
      <c r="J14" s="342" t="s">
        <v>476</v>
      </c>
      <c r="K14" s="339" t="n">
        <v>0.0088</v>
      </c>
      <c r="L14" s="331"/>
      <c r="M14" s="343" t="s">
        <v>476</v>
      </c>
      <c r="N14" s="344" t="n">
        <v>0.1895</v>
      </c>
      <c r="O14" s="331"/>
      <c r="P14" s="340" t="s">
        <v>476</v>
      </c>
      <c r="Q14" s="344" t="n">
        <v>0.006</v>
      </c>
      <c r="R14" s="331"/>
      <c r="S14" s="340" t="s">
        <v>476</v>
      </c>
      <c r="T14" s="345" t="n">
        <v>0.0002</v>
      </c>
      <c r="U14" s="331"/>
      <c r="V14" s="340" t="s">
        <v>476</v>
      </c>
      <c r="W14" s="345" t="n">
        <v>0.0134</v>
      </c>
      <c r="X14" s="331"/>
      <c r="Y14" s="340" t="s">
        <v>476</v>
      </c>
      <c r="Z14" s="345" t="n">
        <v>0.0951</v>
      </c>
      <c r="AB14" s="340" t="s">
        <v>476</v>
      </c>
      <c r="AC14" s="344" t="n">
        <v>0.0112</v>
      </c>
      <c r="AE14" s="340" t="s">
        <v>476</v>
      </c>
      <c r="AF14" s="344" t="n">
        <f aca="false">0.004</f>
        <v>0.004</v>
      </c>
      <c r="AH14" s="340" t="s">
        <v>476</v>
      </c>
      <c r="AI14" s="344" t="n">
        <v>0.003</v>
      </c>
      <c r="AK14" s="340" t="s">
        <v>476</v>
      </c>
      <c r="AL14" s="344" t="n">
        <f aca="false">+AL20+AL26+AL32</f>
        <v>0.0013</v>
      </c>
      <c r="AN14" s="28" t="s">
        <v>477</v>
      </c>
      <c r="AO14" s="2" t="n">
        <v>0.01</v>
      </c>
    </row>
    <row r="15" customFormat="false" ht="12.75" hidden="false" customHeight="false" outlineLevel="0" collapsed="false">
      <c r="A15" s="338" t="s">
        <v>120</v>
      </c>
      <c r="B15" s="339" t="n">
        <f aca="false">0.0022+0.007+0.0097</f>
        <v>0.0189</v>
      </c>
      <c r="C15" s="331"/>
      <c r="D15" s="340" t="s">
        <v>120</v>
      </c>
      <c r="E15" s="341" t="n">
        <f aca="false">0.007+0.0022+0.0097</f>
        <v>0.0189</v>
      </c>
      <c r="F15" s="346"/>
      <c r="G15" s="338" t="s">
        <v>120</v>
      </c>
      <c r="H15" s="339" t="n">
        <f aca="false">0.0022+0.007+0.0225</f>
        <v>0.0317</v>
      </c>
      <c r="I15" s="331"/>
      <c r="J15" s="342" t="s">
        <v>120</v>
      </c>
      <c r="K15" s="339" t="n">
        <f aca="false">0.0022+0.007</f>
        <v>0.0092</v>
      </c>
      <c r="L15" s="331"/>
      <c r="M15" s="343" t="s">
        <v>120</v>
      </c>
      <c r="N15" s="344" t="n">
        <f aca="false">0.0022+0.007</f>
        <v>0.0092</v>
      </c>
      <c r="O15" s="331"/>
      <c r="P15" s="340" t="s">
        <v>120</v>
      </c>
      <c r="Q15" s="344" t="n">
        <f aca="false">0.0022+0.007</f>
        <v>0.0092</v>
      </c>
      <c r="R15" s="331"/>
      <c r="S15" s="340" t="s">
        <v>120</v>
      </c>
      <c r="T15" s="345" t="n">
        <v>0.0022</v>
      </c>
      <c r="U15" s="331"/>
      <c r="V15" s="340" t="s">
        <v>120</v>
      </c>
      <c r="W15" s="345" t="n">
        <f aca="false">0.0022+0.007</f>
        <v>0.0092</v>
      </c>
      <c r="X15" s="331"/>
      <c r="Y15" s="340" t="s">
        <v>120</v>
      </c>
      <c r="Z15" s="344" t="n">
        <v>0.0022</v>
      </c>
      <c r="AB15" s="340" t="s">
        <v>120</v>
      </c>
      <c r="AC15" s="344" t="n">
        <f aca="false">0.0022+0.007</f>
        <v>0.0092</v>
      </c>
      <c r="AE15" s="340" t="s">
        <v>120</v>
      </c>
      <c r="AF15" s="344" t="n">
        <f aca="false">0.0022+0.007</f>
        <v>0.0092</v>
      </c>
      <c r="AH15" s="340" t="s">
        <v>120</v>
      </c>
      <c r="AI15" s="344" t="n">
        <f aca="false">0.0022+0.0007-0.0002</f>
        <v>0.0027</v>
      </c>
      <c r="AK15" s="340" t="s">
        <v>120</v>
      </c>
      <c r="AL15" s="344" t="n">
        <f aca="false">0.0022</f>
        <v>0.0022</v>
      </c>
      <c r="AN15" s="28" t="s">
        <v>478</v>
      </c>
      <c r="AO15" s="2" t="n">
        <v>0.0022</v>
      </c>
    </row>
    <row r="16" customFormat="false" ht="12.75" hidden="false" customHeight="false" outlineLevel="0" collapsed="false">
      <c r="A16" s="347" t="n">
        <v>0.0035</v>
      </c>
      <c r="B16" s="348" t="n">
        <f aca="false">B6/(1-A16)-B6</f>
        <v>0.0174560963371802</v>
      </c>
      <c r="C16" s="346"/>
      <c r="D16" s="349" t="n">
        <v>0.0035</v>
      </c>
      <c r="E16" s="350" t="n">
        <f aca="false">(E6)/(1-D16)-E6</f>
        <v>0.0174560963371802</v>
      </c>
      <c r="F16" s="351"/>
      <c r="G16" s="347" t="n">
        <v>0.0084</v>
      </c>
      <c r="H16" s="352" t="n">
        <f aca="false">(H$3)/(1-G16)-H$3</f>
        <v>0.0442194433239207</v>
      </c>
      <c r="I16" s="346"/>
      <c r="J16" s="349" t="n">
        <v>0.0294</v>
      </c>
      <c r="K16" s="348" t="n">
        <f aca="false">(K$5)/(1-J16)-K$5</f>
        <v>0.149332371728828</v>
      </c>
      <c r="L16" s="346"/>
      <c r="M16" s="349" t="n">
        <v>0.0294</v>
      </c>
      <c r="N16" s="350" t="n">
        <f aca="false">(N$5)/(1-M16)-N$5</f>
        <v>0.149332371728828</v>
      </c>
      <c r="O16" s="346"/>
      <c r="P16" s="340" t="s">
        <v>479</v>
      </c>
      <c r="Q16" s="350" t="n">
        <f aca="false">+Q$3/(1-0.015)-Q$3</f>
        <v>0.0801776649746193</v>
      </c>
      <c r="R16" s="346"/>
      <c r="S16" s="340" t="s">
        <v>480</v>
      </c>
      <c r="T16" s="350" t="n">
        <f aca="false">(+T3-0.108)/(1-0.00552)-(T3-0.108)</f>
        <v>0.0288466736384843</v>
      </c>
      <c r="U16" s="346"/>
      <c r="V16" s="349" t="n">
        <v>0.02776</v>
      </c>
      <c r="W16" s="350" t="n">
        <f aca="false">+W$3/(1-V16)-W$3</f>
        <v>0.159609150004115</v>
      </c>
      <c r="X16" s="346"/>
      <c r="Y16" s="349" t="n">
        <v>0.0228</v>
      </c>
      <c r="Z16" s="350" t="n">
        <f aca="false">+Z$3/(1-Y16)-Z$3</f>
        <v>0.135558739255014</v>
      </c>
      <c r="AB16" s="349" t="n">
        <v>0.0058</v>
      </c>
      <c r="AC16" s="350" t="n">
        <f aca="false">+AC3/(1-AB16)-AC3</f>
        <v>0.0345363106014887</v>
      </c>
      <c r="AE16" s="349" t="n">
        <v>0.0019</v>
      </c>
      <c r="AF16" s="350" t="n">
        <f aca="false">+AF$3/(1-AE16)-AF$3</f>
        <v>0.0101082055906225</v>
      </c>
      <c r="AH16" s="349" t="n">
        <v>0.005</v>
      </c>
      <c r="AI16" s="350" t="n">
        <f aca="false">+AI3/(1-AH16)-AI3</f>
        <v>0.0291457286432157</v>
      </c>
      <c r="AK16" s="340" t="s">
        <v>481</v>
      </c>
      <c r="AL16" s="350" t="n">
        <f aca="false">+AL3/(1-0.02)-AL3</f>
        <v>0.118469387755102</v>
      </c>
      <c r="AN16" s="28" t="s">
        <v>482</v>
      </c>
      <c r="AO16" s="2" t="n">
        <v>0</v>
      </c>
    </row>
    <row r="17" customFormat="false" ht="12.75" hidden="false" customHeight="false" outlineLevel="0" collapsed="false">
      <c r="A17" s="353"/>
      <c r="B17" s="354" t="n">
        <f aca="false">SUM(B14:B16)</f>
        <v>0.0392560963371802</v>
      </c>
      <c r="C17" s="351"/>
      <c r="D17" s="340"/>
      <c r="E17" s="355" t="n">
        <f aca="false">SUM(E14:E16)</f>
        <v>0.10055609633718</v>
      </c>
      <c r="F17" s="322"/>
      <c r="G17" s="353"/>
      <c r="H17" s="354" t="n">
        <f aca="false">SUM(H14:H16)</f>
        <v>0.119819443323921</v>
      </c>
      <c r="I17" s="351"/>
      <c r="J17" s="342"/>
      <c r="K17" s="354" t="n">
        <f aca="false">SUM(K14:K16)</f>
        <v>0.167332371728828</v>
      </c>
      <c r="L17" s="351"/>
      <c r="M17" s="349"/>
      <c r="N17" s="350" t="n">
        <f aca="false">SUM(N14:N16)</f>
        <v>0.348032371728828</v>
      </c>
      <c r="O17" s="351"/>
      <c r="P17" s="356"/>
      <c r="Q17" s="355" t="n">
        <f aca="false">SUM(Q14:Q16)</f>
        <v>0.0953776649746193</v>
      </c>
      <c r="R17" s="351"/>
      <c r="S17" s="356"/>
      <c r="T17" s="355" t="n">
        <f aca="false">SUM(T14:T16)</f>
        <v>0.0312466736384843</v>
      </c>
      <c r="U17" s="351"/>
      <c r="V17" s="356"/>
      <c r="W17" s="355" t="n">
        <f aca="false">SUM(W14:W16)</f>
        <v>0.182209150004115</v>
      </c>
      <c r="X17" s="351" t="n">
        <v>0</v>
      </c>
      <c r="Y17" s="356"/>
      <c r="Z17" s="355" t="n">
        <f aca="false">SUM(Z14:Z16)</f>
        <v>0.232858739255014</v>
      </c>
      <c r="AB17" s="356"/>
      <c r="AC17" s="355" t="n">
        <f aca="false">SUM(AC14:AC16)</f>
        <v>0.0549363106014887</v>
      </c>
      <c r="AE17" s="356"/>
      <c r="AF17" s="355" t="n">
        <f aca="false">SUM(AF14:AF16)</f>
        <v>0.0233082055906225</v>
      </c>
      <c r="AH17" s="356"/>
      <c r="AI17" s="355" t="n">
        <f aca="false">SUM(AI14:AI16)</f>
        <v>0.0348457286432157</v>
      </c>
      <c r="AK17" s="356"/>
      <c r="AL17" s="355" t="n">
        <f aca="false">SUM(AL14:AL16)</f>
        <v>0.121969387755102</v>
      </c>
      <c r="AN17" s="28" t="s">
        <v>483</v>
      </c>
      <c r="AO17" s="28" t="n">
        <v>0.016</v>
      </c>
    </row>
    <row r="18" customFormat="false" ht="12.75" hidden="false" customHeight="false" outlineLevel="0" collapsed="false">
      <c r="A18" s="357" t="s">
        <v>92</v>
      </c>
      <c r="B18" s="329" t="s">
        <v>484</v>
      </c>
      <c r="C18" s="330"/>
      <c r="D18" s="28" t="s">
        <v>92</v>
      </c>
      <c r="E18" s="28" t="s">
        <v>485</v>
      </c>
      <c r="F18" s="331"/>
      <c r="G18" s="357" t="s">
        <v>459</v>
      </c>
      <c r="H18" s="358" t="s">
        <v>486</v>
      </c>
      <c r="I18" s="322"/>
      <c r="J18" s="333" t="s">
        <v>461</v>
      </c>
      <c r="K18" s="329" t="s">
        <v>487</v>
      </c>
      <c r="L18" s="322"/>
      <c r="M18" s="334" t="s">
        <v>463</v>
      </c>
      <c r="N18" s="335" t="s">
        <v>487</v>
      </c>
      <c r="O18" s="322"/>
      <c r="P18" s="359" t="s">
        <v>355</v>
      </c>
      <c r="Q18" s="360" t="s">
        <v>488</v>
      </c>
      <c r="R18" s="330"/>
      <c r="S18" s="359" t="s">
        <v>465</v>
      </c>
      <c r="T18" s="360" t="s">
        <v>489</v>
      </c>
      <c r="U18" s="330"/>
      <c r="V18" s="359" t="s">
        <v>192</v>
      </c>
      <c r="W18" s="360" t="s">
        <v>490</v>
      </c>
      <c r="X18" s="330"/>
      <c r="Y18" s="336" t="s">
        <v>58</v>
      </c>
      <c r="Z18" s="337" t="s">
        <v>491</v>
      </c>
      <c r="AN18" s="28" t="s">
        <v>492</v>
      </c>
      <c r="AO18" s="2" t="n">
        <f aca="false">+AO12/(1-AO17)-AO12</f>
        <v>0.0329268292682925</v>
      </c>
    </row>
    <row r="19" customFormat="false" ht="12.75" hidden="false" customHeight="false" outlineLevel="0" collapsed="false">
      <c r="A19" s="338" t="s">
        <v>476</v>
      </c>
      <c r="B19" s="339" t="n">
        <v>0.006</v>
      </c>
      <c r="C19" s="331"/>
      <c r="D19" s="340" t="s">
        <v>476</v>
      </c>
      <c r="E19" s="341" t="n">
        <v>0.0881</v>
      </c>
      <c r="F19" s="331"/>
      <c r="G19" s="338" t="s">
        <v>476</v>
      </c>
      <c r="H19" s="339" t="n">
        <v>0.0669</v>
      </c>
      <c r="I19" s="331"/>
      <c r="J19" s="342" t="s">
        <v>476</v>
      </c>
      <c r="K19" s="339" t="n">
        <v>0.0096</v>
      </c>
      <c r="L19" s="331"/>
      <c r="M19" s="343" t="s">
        <v>476</v>
      </c>
      <c r="N19" s="344" t="n">
        <v>0.1953</v>
      </c>
      <c r="O19" s="331"/>
      <c r="P19" s="340" t="s">
        <v>476</v>
      </c>
      <c r="Q19" s="344" t="n">
        <v>0.008</v>
      </c>
      <c r="R19" s="331"/>
      <c r="S19" s="340" t="s">
        <v>476</v>
      </c>
      <c r="T19" s="345" t="n">
        <v>0.0017</v>
      </c>
      <c r="U19" s="331"/>
      <c r="V19" s="340" t="s">
        <v>476</v>
      </c>
      <c r="W19" s="345" t="n">
        <v>0.1441</v>
      </c>
      <c r="X19" s="331"/>
      <c r="Y19" s="340" t="s">
        <v>476</v>
      </c>
      <c r="Z19" s="345" t="n">
        <v>0.1943</v>
      </c>
      <c r="AB19" s="336" t="s">
        <v>469</v>
      </c>
      <c r="AC19" s="337" t="s">
        <v>493</v>
      </c>
      <c r="AE19" s="28" t="s">
        <v>470</v>
      </c>
      <c r="AF19" s="28" t="s">
        <v>494</v>
      </c>
      <c r="AH19" s="336" t="s">
        <v>394</v>
      </c>
      <c r="AI19" s="337" t="s">
        <v>495</v>
      </c>
      <c r="AK19" s="336" t="s">
        <v>473</v>
      </c>
      <c r="AL19" s="337" t="s">
        <v>496</v>
      </c>
      <c r="AN19" s="28" t="s">
        <v>497</v>
      </c>
      <c r="AO19" s="361" t="n">
        <f aca="false">+AO18+AO16+AO15+AO14</f>
        <v>0.0451268292682925</v>
      </c>
    </row>
    <row r="20" customFormat="false" ht="13.5" hidden="false" customHeight="false" outlineLevel="0" collapsed="false">
      <c r="A20" s="338" t="s">
        <v>120</v>
      </c>
      <c r="B20" s="339" t="n">
        <f aca="false">0.0022+0.007+0.0097</f>
        <v>0.0189</v>
      </c>
      <c r="C20" s="331"/>
      <c r="D20" s="340" t="s">
        <v>120</v>
      </c>
      <c r="E20" s="341" t="n">
        <f aca="false">0.007+0.0022+0.0097</f>
        <v>0.0189</v>
      </c>
      <c r="F20" s="346"/>
      <c r="G20" s="338" t="s">
        <v>120</v>
      </c>
      <c r="H20" s="339" t="n">
        <f aca="false">0.0022+0.007+0.0225</f>
        <v>0.0317</v>
      </c>
      <c r="I20" s="331"/>
      <c r="J20" s="342" t="s">
        <v>120</v>
      </c>
      <c r="K20" s="339" t="n">
        <f aca="false">0.0022</f>
        <v>0.0022</v>
      </c>
      <c r="L20" s="331"/>
      <c r="M20" s="343" t="s">
        <v>120</v>
      </c>
      <c r="N20" s="344" t="n">
        <f aca="false">0.0022+0.007</f>
        <v>0.0092</v>
      </c>
      <c r="O20" s="331"/>
      <c r="P20" s="340" t="s">
        <v>120</v>
      </c>
      <c r="Q20" s="344" t="n">
        <f aca="false">0.0022+0.007</f>
        <v>0.0092</v>
      </c>
      <c r="R20" s="331"/>
      <c r="S20" s="340" t="s">
        <v>120</v>
      </c>
      <c r="T20" s="345" t="n">
        <v>0.0022</v>
      </c>
      <c r="U20" s="331"/>
      <c r="V20" s="340" t="s">
        <v>120</v>
      </c>
      <c r="W20" s="345" t="n">
        <f aca="false">0.0022+0.007</f>
        <v>0.0092</v>
      </c>
      <c r="X20" s="331"/>
      <c r="Y20" s="340" t="s">
        <v>120</v>
      </c>
      <c r="Z20" s="344" t="n">
        <v>0.0022</v>
      </c>
      <c r="AB20" s="340" t="s">
        <v>476</v>
      </c>
      <c r="AC20" s="344" t="n">
        <v>0</v>
      </c>
      <c r="AE20" s="340" t="s">
        <v>476</v>
      </c>
      <c r="AF20" s="344" t="n">
        <f aca="false">0.022</f>
        <v>0.022</v>
      </c>
      <c r="AH20" s="340" t="s">
        <v>476</v>
      </c>
      <c r="AI20" s="344" t="n">
        <v>0.0054</v>
      </c>
      <c r="AK20" s="340" t="s">
        <v>476</v>
      </c>
      <c r="AL20" s="344" t="n">
        <f aca="false">0.0001</f>
        <v>0.0001</v>
      </c>
      <c r="AN20" s="28" t="s">
        <v>498</v>
      </c>
      <c r="AO20" s="362"/>
      <c r="AQ20" s="28" t="s">
        <v>499</v>
      </c>
    </row>
    <row r="21" customFormat="false" ht="13.5" hidden="false" customHeight="false" outlineLevel="0" collapsed="false">
      <c r="A21" s="347" t="n">
        <v>0.0077</v>
      </c>
      <c r="B21" s="348" t="n">
        <f aca="false">B6/(1-A21)-B6</f>
        <v>0.038565957875643</v>
      </c>
      <c r="C21" s="346"/>
      <c r="D21" s="349" t="n">
        <v>0.0077</v>
      </c>
      <c r="E21" s="350" t="n">
        <f aca="false">(E$6)/(1-D21)-E$6</f>
        <v>0.038565957875643</v>
      </c>
      <c r="F21" s="351"/>
      <c r="G21" s="347" t="n">
        <v>0.0244</v>
      </c>
      <c r="H21" s="352" t="n">
        <f aca="false">(H$3)/(1-G21)-H$3</f>
        <v>0.130553505535056</v>
      </c>
      <c r="I21" s="346"/>
      <c r="J21" s="349" t="n">
        <v>0.0307</v>
      </c>
      <c r="K21" s="348" t="n">
        <f aca="false">(K$5)/(1-J21)-K$5</f>
        <v>0.156144640462189</v>
      </c>
      <c r="L21" s="346"/>
      <c r="M21" s="349" t="n">
        <v>0.0307</v>
      </c>
      <c r="N21" s="350" t="n">
        <f aca="false">(N$5)/(1-M21)-N$5</f>
        <v>0.156144640462189</v>
      </c>
      <c r="O21" s="346"/>
      <c r="P21" s="340" t="s">
        <v>479</v>
      </c>
      <c r="Q21" s="350" t="n">
        <f aca="false">+Q$3/(1-0.015)-Q$3</f>
        <v>0.0801776649746193</v>
      </c>
      <c r="R21" s="346"/>
      <c r="S21" s="340" t="s">
        <v>500</v>
      </c>
      <c r="T21" s="350" t="n">
        <f aca="false">+T3/(1-0.00697)-T3</f>
        <v>0.0372353806028016</v>
      </c>
      <c r="U21" s="346"/>
      <c r="V21" s="349" t="n">
        <v>0.02776</v>
      </c>
      <c r="W21" s="350" t="n">
        <f aca="false">+W$3/(1-V21)-W$3</f>
        <v>0.159609150004115</v>
      </c>
      <c r="X21" s="346"/>
      <c r="Y21" s="349" t="n">
        <v>0.0228</v>
      </c>
      <c r="Z21" s="350" t="n">
        <f aca="false">+Z$3/(1-Y21)-Z$3</f>
        <v>0.135558739255014</v>
      </c>
      <c r="AB21" s="340" t="s">
        <v>120</v>
      </c>
      <c r="AC21" s="344" t="n">
        <f aca="false">0.0022+0.007</f>
        <v>0.0092</v>
      </c>
      <c r="AE21" s="340" t="s">
        <v>120</v>
      </c>
      <c r="AF21" s="344" t="n">
        <f aca="false">0.007+0.0022</f>
        <v>0.0092</v>
      </c>
      <c r="AH21" s="340" t="s">
        <v>120</v>
      </c>
      <c r="AI21" s="344" t="n">
        <f aca="false">0.0022+0.007+0.0012-0.0004</f>
        <v>0.01</v>
      </c>
      <c r="AK21" s="340" t="s">
        <v>120</v>
      </c>
      <c r="AL21" s="344" t="n">
        <f aca="false">0.007+0.0022</f>
        <v>0.0092</v>
      </c>
    </row>
    <row r="22" customFormat="false" ht="12.75" hidden="false" customHeight="false" outlineLevel="0" collapsed="false">
      <c r="A22" s="353" t="s">
        <v>9</v>
      </c>
      <c r="B22" s="354" t="n">
        <f aca="false">SUM(B19:B21)</f>
        <v>0.063465957875643</v>
      </c>
      <c r="C22" s="351"/>
      <c r="D22" s="340"/>
      <c r="E22" s="355" t="n">
        <f aca="false">SUM(E19:E21)</f>
        <v>0.145565957875643</v>
      </c>
      <c r="F22" s="351"/>
      <c r="G22" s="353"/>
      <c r="H22" s="354" t="n">
        <f aca="false">SUM(H19:H21)</f>
        <v>0.229153505535056</v>
      </c>
      <c r="I22" s="351"/>
      <c r="J22" s="342"/>
      <c r="K22" s="354" t="n">
        <f aca="false">SUM(K19:K21)</f>
        <v>0.167944640462189</v>
      </c>
      <c r="L22" s="351"/>
      <c r="M22" s="343"/>
      <c r="N22" s="355" t="n">
        <f aca="false">SUM(N19:N21)</f>
        <v>0.360644640462189</v>
      </c>
      <c r="O22" s="351"/>
      <c r="P22" s="356"/>
      <c r="Q22" s="355" t="n">
        <f aca="false">SUM(Q19:Q21)</f>
        <v>0.0973776649746193</v>
      </c>
      <c r="R22" s="351"/>
      <c r="S22" s="356"/>
      <c r="T22" s="355" t="n">
        <f aca="false">SUM(T19:T21)</f>
        <v>0.0411353806028016</v>
      </c>
      <c r="U22" s="351"/>
      <c r="V22" s="356"/>
      <c r="W22" s="355" t="n">
        <f aca="false">SUM(W19:W21)</f>
        <v>0.312909150004115</v>
      </c>
      <c r="X22" s="351"/>
      <c r="Y22" s="356"/>
      <c r="Z22" s="355" t="n">
        <f aca="false">SUM(Z19:Z21)</f>
        <v>0.332058739255014</v>
      </c>
      <c r="AB22" s="349" t="n">
        <v>0.0058</v>
      </c>
      <c r="AC22" s="350" t="n">
        <f aca="false">+AC$3/(1-AB22)-AC3</f>
        <v>0.0345363106014887</v>
      </c>
      <c r="AE22" s="349" t="n">
        <v>0.0296</v>
      </c>
      <c r="AF22" s="350" t="n">
        <f aca="false">+AF$3/(1-AE22)-AF$3</f>
        <v>0.1619703215169</v>
      </c>
      <c r="AH22" s="349" t="n">
        <v>0.01</v>
      </c>
      <c r="AI22" s="350" t="n">
        <f aca="false">+AI3/(1-AH22)-AI3</f>
        <v>0.0585858585858583</v>
      </c>
      <c r="AK22" s="340" t="s">
        <v>481</v>
      </c>
      <c r="AL22" s="350" t="n">
        <f aca="false">+AL3/(1-0.02)-AL3</f>
        <v>0.118469387755102</v>
      </c>
    </row>
    <row r="23" customFormat="false" ht="12.75" hidden="false" customHeight="false" outlineLevel="0" collapsed="false">
      <c r="A23" s="357" t="s">
        <v>92</v>
      </c>
      <c r="B23" s="329" t="s">
        <v>501</v>
      </c>
      <c r="C23" s="330"/>
      <c r="D23" s="334" t="s">
        <v>92</v>
      </c>
      <c r="E23" s="355" t="s">
        <v>502</v>
      </c>
      <c r="F23" s="363"/>
      <c r="G23" s="357" t="s">
        <v>459</v>
      </c>
      <c r="H23" s="358" t="s">
        <v>503</v>
      </c>
      <c r="I23" s="351"/>
      <c r="J23" s="364" t="s">
        <v>461</v>
      </c>
      <c r="K23" s="365" t="s">
        <v>504</v>
      </c>
      <c r="L23" s="351"/>
      <c r="M23" s="334" t="s">
        <v>463</v>
      </c>
      <c r="N23" s="335" t="s">
        <v>504</v>
      </c>
      <c r="O23" s="351"/>
      <c r="P23" s="359" t="s">
        <v>355</v>
      </c>
      <c r="Q23" s="360" t="s">
        <v>505</v>
      </c>
      <c r="R23" s="330"/>
      <c r="S23" s="359" t="s">
        <v>465</v>
      </c>
      <c r="T23" s="360" t="s">
        <v>506</v>
      </c>
      <c r="U23" s="330"/>
      <c r="V23" s="359" t="s">
        <v>192</v>
      </c>
      <c r="W23" s="360" t="s">
        <v>507</v>
      </c>
      <c r="X23" s="330"/>
      <c r="Y23" s="330"/>
      <c r="Z23" s="330"/>
      <c r="AB23" s="356"/>
      <c r="AC23" s="355" t="n">
        <f aca="false">SUM(AC20:AC22)</f>
        <v>0.0437363106014887</v>
      </c>
      <c r="AE23" s="356"/>
      <c r="AF23" s="355" t="n">
        <f aca="false">SUM(AF20:AF22)</f>
        <v>0.1931703215169</v>
      </c>
      <c r="AH23" s="356"/>
      <c r="AI23" s="355" t="n">
        <f aca="false">SUM(AI20:AI22)</f>
        <v>0.0739858585858583</v>
      </c>
      <c r="AK23" s="356"/>
      <c r="AL23" s="355" t="n">
        <f aca="false">SUM(AL20:AL22)</f>
        <v>0.127769387755102</v>
      </c>
    </row>
    <row r="24" customFormat="false" ht="12.75" hidden="false" customHeight="false" outlineLevel="0" collapsed="false">
      <c r="A24" s="338" t="s">
        <v>476</v>
      </c>
      <c r="B24" s="339" t="n">
        <v>0.0091</v>
      </c>
      <c r="C24" s="331"/>
      <c r="D24" s="340" t="s">
        <v>476</v>
      </c>
      <c r="E24" s="341" t="n">
        <v>0.1214</v>
      </c>
      <c r="F24" s="363"/>
      <c r="G24" s="338" t="s">
        <v>476</v>
      </c>
      <c r="H24" s="339" t="n">
        <v>0.088</v>
      </c>
      <c r="I24" s="363"/>
      <c r="J24" s="342" t="s">
        <v>476</v>
      </c>
      <c r="K24" s="339" t="n">
        <v>0.014</v>
      </c>
      <c r="L24" s="363"/>
      <c r="M24" s="343" t="s">
        <v>476</v>
      </c>
      <c r="N24" s="344" t="n">
        <v>0.2297</v>
      </c>
      <c r="O24" s="363"/>
      <c r="P24" s="340" t="s">
        <v>476</v>
      </c>
      <c r="Q24" s="344" t="n">
        <v>0.013</v>
      </c>
      <c r="R24" s="331"/>
      <c r="S24" s="340" t="s">
        <v>476</v>
      </c>
      <c r="T24" s="345" t="n">
        <v>0.017</v>
      </c>
      <c r="U24" s="331"/>
      <c r="V24" s="340" t="s">
        <v>476</v>
      </c>
      <c r="W24" s="345" t="n">
        <v>0.2099</v>
      </c>
      <c r="X24" s="331"/>
      <c r="Y24" s="336" t="s">
        <v>58</v>
      </c>
      <c r="Z24" s="337" t="s">
        <v>508</v>
      </c>
    </row>
    <row r="25" customFormat="false" ht="12.75" hidden="false" customHeight="false" outlineLevel="0" collapsed="false">
      <c r="A25" s="338" t="s">
        <v>120</v>
      </c>
      <c r="B25" s="339" t="n">
        <f aca="false">0.0022+0.007+0.0097</f>
        <v>0.0189</v>
      </c>
      <c r="C25" s="331"/>
      <c r="D25" s="340" t="s">
        <v>120</v>
      </c>
      <c r="E25" s="341" t="n">
        <f aca="false">0.007+0.0022+0.0097</f>
        <v>0.0189</v>
      </c>
      <c r="F25" s="346"/>
      <c r="G25" s="338" t="s">
        <v>120</v>
      </c>
      <c r="H25" s="339" t="n">
        <f aca="false">0.0022+0.007</f>
        <v>0.0092</v>
      </c>
      <c r="I25" s="363"/>
      <c r="J25" s="342" t="s">
        <v>120</v>
      </c>
      <c r="K25" s="339" t="n">
        <f aca="false">0.0022+0.007</f>
        <v>0.0092</v>
      </c>
      <c r="L25" s="363"/>
      <c r="M25" s="343" t="s">
        <v>120</v>
      </c>
      <c r="N25" s="344" t="n">
        <f aca="false">0.0022+0.007</f>
        <v>0.0092</v>
      </c>
      <c r="O25" s="363"/>
      <c r="P25" s="340" t="s">
        <v>120</v>
      </c>
      <c r="Q25" s="344" t="n">
        <f aca="false">0.0022+0.007</f>
        <v>0.0092</v>
      </c>
      <c r="R25" s="331"/>
      <c r="S25" s="340" t="s">
        <v>120</v>
      </c>
      <c r="T25" s="345" t="n">
        <v>0.0022</v>
      </c>
      <c r="U25" s="331"/>
      <c r="V25" s="340" t="s">
        <v>120</v>
      </c>
      <c r="W25" s="345" t="n">
        <f aca="false">0.0022+0.007</f>
        <v>0.0092</v>
      </c>
      <c r="X25" s="331"/>
      <c r="Y25" s="340" t="s">
        <v>476</v>
      </c>
      <c r="Z25" s="344" t="n">
        <f aca="false">0.2644-0.0022</f>
        <v>0.2622</v>
      </c>
      <c r="AB25" s="28" t="s">
        <v>421</v>
      </c>
      <c r="AE25" s="28" t="s">
        <v>470</v>
      </c>
      <c r="AF25" s="28" t="s">
        <v>509</v>
      </c>
      <c r="AH25" s="336" t="s">
        <v>394</v>
      </c>
      <c r="AI25" s="337" t="s">
        <v>510</v>
      </c>
      <c r="AK25" s="336" t="s">
        <v>473</v>
      </c>
      <c r="AL25" s="337" t="s">
        <v>511</v>
      </c>
    </row>
    <row r="26" customFormat="false" ht="12.75" hidden="false" customHeight="false" outlineLevel="0" collapsed="false">
      <c r="A26" s="347" t="n">
        <v>0.0121</v>
      </c>
      <c r="B26" s="348" t="n">
        <f aca="false">B6/(1-A26)-B6</f>
        <v>0.060873570199413</v>
      </c>
      <c r="C26" s="346"/>
      <c r="D26" s="349" t="n">
        <v>0.0121</v>
      </c>
      <c r="E26" s="350" t="n">
        <f aca="false">(E$6)/(1-D26)-E$6</f>
        <v>0.060873570199413</v>
      </c>
      <c r="F26" s="351"/>
      <c r="G26" s="347" t="n">
        <v>0.0443</v>
      </c>
      <c r="H26" s="352" t="n">
        <f aca="false">(H$3)/(1-G26)-H$3</f>
        <v>0.241965051794496</v>
      </c>
      <c r="I26" s="346"/>
      <c r="J26" s="349" t="n">
        <v>0.0379</v>
      </c>
      <c r="K26" s="348" t="n">
        <f aca="false">(K$5)/(1-J26)-K$5</f>
        <v>0.194207462841701</v>
      </c>
      <c r="L26" s="346"/>
      <c r="M26" s="349" t="n">
        <v>0.046</v>
      </c>
      <c r="N26" s="350" t="n">
        <f aca="false">(N$5)/(1-M26)-N$5</f>
        <v>0.237714884696017</v>
      </c>
      <c r="O26" s="346"/>
      <c r="P26" s="340" t="s">
        <v>512</v>
      </c>
      <c r="Q26" s="350" t="n">
        <f aca="false">+Q$3/(1-0.023)-Q$3</f>
        <v>0.123945752302968</v>
      </c>
      <c r="R26" s="346"/>
      <c r="S26" s="340" t="s">
        <v>513</v>
      </c>
      <c r="T26" s="350" t="n">
        <f aca="false">+T4/(1-0.02902)-T4</f>
        <v>0.160824781916305</v>
      </c>
      <c r="U26" s="346"/>
      <c r="V26" s="349" t="n">
        <v>0.02776</v>
      </c>
      <c r="W26" s="350" t="n">
        <f aca="false">+W$3/(1-V26)-W$3</f>
        <v>0.159609150004115</v>
      </c>
      <c r="X26" s="346"/>
      <c r="Y26" s="340" t="s">
        <v>120</v>
      </c>
      <c r="Z26" s="344" t="n">
        <v>0.0022</v>
      </c>
      <c r="AB26" s="28" t="s">
        <v>514</v>
      </c>
      <c r="AE26" s="340" t="s">
        <v>476</v>
      </c>
      <c r="AF26" s="344" t="n">
        <v>0.0202</v>
      </c>
      <c r="AH26" s="340" t="s">
        <v>476</v>
      </c>
      <c r="AI26" s="344" t="n">
        <v>0.4693</v>
      </c>
      <c r="AK26" s="340" t="s">
        <v>476</v>
      </c>
      <c r="AL26" s="344" t="n">
        <v>0.0009</v>
      </c>
    </row>
    <row r="27" customFormat="false" ht="12.75" hidden="false" customHeight="false" outlineLevel="0" collapsed="false">
      <c r="A27" s="353"/>
      <c r="B27" s="354" t="n">
        <f aca="false">SUM(B24:B26)</f>
        <v>0.088873570199413</v>
      </c>
      <c r="C27" s="351"/>
      <c r="D27" s="340"/>
      <c r="E27" s="355" t="n">
        <f aca="false">SUM(E24:E26)</f>
        <v>0.201173570199413</v>
      </c>
      <c r="F27" s="330"/>
      <c r="G27" s="353"/>
      <c r="H27" s="354" t="n">
        <f aca="false">SUM(H24:H26)</f>
        <v>0.339165051794496</v>
      </c>
      <c r="I27" s="351"/>
      <c r="J27" s="342"/>
      <c r="K27" s="354" t="n">
        <f aca="false">SUM(K24:K26)</f>
        <v>0.217407462841701</v>
      </c>
      <c r="L27" s="351"/>
      <c r="M27" s="343"/>
      <c r="N27" s="355" t="n">
        <f aca="false">SUM(N24:N26)</f>
        <v>0.476614884696017</v>
      </c>
      <c r="O27" s="351"/>
      <c r="P27" s="356"/>
      <c r="Q27" s="355" t="n">
        <f aca="false">SUM(Q24:Q26)</f>
        <v>0.146145752302968</v>
      </c>
      <c r="R27" s="351"/>
      <c r="S27" s="356"/>
      <c r="T27" s="355" t="n">
        <f aca="false">SUM(T24:T26)</f>
        <v>0.180024781916305</v>
      </c>
      <c r="U27" s="351"/>
      <c r="V27" s="356"/>
      <c r="W27" s="355" t="n">
        <f aca="false">SUM(W24:W26)</f>
        <v>0.378709150004115</v>
      </c>
      <c r="X27" s="351"/>
      <c r="Y27" s="349" t="n">
        <v>0.0228</v>
      </c>
      <c r="Z27" s="350" t="n">
        <f aca="false">+Z$3/(1-Y27)-Z$3</f>
        <v>0.135558739255014</v>
      </c>
      <c r="AB27" s="28" t="s">
        <v>441</v>
      </c>
      <c r="AE27" s="340" t="s">
        <v>120</v>
      </c>
      <c r="AF27" s="344" t="n">
        <f aca="false">0.007+0.0022</f>
        <v>0.0092</v>
      </c>
      <c r="AH27" s="340" t="s">
        <v>120</v>
      </c>
      <c r="AI27" s="344" t="n">
        <f aca="false">0.0022+0.007+0.0012-0.0004</f>
        <v>0.01</v>
      </c>
      <c r="AK27" s="340" t="s">
        <v>120</v>
      </c>
      <c r="AL27" s="344" t="n">
        <f aca="false">0.007+0.0022</f>
        <v>0.0092</v>
      </c>
    </row>
    <row r="28" customFormat="false" ht="12.75" hidden="false" customHeight="false" outlineLevel="0" collapsed="false">
      <c r="A28" s="328" t="s">
        <v>92</v>
      </c>
      <c r="B28" s="329" t="s">
        <v>515</v>
      </c>
      <c r="D28" s="28" t="s">
        <v>92</v>
      </c>
      <c r="E28" s="28" t="s">
        <v>516</v>
      </c>
      <c r="F28" s="331"/>
      <c r="G28" s="357" t="s">
        <v>459</v>
      </c>
      <c r="H28" s="366" t="s">
        <v>517</v>
      </c>
      <c r="I28" s="330"/>
      <c r="J28" s="333" t="s">
        <v>461</v>
      </c>
      <c r="K28" s="329" t="s">
        <v>518</v>
      </c>
      <c r="L28" s="330"/>
      <c r="M28" s="334" t="s">
        <v>463</v>
      </c>
      <c r="N28" s="335" t="s">
        <v>519</v>
      </c>
      <c r="O28" s="330"/>
      <c r="P28" s="359" t="s">
        <v>355</v>
      </c>
      <c r="Q28" s="360" t="s">
        <v>520</v>
      </c>
      <c r="S28" s="336" t="s">
        <v>465</v>
      </c>
      <c r="T28" s="337" t="s">
        <v>521</v>
      </c>
      <c r="V28" s="336" t="s">
        <v>192</v>
      </c>
      <c r="W28" s="337" t="s">
        <v>522</v>
      </c>
      <c r="Y28" s="356"/>
      <c r="Z28" s="355" t="n">
        <f aca="false">SUM(Z25:Z27)</f>
        <v>0.399958739255014</v>
      </c>
      <c r="AB28" s="28" t="s">
        <v>450</v>
      </c>
      <c r="AE28" s="349" t="n">
        <v>0.0296</v>
      </c>
      <c r="AF28" s="350" t="n">
        <f aca="false">+AF$3/(1-AE28)-AF$3</f>
        <v>0.1619703215169</v>
      </c>
      <c r="AH28" s="349" t="n">
        <v>0.01</v>
      </c>
      <c r="AI28" s="350" t="n">
        <f aca="false">+AI3/(1-AH28)-AI3</f>
        <v>0.0585858585858583</v>
      </c>
      <c r="AK28" s="340" t="s">
        <v>481</v>
      </c>
      <c r="AL28" s="350" t="n">
        <f aca="false">+AL3/(1-0.02)-AL3</f>
        <v>0.118469387755102</v>
      </c>
    </row>
    <row r="29" customFormat="false" ht="12.75" hidden="false" customHeight="false" outlineLevel="0" collapsed="false">
      <c r="A29" s="338" t="s">
        <v>476</v>
      </c>
      <c r="B29" s="339" t="n">
        <v>0.0226</v>
      </c>
      <c r="D29" s="340" t="s">
        <v>476</v>
      </c>
      <c r="E29" s="341" t="n">
        <v>0.2445</v>
      </c>
      <c r="F29" s="331"/>
      <c r="G29" s="353" t="s">
        <v>476</v>
      </c>
      <c r="H29" s="339" t="n">
        <v>0.0978</v>
      </c>
      <c r="I29" s="331"/>
      <c r="J29" s="342" t="s">
        <v>476</v>
      </c>
      <c r="K29" s="339" t="n">
        <v>0.0281</v>
      </c>
      <c r="L29" s="331"/>
      <c r="M29" s="343" t="s">
        <v>476</v>
      </c>
      <c r="N29" s="344" t="n">
        <v>0.5242</v>
      </c>
      <c r="O29" s="331"/>
      <c r="P29" s="340" t="s">
        <v>476</v>
      </c>
      <c r="Q29" s="344" t="n">
        <v>0.021</v>
      </c>
      <c r="S29" s="340" t="s">
        <v>476</v>
      </c>
      <c r="T29" s="345" t="n">
        <v>0.088</v>
      </c>
      <c r="V29" s="340" t="s">
        <v>476</v>
      </c>
      <c r="W29" s="345" t="n">
        <v>0.006</v>
      </c>
      <c r="Y29" s="331" t="s">
        <v>9</v>
      </c>
      <c r="Z29" s="331" t="s">
        <v>9</v>
      </c>
      <c r="AE29" s="356"/>
      <c r="AF29" s="355" t="n">
        <f aca="false">SUM(AF26:AF28)</f>
        <v>0.1913703215169</v>
      </c>
      <c r="AH29" s="356"/>
      <c r="AI29" s="355" t="n">
        <f aca="false">SUM(AI26:AI28)</f>
        <v>0.537885858585858</v>
      </c>
      <c r="AK29" s="356"/>
      <c r="AL29" s="355" t="n">
        <f aca="false">SUM(AL26:AL28)</f>
        <v>0.128569387755102</v>
      </c>
    </row>
    <row r="30" customFormat="false" ht="12.75" hidden="false" customHeight="false" outlineLevel="0" collapsed="false">
      <c r="A30" s="338" t="s">
        <v>120</v>
      </c>
      <c r="B30" s="339" t="n">
        <f aca="false">0.0022+0.007+0.0097</f>
        <v>0.0189</v>
      </c>
      <c r="C30" s="363"/>
      <c r="D30" s="340" t="s">
        <v>120</v>
      </c>
      <c r="E30" s="341" t="n">
        <f aca="false">0.007+0.0097+0.0022</f>
        <v>0.0189</v>
      </c>
      <c r="F30" s="346"/>
      <c r="G30" s="353" t="s">
        <v>120</v>
      </c>
      <c r="H30" s="339" t="n">
        <f aca="false">0.0022</f>
        <v>0.0022</v>
      </c>
      <c r="I30" s="331"/>
      <c r="J30" s="342" t="s">
        <v>120</v>
      </c>
      <c r="K30" s="339" t="n">
        <f aca="false">0.0022+0.007</f>
        <v>0.0092</v>
      </c>
      <c r="L30" s="331"/>
      <c r="M30" s="343" t="s">
        <v>120</v>
      </c>
      <c r="N30" s="344" t="n">
        <f aca="false">0.0022+0.007</f>
        <v>0.0092</v>
      </c>
      <c r="O30" s="331"/>
      <c r="P30" s="340" t="s">
        <v>120</v>
      </c>
      <c r="Q30" s="344" t="n">
        <f aca="false">0.0022+0.007</f>
        <v>0.0092</v>
      </c>
      <c r="R30" s="363"/>
      <c r="S30" s="340" t="s">
        <v>120</v>
      </c>
      <c r="T30" s="345" t="n">
        <v>0.0022</v>
      </c>
      <c r="U30" s="363"/>
      <c r="V30" s="340" t="s">
        <v>120</v>
      </c>
      <c r="W30" s="344" t="n">
        <v>0</v>
      </c>
      <c r="X30" s="363"/>
      <c r="Y30" s="331" t="s">
        <v>9</v>
      </c>
      <c r="Z30" s="331" t="s">
        <v>9</v>
      </c>
      <c r="AB30" s="336" t="s">
        <v>469</v>
      </c>
      <c r="AC30" s="337" t="s">
        <v>372</v>
      </c>
    </row>
    <row r="31" customFormat="false" ht="12.75" hidden="false" customHeight="false" outlineLevel="0" collapsed="false">
      <c r="A31" s="347" t="n">
        <v>0.031</v>
      </c>
      <c r="B31" s="348" t="n">
        <f aca="false">B6/(1-A31)-B6</f>
        <v>0.158998968008256</v>
      </c>
      <c r="C31" s="346"/>
      <c r="D31" s="349" t="n">
        <v>0.031</v>
      </c>
      <c r="E31" s="350" t="n">
        <f aca="false">(E$6)/(1-D31)-E$6</f>
        <v>0.158998968008256</v>
      </c>
      <c r="F31" s="351"/>
      <c r="G31" s="347" t="n">
        <v>0.0504</v>
      </c>
      <c r="H31" s="352" t="n">
        <f aca="false">(H$3)/(1-G31)-H$3</f>
        <v>0.277051390058972</v>
      </c>
      <c r="I31" s="346"/>
      <c r="J31" s="349" t="n">
        <v>0.0663</v>
      </c>
      <c r="K31" s="348" t="n">
        <f aca="false">(K$5)/(1-J31)-K$5</f>
        <v>0.350068544500375</v>
      </c>
      <c r="L31" s="346"/>
      <c r="M31" s="349" t="n">
        <v>0.0795</v>
      </c>
      <c r="N31" s="350" t="n">
        <f aca="false">(N$5)/(1-M31)-N$5</f>
        <v>0.425784899511135</v>
      </c>
      <c r="O31" s="346"/>
      <c r="P31" s="340" t="s">
        <v>523</v>
      </c>
      <c r="Q31" s="350" t="n">
        <f aca="false">+Q$3/(1-0.026)-Q$3</f>
        <v>0.140544147843943</v>
      </c>
      <c r="R31" s="346"/>
      <c r="S31" s="340" t="s">
        <v>480</v>
      </c>
      <c r="T31" s="350" t="n">
        <f aca="false">(+T3-0.108)/(1-0.00552)-(T3-0.108)</f>
        <v>0.0288466736384843</v>
      </c>
      <c r="U31" s="346"/>
      <c r="V31" s="349" t="n">
        <v>0.00902</v>
      </c>
      <c r="W31" s="350" t="n">
        <f aca="false">+W$3/(1-V31)-W$3</f>
        <v>0.0508807443137096</v>
      </c>
      <c r="X31" s="346"/>
      <c r="Y31" s="346"/>
      <c r="Z31" s="346"/>
      <c r="AB31" s="340" t="s">
        <v>476</v>
      </c>
      <c r="AC31" s="344" t="n">
        <v>0.0112</v>
      </c>
      <c r="AE31" s="28" t="s">
        <v>470</v>
      </c>
      <c r="AF31" s="28" t="s">
        <v>524</v>
      </c>
      <c r="AH31" s="336" t="s">
        <v>394</v>
      </c>
      <c r="AI31" s="337" t="s">
        <v>525</v>
      </c>
      <c r="AK31" s="336" t="s">
        <v>473</v>
      </c>
      <c r="AL31" s="337" t="s">
        <v>526</v>
      </c>
    </row>
    <row r="32" customFormat="false" ht="12.75" hidden="false" customHeight="false" outlineLevel="0" collapsed="false">
      <c r="A32" s="353"/>
      <c r="B32" s="354" t="n">
        <f aca="false">SUM(B29:B31)</f>
        <v>0.200498968008256</v>
      </c>
      <c r="C32" s="351"/>
      <c r="D32" s="340"/>
      <c r="E32" s="355" t="n">
        <f aca="false">SUM(E29:E31)</f>
        <v>0.422398968008256</v>
      </c>
      <c r="F32" s="330"/>
      <c r="G32" s="353"/>
      <c r="H32" s="354" t="n">
        <f aca="false">SUM(H29:H31)</f>
        <v>0.377051390058972</v>
      </c>
      <c r="I32" s="351"/>
      <c r="J32" s="342"/>
      <c r="K32" s="354" t="n">
        <f aca="false">SUM(K29:K31)</f>
        <v>0.387368544500375</v>
      </c>
      <c r="L32" s="351"/>
      <c r="M32" s="343"/>
      <c r="N32" s="355" t="n">
        <f aca="false">SUM(N29:N31)</f>
        <v>0.959184899511135</v>
      </c>
      <c r="O32" s="351"/>
      <c r="P32" s="356"/>
      <c r="Q32" s="355" t="n">
        <f aca="false">SUM(Q29:Q31)</f>
        <v>0.170744147843943</v>
      </c>
      <c r="R32" s="351"/>
      <c r="S32" s="356"/>
      <c r="T32" s="355" t="n">
        <f aca="false">SUM(T29:T31)</f>
        <v>0.119046673638484</v>
      </c>
      <c r="U32" s="351"/>
      <c r="V32" s="356"/>
      <c r="W32" s="355" t="n">
        <f aca="false">SUM(W29:W31)</f>
        <v>0.0568807443137096</v>
      </c>
      <c r="X32" s="351"/>
      <c r="Y32" s="351"/>
      <c r="Z32" s="351"/>
      <c r="AB32" s="340" t="s">
        <v>120</v>
      </c>
      <c r="AC32" s="344" t="n">
        <f aca="false">0.0022+0.007</f>
        <v>0.0092</v>
      </c>
      <c r="AE32" s="340" t="s">
        <v>476</v>
      </c>
      <c r="AF32" s="344" t="n">
        <v>0.0117</v>
      </c>
      <c r="AH32" s="340" t="s">
        <v>476</v>
      </c>
      <c r="AI32" s="344" t="n">
        <v>0.045</v>
      </c>
      <c r="AK32" s="340" t="s">
        <v>476</v>
      </c>
      <c r="AL32" s="344" t="n">
        <v>0.0003</v>
      </c>
    </row>
    <row r="33" customFormat="false" ht="12.75" hidden="false" customHeight="false" outlineLevel="0" collapsed="false">
      <c r="A33" s="328" t="s">
        <v>92</v>
      </c>
      <c r="B33" s="329" t="s">
        <v>527</v>
      </c>
      <c r="C33" s="330"/>
      <c r="D33" s="28" t="s">
        <v>92</v>
      </c>
      <c r="E33" s="28" t="s">
        <v>528</v>
      </c>
      <c r="F33" s="331"/>
      <c r="G33" s="357" t="s">
        <v>459</v>
      </c>
      <c r="H33" s="366" t="s">
        <v>529</v>
      </c>
      <c r="I33" s="330"/>
      <c r="J33" s="333" t="s">
        <v>461</v>
      </c>
      <c r="K33" s="329" t="s">
        <v>519</v>
      </c>
      <c r="L33" s="330"/>
      <c r="M33" s="334" t="s">
        <v>463</v>
      </c>
      <c r="N33" s="335" t="s">
        <v>530</v>
      </c>
      <c r="O33" s="330"/>
      <c r="P33" s="367"/>
      <c r="Q33" s="330"/>
      <c r="R33" s="330"/>
      <c r="S33" s="359" t="s">
        <v>465</v>
      </c>
      <c r="T33" s="360" t="s">
        <v>531</v>
      </c>
      <c r="U33" s="330"/>
      <c r="V33" s="359" t="s">
        <v>192</v>
      </c>
      <c r="W33" s="360" t="s">
        <v>532</v>
      </c>
      <c r="X33" s="330"/>
      <c r="Y33" s="330"/>
      <c r="Z33" s="330"/>
      <c r="AB33" s="349" t="n">
        <v>0.0058</v>
      </c>
      <c r="AC33" s="350" t="n">
        <f aca="false">+AC3/(1-0.0058)-AC3</f>
        <v>0.0345363106014887</v>
      </c>
      <c r="AE33" s="340" t="s">
        <v>120</v>
      </c>
      <c r="AF33" s="344" t="n">
        <f aca="false">0.007+0.0022</f>
        <v>0.0092</v>
      </c>
      <c r="AH33" s="340" t="s">
        <v>120</v>
      </c>
      <c r="AI33" s="344" t="n">
        <f aca="false">0.0022+0.0012</f>
        <v>0.0034</v>
      </c>
      <c r="AK33" s="340" t="s">
        <v>120</v>
      </c>
      <c r="AL33" s="344" t="n">
        <f aca="false">0.0022</f>
        <v>0.0022</v>
      </c>
    </row>
    <row r="34" customFormat="false" ht="12.75" hidden="false" customHeight="false" outlineLevel="0" collapsed="false">
      <c r="A34" s="338" t="s">
        <v>476</v>
      </c>
      <c r="B34" s="339" t="n">
        <v>0.0334</v>
      </c>
      <c r="C34" s="331"/>
      <c r="D34" s="340" t="s">
        <v>476</v>
      </c>
      <c r="E34" s="341" t="n">
        <v>0.068</v>
      </c>
      <c r="F34" s="331"/>
      <c r="G34" s="353" t="s">
        <v>476</v>
      </c>
      <c r="H34" s="339" t="n">
        <v>0.1118</v>
      </c>
      <c r="I34" s="331"/>
      <c r="J34" s="342" t="s">
        <v>476</v>
      </c>
      <c r="K34" s="339" t="n">
        <v>0.0484</v>
      </c>
      <c r="L34" s="331"/>
      <c r="M34" s="343" t="s">
        <v>476</v>
      </c>
      <c r="N34" s="344" t="n">
        <v>0.6213</v>
      </c>
      <c r="O34" s="331"/>
      <c r="P34" s="368"/>
      <c r="Q34" s="331"/>
      <c r="R34" s="331"/>
      <c r="S34" s="340" t="s">
        <v>476</v>
      </c>
      <c r="T34" s="345" t="n">
        <v>0.0366</v>
      </c>
      <c r="U34" s="331"/>
      <c r="V34" s="340" t="s">
        <v>476</v>
      </c>
      <c r="W34" s="344" t="n">
        <v>0.05</v>
      </c>
      <c r="X34" s="331"/>
      <c r="Y34" s="331"/>
      <c r="Z34" s="331"/>
      <c r="AB34" s="356"/>
      <c r="AC34" s="355" t="n">
        <f aca="false">SUM(AC31:AC33)</f>
        <v>0.0549363106014887</v>
      </c>
      <c r="AE34" s="349" t="n">
        <v>0.0198</v>
      </c>
      <c r="AF34" s="350" t="n">
        <f aca="false">+AF$3/(1-AE34)-AF$3</f>
        <v>0.107261783309529</v>
      </c>
      <c r="AH34" s="349" t="n">
        <v>0.01</v>
      </c>
      <c r="AI34" s="350" t="n">
        <f aca="false">+AI3/(1-AH34)-AI3</f>
        <v>0.0585858585858583</v>
      </c>
      <c r="AK34" s="340" t="s">
        <v>481</v>
      </c>
      <c r="AL34" s="350" t="n">
        <f aca="false">+AL3/(1-0.02)-AL3</f>
        <v>0.118469387755102</v>
      </c>
    </row>
    <row r="35" customFormat="false" ht="12.75" hidden="false" customHeight="false" outlineLevel="0" collapsed="false">
      <c r="A35" s="338" t="s">
        <v>120</v>
      </c>
      <c r="B35" s="339" t="n">
        <f aca="false">0.0022+0.007+0.0097</f>
        <v>0.0189</v>
      </c>
      <c r="C35" s="331"/>
      <c r="D35" s="340" t="s">
        <v>120</v>
      </c>
      <c r="E35" s="341" t="n">
        <f aca="false">0.007+0.0022+0.0097</f>
        <v>0.0189</v>
      </c>
      <c r="F35" s="346"/>
      <c r="G35" s="353" t="s">
        <v>120</v>
      </c>
      <c r="H35" s="339" t="n">
        <f aca="false">0.0022+0.007</f>
        <v>0.0092</v>
      </c>
      <c r="I35" s="331"/>
      <c r="J35" s="342" t="s">
        <v>120</v>
      </c>
      <c r="K35" s="339" t="n">
        <f aca="false">0.0022+0.007</f>
        <v>0.0092</v>
      </c>
      <c r="L35" s="331"/>
      <c r="M35" s="343" t="s">
        <v>120</v>
      </c>
      <c r="N35" s="344" t="n">
        <f aca="false">0.0022+0.007</f>
        <v>0.0092</v>
      </c>
      <c r="O35" s="331"/>
      <c r="P35" s="368"/>
      <c r="Q35" s="331"/>
      <c r="R35" s="331"/>
      <c r="S35" s="340" t="s">
        <v>120</v>
      </c>
      <c r="T35" s="345" t="n">
        <v>0.0022</v>
      </c>
      <c r="U35" s="331"/>
      <c r="V35" s="340" t="s">
        <v>120</v>
      </c>
      <c r="W35" s="344" t="n">
        <f aca="false">0.0022</f>
        <v>0.0022</v>
      </c>
      <c r="X35" s="331"/>
      <c r="Y35" s="331"/>
      <c r="Z35" s="331"/>
      <c r="AE35" s="356"/>
      <c r="AF35" s="355" t="n">
        <f aca="false">SUM(AF32:AF34)</f>
        <v>0.128161783309529</v>
      </c>
      <c r="AH35" s="356"/>
      <c r="AI35" s="355" t="n">
        <f aca="false">SUM(AI32:AI34)</f>
        <v>0.106985858585858</v>
      </c>
      <c r="AK35" s="356"/>
      <c r="AL35" s="355" t="n">
        <f aca="false">SUM(AL32:AL34)</f>
        <v>0.120969387755102</v>
      </c>
    </row>
    <row r="36" customFormat="false" ht="12.75" hidden="false" customHeight="false" outlineLevel="0" collapsed="false">
      <c r="A36" s="347" t="n">
        <v>0.0458</v>
      </c>
      <c r="B36" s="348" t="n">
        <f aca="false">B6/(1-A36)-B6</f>
        <v>0.238551666317334</v>
      </c>
      <c r="C36" s="346"/>
      <c r="D36" s="349" t="n">
        <v>0.0042</v>
      </c>
      <c r="E36" s="350" t="n">
        <f aca="false">+E$5/(1-D36)-E$5</f>
        <v>0.021805583450492</v>
      </c>
      <c r="F36" s="351"/>
      <c r="G36" s="347" t="n">
        <v>0.058</v>
      </c>
      <c r="H36" s="352" t="n">
        <f aca="false">(H$3)/(1-G36)-H$3</f>
        <v>0.321401273885351</v>
      </c>
      <c r="I36" s="346"/>
      <c r="J36" s="349" t="n">
        <v>0.0795</v>
      </c>
      <c r="K36" s="348" t="n">
        <f aca="false">(K$5)/(1-J36)-K$5</f>
        <v>0.425784899511135</v>
      </c>
      <c r="L36" s="346"/>
      <c r="M36" s="349" t="n">
        <v>0.0884</v>
      </c>
      <c r="N36" s="350" t="n">
        <f aca="false">(N$5)/(1-M36)-N$5</f>
        <v>0.478073716542343</v>
      </c>
      <c r="O36" s="346"/>
      <c r="P36" s="368"/>
      <c r="Q36" s="346"/>
      <c r="R36" s="346"/>
      <c r="S36" s="340" t="s">
        <v>500</v>
      </c>
      <c r="T36" s="350" t="n">
        <f aca="false">T3/(1-0.00697)-T3</f>
        <v>0.0372353806028016</v>
      </c>
      <c r="U36" s="346"/>
      <c r="V36" s="349" t="n">
        <v>0.02776</v>
      </c>
      <c r="W36" s="350" t="n">
        <f aca="false">+W$3/(1-V36)-W$3</f>
        <v>0.159609150004115</v>
      </c>
      <c r="X36" s="346"/>
      <c r="Y36" s="346"/>
      <c r="Z36" s="346"/>
      <c r="AB36" s="336" t="s">
        <v>469</v>
      </c>
      <c r="AC36" s="337" t="s">
        <v>493</v>
      </c>
      <c r="AI36" s="369" t="n">
        <f aca="false">SUM(AI35,AI3)</f>
        <v>5.90698585858586</v>
      </c>
      <c r="AL36" s="369"/>
    </row>
    <row r="37" customFormat="false" ht="12.75" hidden="false" customHeight="false" outlineLevel="0" collapsed="false">
      <c r="A37" s="353"/>
      <c r="B37" s="354" t="n">
        <f aca="false">SUM(B34:B36)</f>
        <v>0.290851666317334</v>
      </c>
      <c r="C37" s="351"/>
      <c r="D37" s="340"/>
      <c r="E37" s="355" t="n">
        <f aca="false">SUM(E34:E36)</f>
        <v>0.108705583450492</v>
      </c>
      <c r="F37" s="330"/>
      <c r="G37" s="353"/>
      <c r="H37" s="354" t="n">
        <f aca="false">SUM(H34:H36)</f>
        <v>0.442401273885351</v>
      </c>
      <c r="I37" s="351"/>
      <c r="J37" s="342"/>
      <c r="K37" s="354" t="n">
        <f aca="false">SUM(K34:K36)</f>
        <v>0.483384899511135</v>
      </c>
      <c r="L37" s="351"/>
      <c r="M37" s="343"/>
      <c r="N37" s="355" t="n">
        <f aca="false">SUM(N34:N36)</f>
        <v>1.10857371654234</v>
      </c>
      <c r="O37" s="351"/>
      <c r="P37" s="74"/>
      <c r="Q37" s="370"/>
      <c r="R37" s="351"/>
      <c r="S37" s="356"/>
      <c r="T37" s="371" t="n">
        <f aca="false">SUM(T34:T36)</f>
        <v>0.0760353806028016</v>
      </c>
      <c r="U37" s="351"/>
      <c r="V37" s="356"/>
      <c r="W37" s="355" t="n">
        <f aca="false">SUM(W34:W36)</f>
        <v>0.211809150004115</v>
      </c>
      <c r="X37" s="351"/>
      <c r="Y37" s="351"/>
      <c r="Z37" s="351"/>
      <c r="AB37" s="340" t="s">
        <v>476</v>
      </c>
      <c r="AC37" s="344" t="n">
        <v>0</v>
      </c>
      <c r="AE37" s="28" t="s">
        <v>470</v>
      </c>
      <c r="AF37" s="28" t="s">
        <v>533</v>
      </c>
      <c r="AH37" s="336" t="s">
        <v>394</v>
      </c>
      <c r="AI37" s="337" t="s">
        <v>534</v>
      </c>
      <c r="AK37" s="367"/>
      <c r="AL37" s="330"/>
    </row>
    <row r="38" customFormat="false" ht="12.75" hidden="false" customHeight="false" outlineLevel="0" collapsed="false">
      <c r="A38" s="357" t="s">
        <v>92</v>
      </c>
      <c r="B38" s="329" t="s">
        <v>535</v>
      </c>
      <c r="C38" s="330"/>
      <c r="D38" s="334" t="s">
        <v>92</v>
      </c>
      <c r="E38" s="355" t="s">
        <v>536</v>
      </c>
      <c r="F38" s="331"/>
      <c r="G38" s="357" t="s">
        <v>459</v>
      </c>
      <c r="H38" s="366" t="s">
        <v>537</v>
      </c>
      <c r="I38" s="330"/>
      <c r="J38" s="333" t="s">
        <v>461</v>
      </c>
      <c r="K38" s="329" t="s">
        <v>530</v>
      </c>
      <c r="L38" s="330"/>
      <c r="M38" s="334" t="s">
        <v>463</v>
      </c>
      <c r="N38" s="335" t="s">
        <v>538</v>
      </c>
      <c r="O38" s="330"/>
      <c r="P38" s="367"/>
      <c r="Q38" s="330"/>
      <c r="R38" s="330"/>
      <c r="S38" s="359" t="s">
        <v>465</v>
      </c>
      <c r="T38" s="360" t="s">
        <v>539</v>
      </c>
      <c r="U38" s="330"/>
      <c r="V38" s="359"/>
      <c r="W38" s="360"/>
      <c r="X38" s="330"/>
      <c r="Y38" s="330"/>
      <c r="Z38" s="330"/>
      <c r="AB38" s="340" t="s">
        <v>120</v>
      </c>
      <c r="AC38" s="344" t="n">
        <f aca="false">0.0022+0.007</f>
        <v>0.0092</v>
      </c>
      <c r="AE38" s="340" t="s">
        <v>476</v>
      </c>
      <c r="AF38" s="344" t="n">
        <v>0.0117</v>
      </c>
      <c r="AH38" s="340" t="s">
        <v>476</v>
      </c>
      <c r="AI38" s="344" t="n">
        <f aca="false">0.04+0.004+0.0022+0.0005</f>
        <v>0.0467</v>
      </c>
      <c r="AK38" s="368"/>
      <c r="AL38" s="331"/>
    </row>
    <row r="39" customFormat="false" ht="12.75" hidden="false" customHeight="false" outlineLevel="0" collapsed="false">
      <c r="A39" s="338" t="s">
        <v>476</v>
      </c>
      <c r="B39" s="339" t="n">
        <v>0.0392</v>
      </c>
      <c r="C39" s="331"/>
      <c r="D39" s="340" t="s">
        <v>476</v>
      </c>
      <c r="E39" s="341" t="n">
        <v>0.1013</v>
      </c>
      <c r="F39" s="331"/>
      <c r="G39" s="353" t="s">
        <v>476</v>
      </c>
      <c r="H39" s="339" t="n">
        <v>0.1231</v>
      </c>
      <c r="I39" s="331"/>
      <c r="J39" s="342" t="s">
        <v>476</v>
      </c>
      <c r="K39" s="339" t="n">
        <v>0.0623</v>
      </c>
      <c r="L39" s="331"/>
      <c r="M39" s="343" t="s">
        <v>476</v>
      </c>
      <c r="N39" s="344" t="n">
        <v>0.0658</v>
      </c>
      <c r="O39" s="331"/>
      <c r="P39" s="368"/>
      <c r="Q39" s="331"/>
      <c r="R39" s="331"/>
      <c r="S39" s="340" t="s">
        <v>476</v>
      </c>
      <c r="T39" s="345" t="n">
        <v>0.1204</v>
      </c>
      <c r="U39" s="331"/>
      <c r="V39" s="340"/>
      <c r="W39" s="344"/>
      <c r="X39" s="331"/>
      <c r="Y39" s="331"/>
      <c r="Z39" s="331"/>
      <c r="AB39" s="349" t="n">
        <v>0.0058</v>
      </c>
      <c r="AC39" s="350" t="n">
        <f aca="false">+AC3/(1-0.0058)-AC3</f>
        <v>0.0345363106014887</v>
      </c>
      <c r="AE39" s="340" t="s">
        <v>120</v>
      </c>
      <c r="AF39" s="344" t="n">
        <f aca="false">0.007+0.0022</f>
        <v>0.0092</v>
      </c>
      <c r="AH39" s="340" t="s">
        <v>120</v>
      </c>
      <c r="AI39" s="344" t="n">
        <v>0</v>
      </c>
      <c r="AK39" s="368"/>
      <c r="AL39" s="331"/>
    </row>
    <row r="40" customFormat="false" ht="12.75" hidden="false" customHeight="false" outlineLevel="0" collapsed="false">
      <c r="A40" s="338" t="s">
        <v>120</v>
      </c>
      <c r="B40" s="339" t="n">
        <f aca="false">0.0022+0.007+0.0097</f>
        <v>0.0189</v>
      </c>
      <c r="C40" s="331"/>
      <c r="D40" s="340" t="s">
        <v>120</v>
      </c>
      <c r="E40" s="341" t="n">
        <f aca="false">0.007+0.0022+0.0097</f>
        <v>0.0189</v>
      </c>
      <c r="F40" s="346"/>
      <c r="G40" s="353" t="s">
        <v>120</v>
      </c>
      <c r="H40" s="339" t="n">
        <f aca="false">0.0022+0.007</f>
        <v>0.0092</v>
      </c>
      <c r="I40" s="331"/>
      <c r="J40" s="342" t="s">
        <v>120</v>
      </c>
      <c r="K40" s="339" t="n">
        <f aca="false">0.0022+0.007</f>
        <v>0.0092</v>
      </c>
      <c r="L40" s="331"/>
      <c r="M40" s="343" t="s">
        <v>120</v>
      </c>
      <c r="N40" s="344" t="n">
        <f aca="false">0.0022</f>
        <v>0.0022</v>
      </c>
      <c r="O40" s="331"/>
      <c r="P40" s="368"/>
      <c r="Q40" s="331"/>
      <c r="R40" s="331"/>
      <c r="S40" s="340" t="s">
        <v>120</v>
      </c>
      <c r="T40" s="345" t="n">
        <v>0.0022</v>
      </c>
      <c r="U40" s="331"/>
      <c r="V40" s="340"/>
      <c r="W40" s="344"/>
      <c r="X40" s="331"/>
      <c r="Y40" s="331"/>
      <c r="Z40" s="331"/>
      <c r="AB40" s="356"/>
      <c r="AC40" s="355" t="n">
        <f aca="false">SUM(AC37:AC39)</f>
        <v>0.0437363106014887</v>
      </c>
      <c r="AE40" s="349" t="n">
        <v>0.0058</v>
      </c>
      <c r="AF40" s="350" t="n">
        <f aca="false">+AF$3/(1-AE40)-AF$3</f>
        <v>0.0309776704888352</v>
      </c>
      <c r="AH40" s="349" t="n">
        <v>0.005</v>
      </c>
      <c r="AI40" s="350" t="n">
        <f aca="false">+AI3/(1-AH40)-AI3</f>
        <v>0.0291457286432157</v>
      </c>
      <c r="AK40" s="368"/>
      <c r="AL40" s="346"/>
    </row>
    <row r="41" customFormat="false" ht="12.75" hidden="false" customHeight="false" outlineLevel="0" collapsed="false">
      <c r="A41" s="347" t="n">
        <v>0.0539</v>
      </c>
      <c r="B41" s="348" t="n">
        <f aca="false">B6/(1-A41)-B6</f>
        <v>0.283144487897686</v>
      </c>
      <c r="C41" s="346"/>
      <c r="D41" s="349" t="n">
        <v>0.0086</v>
      </c>
      <c r="E41" s="350" t="n">
        <f aca="false">+E$5/(1-D41)-E$5</f>
        <v>0.0448476901351631</v>
      </c>
      <c r="F41" s="351"/>
      <c r="G41" s="347" t="n">
        <v>0.0672</v>
      </c>
      <c r="H41" s="352" t="n">
        <f aca="false">(H$3)/(1-G41)-H$3</f>
        <v>0.376054888507719</v>
      </c>
      <c r="I41" s="346"/>
      <c r="J41" s="349" t="n">
        <v>0.0884</v>
      </c>
      <c r="K41" s="348" t="n">
        <f aca="false">(K$5)/(1-J41)-K$5</f>
        <v>0.478073716542343</v>
      </c>
      <c r="L41" s="346"/>
      <c r="M41" s="349" t="n">
        <v>0.0246</v>
      </c>
      <c r="N41" s="350" t="n">
        <f aca="false">(N$4)/(1-M41)-N$4</f>
        <v>0.129632971088784</v>
      </c>
      <c r="O41" s="346"/>
      <c r="P41" s="368"/>
      <c r="Q41" s="346"/>
      <c r="R41" s="346"/>
      <c r="S41" s="340" t="s">
        <v>513</v>
      </c>
      <c r="T41" s="350" t="n">
        <f aca="false">T4/(1-0.02902)-T4</f>
        <v>0.160824781916305</v>
      </c>
      <c r="U41" s="346"/>
      <c r="V41" s="340"/>
      <c r="W41" s="350"/>
      <c r="X41" s="346"/>
      <c r="Y41" s="346"/>
      <c r="Z41" s="346"/>
      <c r="AE41" s="356"/>
      <c r="AF41" s="355" t="n">
        <f aca="false">SUM(AF38:AF40)</f>
        <v>0.0518776704888352</v>
      </c>
      <c r="AH41" s="356"/>
      <c r="AI41" s="355" t="n">
        <f aca="false">SUM(AI38:AI40)</f>
        <v>0.0758457286432157</v>
      </c>
      <c r="AK41" s="74"/>
      <c r="AL41" s="351"/>
    </row>
    <row r="42" customFormat="false" ht="12.75" hidden="false" customHeight="false" outlineLevel="0" collapsed="false">
      <c r="A42" s="353"/>
      <c r="B42" s="354" t="n">
        <f aca="false">SUM(B39:B41)</f>
        <v>0.341244487897686</v>
      </c>
      <c r="C42" s="351"/>
      <c r="D42" s="340"/>
      <c r="E42" s="355" t="n">
        <f aca="false">SUM(E39:E41)</f>
        <v>0.165047690135163</v>
      </c>
      <c r="F42" s="330"/>
      <c r="G42" s="353"/>
      <c r="H42" s="354" t="n">
        <f aca="false">SUM(H39:H41)</f>
        <v>0.508354888507719</v>
      </c>
      <c r="I42" s="351"/>
      <c r="J42" s="342"/>
      <c r="K42" s="354" t="n">
        <f aca="false">SUM(K39:K41)</f>
        <v>0.549573716542343</v>
      </c>
      <c r="L42" s="351"/>
      <c r="M42" s="343"/>
      <c r="N42" s="355" t="n">
        <f aca="false">SUM(N39:N41)</f>
        <v>0.197632971088784</v>
      </c>
      <c r="O42" s="351"/>
      <c r="P42" s="74"/>
      <c r="Q42" s="351"/>
      <c r="R42" s="351"/>
      <c r="S42" s="356"/>
      <c r="T42" s="355" t="n">
        <f aca="false">SUM(T39:T41)</f>
        <v>0.283424781916305</v>
      </c>
      <c r="U42" s="351"/>
      <c r="V42" s="356"/>
      <c r="W42" s="355"/>
      <c r="X42" s="351"/>
      <c r="Y42" s="351"/>
      <c r="Z42" s="351"/>
      <c r="AI42" s="372" t="n">
        <f aca="false">+AI41+AI3</f>
        <v>5.87584572864322</v>
      </c>
      <c r="AK42" s="74"/>
      <c r="AL42" s="373"/>
    </row>
    <row r="43" customFormat="false" ht="12.75" hidden="false" customHeight="false" outlineLevel="0" collapsed="false">
      <c r="A43" s="357" t="s">
        <v>92</v>
      </c>
      <c r="B43" s="329" t="s">
        <v>540</v>
      </c>
      <c r="C43" s="330"/>
      <c r="D43" s="28" t="s">
        <v>92</v>
      </c>
      <c r="E43" s="28" t="s">
        <v>541</v>
      </c>
      <c r="F43" s="331"/>
      <c r="G43" s="357" t="s">
        <v>459</v>
      </c>
      <c r="H43" s="366" t="s">
        <v>542</v>
      </c>
      <c r="I43" s="330"/>
      <c r="J43" s="333" t="s">
        <v>461</v>
      </c>
      <c r="K43" s="329" t="s">
        <v>538</v>
      </c>
      <c r="L43" s="330"/>
      <c r="M43" s="334" t="s">
        <v>463</v>
      </c>
      <c r="N43" s="335" t="s">
        <v>543</v>
      </c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74"/>
      <c r="Z43" s="374"/>
      <c r="AH43" s="28" t="s">
        <v>544</v>
      </c>
    </row>
    <row r="44" customFormat="false" ht="12.75" hidden="false" customHeight="false" outlineLevel="0" collapsed="false">
      <c r="A44" s="338" t="s">
        <v>476</v>
      </c>
      <c r="B44" s="339" t="n">
        <v>0.0035</v>
      </c>
      <c r="C44" s="331"/>
      <c r="D44" s="340" t="s">
        <v>476</v>
      </c>
      <c r="E44" s="341" t="n">
        <v>0.2244</v>
      </c>
      <c r="F44" s="331"/>
      <c r="G44" s="353" t="s">
        <v>476</v>
      </c>
      <c r="H44" s="339" t="n">
        <v>0.1608</v>
      </c>
      <c r="I44" s="331"/>
      <c r="J44" s="342" t="s">
        <v>476</v>
      </c>
      <c r="K44" s="339" t="n">
        <v>0.0059</v>
      </c>
      <c r="L44" s="331"/>
      <c r="M44" s="343" t="s">
        <v>476</v>
      </c>
      <c r="N44" s="344" t="n">
        <v>0.2477</v>
      </c>
      <c r="O44" s="331"/>
      <c r="P44" s="367"/>
      <c r="Q44" s="330"/>
      <c r="R44" s="331"/>
      <c r="S44" s="359" t="s">
        <v>465</v>
      </c>
      <c r="T44" s="360" t="s">
        <v>545</v>
      </c>
      <c r="U44" s="331"/>
      <c r="V44" s="359"/>
      <c r="W44" s="360"/>
      <c r="X44" s="331"/>
      <c r="Y44" s="331"/>
      <c r="Z44" s="331"/>
    </row>
    <row r="45" customFormat="false" ht="12.75" hidden="false" customHeight="false" outlineLevel="0" collapsed="false">
      <c r="A45" s="338" t="s">
        <v>120</v>
      </c>
      <c r="B45" s="339" t="n">
        <f aca="false">0.0022+0.007+0.0097</f>
        <v>0.0189</v>
      </c>
      <c r="C45" s="331"/>
      <c r="D45" s="340" t="s">
        <v>120</v>
      </c>
      <c r="E45" s="341" t="n">
        <f aca="false">0.007+0.0022+0.0097</f>
        <v>0.0189</v>
      </c>
      <c r="F45" s="346"/>
      <c r="G45" s="353" t="s">
        <v>120</v>
      </c>
      <c r="H45" s="339" t="n">
        <f aca="false">0.0022+0.007</f>
        <v>0.0092</v>
      </c>
      <c r="I45" s="331"/>
      <c r="J45" s="342" t="s">
        <v>120</v>
      </c>
      <c r="K45" s="339" t="n">
        <f aca="false">0.0022</f>
        <v>0.0022</v>
      </c>
      <c r="L45" s="331"/>
      <c r="M45" s="343" t="s">
        <v>120</v>
      </c>
      <c r="N45" s="344" t="n">
        <f aca="false">0.0022+0.007</f>
        <v>0.0092</v>
      </c>
      <c r="O45" s="331"/>
      <c r="P45" s="368"/>
      <c r="Q45" s="331"/>
      <c r="R45" s="331"/>
      <c r="S45" s="340" t="s">
        <v>476</v>
      </c>
      <c r="T45" s="344" t="n">
        <v>0.03</v>
      </c>
      <c r="U45" s="331"/>
      <c r="V45" s="340"/>
      <c r="W45" s="344"/>
      <c r="X45" s="331"/>
      <c r="Y45" s="331"/>
      <c r="Z45" s="331"/>
      <c r="AH45" s="375" t="n">
        <v>36951</v>
      </c>
      <c r="AK45" s="375"/>
    </row>
    <row r="46" customFormat="false" ht="12.75" hidden="false" customHeight="false" outlineLevel="0" collapsed="false">
      <c r="A46" s="347" t="n">
        <v>0.0042</v>
      </c>
      <c r="B46" s="348" t="n">
        <f aca="false">B4/(1-A46)-B4</f>
        <v>0.022269532034545</v>
      </c>
      <c r="C46" s="346"/>
      <c r="D46" s="349" t="n">
        <v>0.0275</v>
      </c>
      <c r="E46" s="350" t="n">
        <f aca="false">+E$5/(1-D46)-E$5</f>
        <v>0.146195372750642</v>
      </c>
      <c r="F46" s="351"/>
      <c r="G46" s="347" t="n">
        <v>0.0742</v>
      </c>
      <c r="H46" s="352" t="n">
        <f aca="false">(H$3)/(1-G46)-H$3</f>
        <v>0.418366817887233</v>
      </c>
      <c r="I46" s="346"/>
      <c r="J46" s="349" t="n">
        <v>0.0246</v>
      </c>
      <c r="K46" s="376" t="n">
        <f aca="false">(K$4)/(1-J46)-K$4</f>
        <v>0.129632971088784</v>
      </c>
      <c r="L46" s="346"/>
      <c r="M46" s="349" t="n">
        <v>0.0602</v>
      </c>
      <c r="N46" s="350" t="n">
        <f aca="false">(N$4)/(1-M46)-N$4</f>
        <v>0.32924877633539</v>
      </c>
      <c r="O46" s="346"/>
      <c r="P46" s="368"/>
      <c r="Q46" s="331"/>
      <c r="R46" s="346"/>
      <c r="S46" s="340" t="s">
        <v>120</v>
      </c>
      <c r="T46" s="344" t="n">
        <v>0.0022</v>
      </c>
      <c r="U46" s="346"/>
      <c r="V46" s="340"/>
      <c r="W46" s="344"/>
      <c r="X46" s="346"/>
      <c r="Y46" s="346"/>
      <c r="Z46" s="346"/>
      <c r="AH46" s="377" t="s">
        <v>546</v>
      </c>
      <c r="AI46" s="378" t="n">
        <v>0.005</v>
      </c>
      <c r="AK46" s="377"/>
      <c r="AL46" s="378"/>
    </row>
    <row r="47" customFormat="false" ht="12.75" hidden="false" customHeight="false" outlineLevel="0" collapsed="false">
      <c r="A47" s="353"/>
      <c r="B47" s="354" t="n">
        <f aca="false">SUM(B44:B46)</f>
        <v>0.044669532034545</v>
      </c>
      <c r="C47" s="351"/>
      <c r="D47" s="340"/>
      <c r="E47" s="355" t="n">
        <f aca="false">SUM(E44:E46)</f>
        <v>0.389495372750642</v>
      </c>
      <c r="F47" s="374"/>
      <c r="G47" s="353"/>
      <c r="H47" s="354" t="n">
        <f aca="false">SUM(H44:H46)</f>
        <v>0.588366817887233</v>
      </c>
      <c r="I47" s="351"/>
      <c r="J47" s="342"/>
      <c r="K47" s="354" t="n">
        <f aca="false">SUM(K44:K46)</f>
        <v>0.137732971088784</v>
      </c>
      <c r="L47" s="351"/>
      <c r="M47" s="343"/>
      <c r="N47" s="355" t="n">
        <f aca="false">SUM(N44:N46)</f>
        <v>0.58614877633539</v>
      </c>
      <c r="O47" s="351"/>
      <c r="P47" s="368"/>
      <c r="Q47" s="346"/>
      <c r="R47" s="351"/>
      <c r="S47" s="340" t="s">
        <v>500</v>
      </c>
      <c r="T47" s="350" t="n">
        <f aca="false">T3/(1-0.00697)-T3</f>
        <v>0.0372353806028016</v>
      </c>
      <c r="U47" s="351"/>
      <c r="V47" s="340"/>
      <c r="W47" s="350"/>
      <c r="X47" s="351"/>
      <c r="Y47" s="351"/>
      <c r="Z47" s="351"/>
      <c r="AH47" s="28" t="s">
        <v>547</v>
      </c>
      <c r="AI47" s="378" t="n">
        <v>0.01</v>
      </c>
      <c r="AL47" s="378"/>
    </row>
    <row r="48" customFormat="false" ht="12.75" hidden="false" customHeight="false" outlineLevel="0" collapsed="false">
      <c r="A48" s="379" t="s">
        <v>92</v>
      </c>
      <c r="B48" s="329" t="s">
        <v>548</v>
      </c>
      <c r="C48" s="330"/>
      <c r="D48" s="334" t="s">
        <v>92</v>
      </c>
      <c r="E48" s="355" t="s">
        <v>549</v>
      </c>
      <c r="F48" s="331"/>
      <c r="G48" s="357" t="s">
        <v>459</v>
      </c>
      <c r="H48" s="358" t="s">
        <v>550</v>
      </c>
      <c r="I48" s="374"/>
      <c r="J48" s="333" t="s">
        <v>461</v>
      </c>
      <c r="K48" s="329" t="s">
        <v>551</v>
      </c>
      <c r="L48" s="374"/>
      <c r="M48" s="334" t="s">
        <v>463</v>
      </c>
      <c r="N48" s="335" t="s">
        <v>552</v>
      </c>
      <c r="O48" s="374"/>
      <c r="P48" s="74"/>
      <c r="Q48" s="351"/>
      <c r="R48" s="330"/>
      <c r="S48" s="356"/>
      <c r="T48" s="355" t="n">
        <f aca="false">SUM(T45:T47)</f>
        <v>0.0694353806028016</v>
      </c>
      <c r="U48" s="330"/>
      <c r="V48" s="356"/>
      <c r="W48" s="355"/>
      <c r="X48" s="330"/>
      <c r="Y48" s="374"/>
      <c r="Z48" s="374"/>
      <c r="AH48" s="28" t="s">
        <v>553</v>
      </c>
      <c r="AI48" s="378" t="n">
        <v>0.005</v>
      </c>
      <c r="AL48" s="378"/>
    </row>
    <row r="49" customFormat="false" ht="12.75" hidden="false" customHeight="false" outlineLevel="0" collapsed="false">
      <c r="A49" s="357" t="s">
        <v>476</v>
      </c>
      <c r="B49" s="339" t="n">
        <v>0.0066</v>
      </c>
      <c r="C49" s="331"/>
      <c r="D49" s="340" t="s">
        <v>476</v>
      </c>
      <c r="E49" s="341" t="n">
        <v>0.0774</v>
      </c>
      <c r="F49" s="331"/>
      <c r="G49" s="338" t="s">
        <v>476</v>
      </c>
      <c r="H49" s="339" t="n">
        <v>0.0286</v>
      </c>
      <c r="I49" s="331"/>
      <c r="J49" s="342" t="s">
        <v>476</v>
      </c>
      <c r="K49" s="339" t="n">
        <v>0.0103</v>
      </c>
      <c r="L49" s="331"/>
      <c r="M49" s="343" t="s">
        <v>476</v>
      </c>
      <c r="N49" s="344" t="n">
        <v>0.3898</v>
      </c>
      <c r="O49" s="331"/>
      <c r="P49" s="74"/>
      <c r="Q49" s="351"/>
      <c r="R49" s="331"/>
      <c r="S49" s="356"/>
      <c r="T49" s="355"/>
      <c r="U49" s="331"/>
      <c r="V49" s="356"/>
      <c r="W49" s="355"/>
      <c r="X49" s="331"/>
      <c r="Y49" s="331"/>
      <c r="Z49" s="331"/>
      <c r="AL49" s="378"/>
    </row>
    <row r="50" customFormat="false" ht="12.75" hidden="false" customHeight="false" outlineLevel="0" collapsed="false">
      <c r="A50" s="338" t="s">
        <v>120</v>
      </c>
      <c r="B50" s="339" t="n">
        <v>0.0022</v>
      </c>
      <c r="C50" s="331"/>
      <c r="D50" s="340" t="s">
        <v>120</v>
      </c>
      <c r="E50" s="341" t="n">
        <f aca="false">0.007+0.0022+0.0097</f>
        <v>0.0189</v>
      </c>
      <c r="F50" s="346"/>
      <c r="G50" s="338" t="s">
        <v>120</v>
      </c>
      <c r="H50" s="339" t="n">
        <f aca="false">0.0022+0.007+0.0225</f>
        <v>0.0317</v>
      </c>
      <c r="I50" s="331"/>
      <c r="J50" s="342" t="s">
        <v>120</v>
      </c>
      <c r="K50" s="339" t="n">
        <f aca="false">0.0022+0.007</f>
        <v>0.0092</v>
      </c>
      <c r="L50" s="331"/>
      <c r="M50" s="343" t="s">
        <v>120</v>
      </c>
      <c r="N50" s="344" t="n">
        <f aca="false">0.0022+0.007</f>
        <v>0.0092</v>
      </c>
      <c r="O50" s="331"/>
      <c r="P50" s="367"/>
      <c r="Q50" s="330"/>
      <c r="R50" s="331"/>
      <c r="S50" s="359" t="s">
        <v>465</v>
      </c>
      <c r="T50" s="360" t="s">
        <v>554</v>
      </c>
      <c r="U50" s="331"/>
      <c r="V50" s="359"/>
      <c r="W50" s="360"/>
      <c r="X50" s="331"/>
      <c r="Y50" s="331"/>
      <c r="Z50" s="331"/>
      <c r="AH50" s="375" t="n">
        <v>36923</v>
      </c>
      <c r="AK50" s="375"/>
    </row>
    <row r="51" customFormat="false" ht="12.75" hidden="false" customHeight="false" outlineLevel="0" collapsed="false">
      <c r="A51" s="347" t="n">
        <v>0.0086</v>
      </c>
      <c r="B51" s="348" t="n">
        <f aca="false">B$5/(1-A51)-B$5</f>
        <v>0.0448476901351631</v>
      </c>
      <c r="C51" s="346"/>
      <c r="D51" s="349" t="n">
        <v>0.0044</v>
      </c>
      <c r="E51" s="350" t="n">
        <f aca="false">(E$4)/(1-D51)-E$4</f>
        <v>0.0233346725592609</v>
      </c>
      <c r="F51" s="351"/>
      <c r="G51" s="347" t="n">
        <v>0.0095</v>
      </c>
      <c r="H51" s="348" t="n">
        <f aca="false">(H$4)/(1-G51)-H$4</f>
        <v>0.0503054013124684</v>
      </c>
      <c r="I51" s="346"/>
      <c r="J51" s="349" t="n">
        <v>0.0318</v>
      </c>
      <c r="K51" s="376" t="n">
        <f aca="false">(K$4)/(1-J51)-K$4</f>
        <v>0.16882049163396</v>
      </c>
      <c r="L51" s="346"/>
      <c r="M51" s="349" t="n">
        <v>0.0734</v>
      </c>
      <c r="N51" s="350" t="n">
        <f aca="false">(N$4)/(1-M51)-N$4</f>
        <v>0.407161666306929</v>
      </c>
      <c r="O51" s="346"/>
      <c r="P51" s="368"/>
      <c r="Q51" s="331"/>
      <c r="R51" s="346"/>
      <c r="S51" s="340" t="s">
        <v>476</v>
      </c>
      <c r="T51" s="344" t="n">
        <v>0.03</v>
      </c>
      <c r="U51" s="346"/>
      <c r="V51" s="340"/>
      <c r="W51" s="344"/>
      <c r="X51" s="346"/>
      <c r="Y51" s="346"/>
      <c r="Z51" s="346"/>
      <c r="AH51" s="377" t="s">
        <v>546</v>
      </c>
      <c r="AI51" s="378" t="n">
        <v>0.005</v>
      </c>
      <c r="AK51" s="377"/>
      <c r="AL51" s="378"/>
    </row>
    <row r="52" customFormat="false" ht="12.75" hidden="false" customHeight="false" outlineLevel="0" collapsed="false">
      <c r="A52" s="338"/>
      <c r="B52" s="354" t="n">
        <f aca="false">SUM(B49:B51)</f>
        <v>0.0536476901351631</v>
      </c>
      <c r="C52" s="351"/>
      <c r="D52" s="340"/>
      <c r="E52" s="355" t="n">
        <f aca="false">SUM(E49:E51)</f>
        <v>0.119634672559261</v>
      </c>
      <c r="F52" s="374"/>
      <c r="G52" s="353"/>
      <c r="H52" s="354" t="n">
        <f aca="false">SUM(H49:H51)</f>
        <v>0.110605401312468</v>
      </c>
      <c r="I52" s="351"/>
      <c r="J52" s="342"/>
      <c r="K52" s="354" t="n">
        <f aca="false">SUM(K49:K51)</f>
        <v>0.18832049163396</v>
      </c>
      <c r="L52" s="351"/>
      <c r="M52" s="343"/>
      <c r="N52" s="355" t="n">
        <f aca="false">SUM(N49:N51)</f>
        <v>0.806161666306929</v>
      </c>
      <c r="O52" s="351"/>
      <c r="P52" s="368"/>
      <c r="Q52" s="331"/>
      <c r="R52" s="351"/>
      <c r="S52" s="340" t="s">
        <v>120</v>
      </c>
      <c r="T52" s="344" t="n">
        <v>0.0022</v>
      </c>
      <c r="U52" s="351"/>
      <c r="V52" s="340"/>
      <c r="W52" s="344"/>
      <c r="X52" s="351"/>
      <c r="Y52" s="351"/>
      <c r="Z52" s="351"/>
      <c r="AH52" s="28" t="s">
        <v>547</v>
      </c>
      <c r="AI52" s="378" t="n">
        <v>0.01</v>
      </c>
      <c r="AL52" s="378"/>
    </row>
    <row r="53" customFormat="false" ht="12.75" hidden="false" customHeight="false" outlineLevel="0" collapsed="false">
      <c r="A53" s="353" t="s">
        <v>92</v>
      </c>
      <c r="B53" s="329" t="s">
        <v>555</v>
      </c>
      <c r="C53" s="374"/>
      <c r="D53" s="28" t="s">
        <v>92</v>
      </c>
      <c r="E53" s="28" t="s">
        <v>556</v>
      </c>
      <c r="F53" s="331"/>
      <c r="G53" s="357" t="s">
        <v>459</v>
      </c>
      <c r="H53" s="358" t="s">
        <v>557</v>
      </c>
      <c r="I53" s="374"/>
      <c r="J53" s="333" t="s">
        <v>461</v>
      </c>
      <c r="K53" s="329" t="s">
        <v>543</v>
      </c>
      <c r="L53" s="374"/>
      <c r="M53" s="334" t="s">
        <v>463</v>
      </c>
      <c r="N53" s="335" t="s">
        <v>558</v>
      </c>
      <c r="O53" s="374"/>
      <c r="P53" s="368"/>
      <c r="Q53" s="346"/>
      <c r="R53" s="374"/>
      <c r="S53" s="340" t="s">
        <v>513</v>
      </c>
      <c r="T53" s="350" t="n">
        <f aca="false">T4/(1-0.02902)-T4</f>
        <v>0.160824781916305</v>
      </c>
      <c r="U53" s="374"/>
      <c r="V53" s="340"/>
      <c r="W53" s="350"/>
      <c r="X53" s="374"/>
      <c r="Y53" s="330"/>
      <c r="Z53" s="330"/>
      <c r="AH53" s="28" t="s">
        <v>553</v>
      </c>
      <c r="AI53" s="378" t="n">
        <v>0.005</v>
      </c>
      <c r="AL53" s="378"/>
    </row>
    <row r="54" customFormat="false" ht="12.75" hidden="false" customHeight="false" outlineLevel="0" collapsed="false">
      <c r="A54" s="353" t="s">
        <v>476</v>
      </c>
      <c r="B54" s="339" t="n">
        <v>0.0201</v>
      </c>
      <c r="C54" s="331"/>
      <c r="D54" s="340" t="s">
        <v>476</v>
      </c>
      <c r="E54" s="341" t="n">
        <v>0.2005</v>
      </c>
      <c r="F54" s="331"/>
      <c r="G54" s="338" t="s">
        <v>476</v>
      </c>
      <c r="H54" s="339" t="n">
        <v>0.0572</v>
      </c>
      <c r="I54" s="331"/>
      <c r="J54" s="342" t="s">
        <v>476</v>
      </c>
      <c r="K54" s="339" t="n">
        <v>0.0244</v>
      </c>
      <c r="L54" s="331"/>
      <c r="M54" s="343" t="s">
        <v>476</v>
      </c>
      <c r="N54" s="344" t="n">
        <v>0.4869</v>
      </c>
      <c r="O54" s="331"/>
      <c r="P54" s="74"/>
      <c r="Q54" s="351"/>
      <c r="R54" s="331"/>
      <c r="S54" s="356"/>
      <c r="T54" s="355" t="n">
        <f aca="false">SUM(T51:T53)</f>
        <v>0.193024781916305</v>
      </c>
      <c r="U54" s="331"/>
      <c r="V54" s="356"/>
      <c r="W54" s="355"/>
      <c r="X54" s="331"/>
      <c r="Y54" s="331"/>
      <c r="Z54" s="331"/>
      <c r="AL54" s="378"/>
    </row>
    <row r="55" customFormat="false" ht="12.75" hidden="false" customHeight="false" outlineLevel="0" collapsed="false">
      <c r="A55" s="357" t="s">
        <v>120</v>
      </c>
      <c r="B55" s="339" t="n">
        <f aca="false">0.0022+0.007+0.0097</f>
        <v>0.0189</v>
      </c>
      <c r="C55" s="331"/>
      <c r="D55" s="340" t="s">
        <v>120</v>
      </c>
      <c r="E55" s="341" t="n">
        <f aca="false">0.007+0.0022+0.0097</f>
        <v>0.0189</v>
      </c>
      <c r="F55" s="346"/>
      <c r="G55" s="338" t="s">
        <v>120</v>
      </c>
      <c r="H55" s="339" t="n">
        <f aca="false">0.0022+0.007+0.0225</f>
        <v>0.0317</v>
      </c>
      <c r="I55" s="331"/>
      <c r="J55" s="342" t="s">
        <v>120</v>
      </c>
      <c r="K55" s="339" t="n">
        <f aca="false">0.0022+0.007</f>
        <v>0.0092</v>
      </c>
      <c r="L55" s="331"/>
      <c r="M55" s="343" t="s">
        <v>120</v>
      </c>
      <c r="N55" s="344" t="n">
        <f aca="false">0.0022+0.007</f>
        <v>0.0092</v>
      </c>
      <c r="O55" s="331"/>
      <c r="P55" s="330"/>
      <c r="Q55" s="351"/>
      <c r="R55" s="331"/>
      <c r="S55" s="330"/>
      <c r="T55" s="351" t="n">
        <f aca="false">+T54+T48</f>
        <v>0.262460162519107</v>
      </c>
      <c r="U55" s="331"/>
      <c r="V55" s="330"/>
      <c r="W55" s="351"/>
      <c r="X55" s="331"/>
      <c r="Y55" s="331"/>
      <c r="Z55" s="331"/>
      <c r="AH55" s="375" t="n">
        <v>36892</v>
      </c>
      <c r="AK55" s="375"/>
    </row>
    <row r="56" customFormat="false" ht="12.75" hidden="false" customHeight="false" outlineLevel="0" collapsed="false">
      <c r="A56" s="347" t="n">
        <v>0.0275</v>
      </c>
      <c r="B56" s="348" t="n">
        <f aca="false">B$5/(1-A56)-B$5</f>
        <v>0.146195372750642</v>
      </c>
      <c r="C56" s="346"/>
      <c r="D56" s="349" t="n">
        <v>0.0233</v>
      </c>
      <c r="E56" s="350" t="n">
        <f aca="false">(E$4)/(1-D56)-E$4</f>
        <v>0.125958840995188</v>
      </c>
      <c r="F56" s="351"/>
      <c r="G56" s="347" t="n">
        <v>0.017</v>
      </c>
      <c r="H56" s="348" t="n">
        <f aca="false">(H$4)/(1-G56)-H$4</f>
        <v>0.0907070193285859</v>
      </c>
      <c r="I56" s="346"/>
      <c r="J56" s="349" t="n">
        <v>0.0602</v>
      </c>
      <c r="K56" s="376" t="n">
        <f aca="false">(K$4)/(1-J56)-K$4</f>
        <v>0.32924877633539</v>
      </c>
      <c r="L56" s="346"/>
      <c r="M56" s="349" t="n">
        <v>0.0823</v>
      </c>
      <c r="N56" s="350" t="n">
        <f aca="false">(N$4)/(1-M56)-N$4</f>
        <v>0.460958919036722</v>
      </c>
      <c r="O56" s="346"/>
      <c r="P56" s="367"/>
      <c r="Q56" s="330"/>
      <c r="R56" s="346"/>
      <c r="S56" s="336" t="s">
        <v>9</v>
      </c>
      <c r="T56" s="337" t="s">
        <v>9</v>
      </c>
      <c r="U56" s="346"/>
      <c r="V56" s="336"/>
      <c r="W56" s="337"/>
      <c r="X56" s="346"/>
      <c r="Y56" s="346"/>
      <c r="Z56" s="346"/>
      <c r="AH56" s="377" t="s">
        <v>546</v>
      </c>
      <c r="AI56" s="378" t="n">
        <v>0.005</v>
      </c>
      <c r="AK56" s="377"/>
      <c r="AL56" s="378"/>
    </row>
    <row r="57" customFormat="false" ht="12.75" hidden="false" customHeight="false" outlineLevel="0" collapsed="false">
      <c r="A57" s="338"/>
      <c r="B57" s="354" t="n">
        <f aca="false">SUM(B54:B56)</f>
        <v>0.185195372750642</v>
      </c>
      <c r="C57" s="351"/>
      <c r="D57" s="340"/>
      <c r="E57" s="355" t="n">
        <f aca="false">SUM(E54:E56)</f>
        <v>0.345358840995188</v>
      </c>
      <c r="F57" s="330"/>
      <c r="G57" s="353"/>
      <c r="H57" s="354" t="n">
        <f aca="false">SUM(H54:H56)</f>
        <v>0.179607019328586</v>
      </c>
      <c r="I57" s="351"/>
      <c r="J57" s="342"/>
      <c r="K57" s="354" t="n">
        <f aca="false">SUM(K54:K56)</f>
        <v>0.36284877633539</v>
      </c>
      <c r="L57" s="351"/>
      <c r="M57" s="343"/>
      <c r="N57" s="355" t="n">
        <f aca="false">SUM(N54:N56)</f>
        <v>0.957058919036722</v>
      </c>
      <c r="O57" s="351"/>
      <c r="P57" s="368"/>
      <c r="Q57" s="331"/>
      <c r="R57" s="351"/>
      <c r="S57" s="340"/>
      <c r="T57" s="344" t="s">
        <v>9</v>
      </c>
      <c r="U57" s="351"/>
      <c r="V57" s="340"/>
      <c r="W57" s="344"/>
      <c r="X57" s="351"/>
      <c r="Y57" s="351"/>
      <c r="Z57" s="351"/>
      <c r="AH57" s="28" t="s">
        <v>547</v>
      </c>
      <c r="AI57" s="378" t="n">
        <v>0.01</v>
      </c>
      <c r="AL57" s="378"/>
    </row>
    <row r="58" customFormat="false" ht="12.75" hidden="false" customHeight="false" outlineLevel="0" collapsed="false">
      <c r="A58" s="353" t="s">
        <v>92</v>
      </c>
      <c r="B58" s="329" t="s">
        <v>559</v>
      </c>
      <c r="C58" s="374"/>
      <c r="D58" s="28" t="s">
        <v>92</v>
      </c>
      <c r="E58" s="28" t="s">
        <v>560</v>
      </c>
      <c r="F58" s="331"/>
      <c r="G58" s="357" t="s">
        <v>459</v>
      </c>
      <c r="H58" s="358" t="s">
        <v>561</v>
      </c>
      <c r="I58" s="330"/>
      <c r="J58" s="333" t="s">
        <v>461</v>
      </c>
      <c r="K58" s="329" t="s">
        <v>552</v>
      </c>
      <c r="L58" s="330"/>
      <c r="M58" s="334" t="s">
        <v>463</v>
      </c>
      <c r="N58" s="335" t="s">
        <v>562</v>
      </c>
      <c r="O58" s="330"/>
      <c r="P58" s="368"/>
      <c r="Q58" s="331"/>
      <c r="R58" s="374"/>
      <c r="S58" s="340"/>
      <c r="T58" s="344"/>
      <c r="U58" s="374"/>
      <c r="V58" s="340"/>
      <c r="W58" s="344"/>
      <c r="X58" s="374"/>
      <c r="Y58" s="330"/>
      <c r="Z58" s="330"/>
      <c r="AH58" s="28" t="s">
        <v>553</v>
      </c>
      <c r="AI58" s="378" t="n">
        <v>0.005</v>
      </c>
      <c r="AL58" s="378"/>
    </row>
    <row r="59" customFormat="false" ht="12.75" hidden="false" customHeight="false" outlineLevel="0" collapsed="false">
      <c r="A59" s="353" t="s">
        <v>476</v>
      </c>
      <c r="B59" s="339" t="n">
        <v>0.0309</v>
      </c>
      <c r="C59" s="331"/>
      <c r="D59" s="340" t="s">
        <v>476</v>
      </c>
      <c r="E59" s="341" t="n">
        <v>0.3421</v>
      </c>
      <c r="F59" s="331"/>
      <c r="G59" s="338" t="s">
        <v>476</v>
      </c>
      <c r="H59" s="339" t="n">
        <v>0.0776</v>
      </c>
      <c r="I59" s="331"/>
      <c r="J59" s="342" t="s">
        <v>476</v>
      </c>
      <c r="K59" s="339" t="n">
        <v>0.0447</v>
      </c>
      <c r="L59" s="331"/>
      <c r="M59" s="343" t="s">
        <v>476</v>
      </c>
      <c r="N59" s="344" t="n">
        <v>0.0953</v>
      </c>
      <c r="O59" s="331"/>
      <c r="P59" s="368"/>
      <c r="Q59" s="346"/>
      <c r="R59" s="331"/>
      <c r="S59" s="340"/>
      <c r="T59" s="350"/>
      <c r="U59" s="331"/>
      <c r="V59" s="340"/>
      <c r="W59" s="350"/>
      <c r="X59" s="331"/>
      <c r="Y59" s="331"/>
      <c r="Z59" s="331"/>
      <c r="AL59" s="378"/>
    </row>
    <row r="60" customFormat="false" ht="12.75" hidden="false" customHeight="false" outlineLevel="0" collapsed="false">
      <c r="A60" s="357" t="s">
        <v>120</v>
      </c>
      <c r="B60" s="339" t="n">
        <f aca="false">0.0022+0.007+0.0097</f>
        <v>0.0189</v>
      </c>
      <c r="C60" s="331"/>
      <c r="D60" s="340" t="s">
        <v>120</v>
      </c>
      <c r="E60" s="341" t="n">
        <f aca="false">0.0097+0.007+0.0022</f>
        <v>0.0189</v>
      </c>
      <c r="F60" s="346"/>
      <c r="G60" s="338" t="s">
        <v>120</v>
      </c>
      <c r="H60" s="339" t="n">
        <f aca="false">0.0022+0.007</f>
        <v>0.0092</v>
      </c>
      <c r="I60" s="331"/>
      <c r="J60" s="342" t="s">
        <v>120</v>
      </c>
      <c r="K60" s="339" t="n">
        <f aca="false">0.0022+0.007</f>
        <v>0.0092</v>
      </c>
      <c r="L60" s="331"/>
      <c r="M60" s="343" t="s">
        <v>120</v>
      </c>
      <c r="N60" s="344" t="n">
        <f aca="false">0.0022+0.007</f>
        <v>0.0092</v>
      </c>
      <c r="O60" s="331"/>
      <c r="P60" s="74"/>
      <c r="Q60" s="351"/>
      <c r="R60" s="331"/>
      <c r="S60" s="356" t="s">
        <v>9</v>
      </c>
      <c r="T60" s="355" t="s">
        <v>9</v>
      </c>
      <c r="U60" s="331"/>
      <c r="V60" s="356"/>
      <c r="W60" s="355"/>
      <c r="X60" s="331"/>
      <c r="Y60" s="331"/>
      <c r="Z60" s="331"/>
      <c r="AH60" s="375" t="n">
        <v>36861</v>
      </c>
      <c r="AK60" s="375"/>
    </row>
    <row r="61" customFormat="false" ht="12.75" hidden="false" customHeight="false" outlineLevel="0" collapsed="false">
      <c r="A61" s="347" t="n">
        <v>0.0423</v>
      </c>
      <c r="B61" s="348" t="n">
        <f aca="false">B$5/(1-A61)-B$5</f>
        <v>0.228350214054506</v>
      </c>
      <c r="C61" s="346"/>
      <c r="D61" s="349" t="n">
        <v>0.0462</v>
      </c>
      <c r="E61" s="350" t="n">
        <f aca="false">(E$4)/(1-D61)-E$4</f>
        <v>0.255751729922416</v>
      </c>
      <c r="F61" s="351"/>
      <c r="G61" s="347" t="n">
        <v>0.0369</v>
      </c>
      <c r="H61" s="348" t="n">
        <f aca="false">(H$4)/(1-G61)-H$4</f>
        <v>0.200955767833039</v>
      </c>
      <c r="I61" s="346"/>
      <c r="J61" s="349" t="n">
        <v>0.0734</v>
      </c>
      <c r="K61" s="376" t="n">
        <f aca="false">(K$4)/(1-J61)-K$4</f>
        <v>0.407161666306929</v>
      </c>
      <c r="L61" s="346"/>
      <c r="M61" s="349" t="n">
        <v>0.0291</v>
      </c>
      <c r="N61" s="350" t="n">
        <f aca="false">(N$3)/(1-M61)-N$3</f>
        <v>0.151359563291791</v>
      </c>
      <c r="O61" s="346"/>
      <c r="P61" s="367"/>
      <c r="Q61" s="330"/>
      <c r="R61" s="346"/>
      <c r="S61" s="359" t="s">
        <v>9</v>
      </c>
      <c r="T61" s="360" t="s">
        <v>9</v>
      </c>
      <c r="U61" s="346"/>
      <c r="V61" s="359"/>
      <c r="W61" s="360"/>
      <c r="X61" s="346"/>
      <c r="Y61" s="346"/>
      <c r="Z61" s="346"/>
      <c r="AH61" s="377" t="s">
        <v>546</v>
      </c>
      <c r="AI61" s="378" t="n">
        <v>0.005</v>
      </c>
      <c r="AK61" s="377"/>
      <c r="AL61" s="378"/>
    </row>
    <row r="62" customFormat="false" ht="12.75" hidden="false" customHeight="false" outlineLevel="0" collapsed="false">
      <c r="A62" s="338"/>
      <c r="B62" s="354" t="n">
        <f aca="false">SUM(B59:B61)</f>
        <v>0.278150214054506</v>
      </c>
      <c r="C62" s="351"/>
      <c r="D62" s="340"/>
      <c r="E62" s="355" t="n">
        <f aca="false">SUM(E59:E61)</f>
        <v>0.616751729922416</v>
      </c>
      <c r="F62" s="330"/>
      <c r="G62" s="353"/>
      <c r="H62" s="354" t="n">
        <f aca="false">SUM(H59:H61)</f>
        <v>0.287755767833039</v>
      </c>
      <c r="I62" s="351"/>
      <c r="J62" s="342"/>
      <c r="K62" s="354" t="n">
        <f aca="false">SUM(K59:K61)</f>
        <v>0.461061666306929</v>
      </c>
      <c r="L62" s="351"/>
      <c r="M62" s="343"/>
      <c r="N62" s="355" t="n">
        <f aca="false">SUM(N59:N61)</f>
        <v>0.255859563291791</v>
      </c>
      <c r="O62" s="351"/>
      <c r="P62" s="368"/>
      <c r="Q62" s="331"/>
      <c r="R62" s="351"/>
      <c r="S62" s="340" t="s">
        <v>9</v>
      </c>
      <c r="T62" s="344" t="s">
        <v>9</v>
      </c>
      <c r="U62" s="351"/>
      <c r="V62" s="340"/>
      <c r="W62" s="344"/>
      <c r="X62" s="351"/>
      <c r="Y62" s="351"/>
      <c r="Z62" s="351"/>
      <c r="AH62" s="28" t="s">
        <v>547</v>
      </c>
      <c r="AI62" s="378" t="n">
        <v>0.01</v>
      </c>
      <c r="AL62" s="378"/>
    </row>
    <row r="63" customFormat="false" ht="12.75" hidden="false" customHeight="false" outlineLevel="0" collapsed="false">
      <c r="A63" s="338" t="s">
        <v>92</v>
      </c>
      <c r="B63" s="329" t="s">
        <v>563</v>
      </c>
      <c r="C63" s="330"/>
      <c r="D63" s="28" t="s">
        <v>92</v>
      </c>
      <c r="E63" s="28" t="s">
        <v>564</v>
      </c>
      <c r="F63" s="331"/>
      <c r="G63" s="357" t="s">
        <v>459</v>
      </c>
      <c r="H63" s="358" t="s">
        <v>565</v>
      </c>
      <c r="I63" s="330"/>
      <c r="J63" s="333" t="s">
        <v>461</v>
      </c>
      <c r="K63" s="329" t="s">
        <v>558</v>
      </c>
      <c r="L63" s="330"/>
      <c r="M63" s="334" t="s">
        <v>463</v>
      </c>
      <c r="N63" s="335" t="s">
        <v>566</v>
      </c>
      <c r="O63" s="330"/>
      <c r="P63" s="368"/>
      <c r="Q63" s="331"/>
      <c r="R63" s="330"/>
      <c r="S63" s="340" t="s">
        <v>9</v>
      </c>
      <c r="T63" s="344" t="s">
        <v>9</v>
      </c>
      <c r="U63" s="330"/>
      <c r="V63" s="340"/>
      <c r="W63" s="344"/>
      <c r="X63" s="330"/>
      <c r="Y63" s="322"/>
      <c r="Z63" s="322"/>
      <c r="AH63" s="28" t="s">
        <v>553</v>
      </c>
      <c r="AI63" s="378" t="n">
        <v>0.005</v>
      </c>
      <c r="AL63" s="378"/>
    </row>
    <row r="64" customFormat="false" ht="12.75" hidden="false" customHeight="false" outlineLevel="0" collapsed="false">
      <c r="A64" s="353" t="s">
        <v>476</v>
      </c>
      <c r="B64" s="339" t="n">
        <v>0.0367</v>
      </c>
      <c r="C64" s="331"/>
      <c r="D64" s="340" t="s">
        <v>476</v>
      </c>
      <c r="E64" s="341" t="n">
        <v>0.1672</v>
      </c>
      <c r="F64" s="331"/>
      <c r="G64" s="338" t="s">
        <v>476</v>
      </c>
      <c r="H64" s="339" t="n">
        <v>0.0874</v>
      </c>
      <c r="I64" s="331"/>
      <c r="J64" s="342" t="s">
        <v>476</v>
      </c>
      <c r="K64" s="339" t="n">
        <v>0.0586</v>
      </c>
      <c r="L64" s="331"/>
      <c r="M64" s="343" t="s">
        <v>476</v>
      </c>
      <c r="N64" s="344" t="n">
        <v>0.0791</v>
      </c>
      <c r="O64" s="331"/>
      <c r="P64" s="368"/>
      <c r="Q64" s="346"/>
      <c r="R64" s="331"/>
      <c r="S64" s="340" t="s">
        <v>9</v>
      </c>
      <c r="T64" s="350" t="s">
        <v>9</v>
      </c>
      <c r="U64" s="331"/>
      <c r="V64" s="340"/>
      <c r="W64" s="350"/>
      <c r="X64" s="331"/>
      <c r="Y64" s="331"/>
      <c r="Z64" s="331"/>
      <c r="AL64" s="378"/>
    </row>
    <row r="65" customFormat="false" ht="12.75" hidden="false" customHeight="false" outlineLevel="0" collapsed="false">
      <c r="A65" s="153" t="s">
        <v>120</v>
      </c>
      <c r="B65" s="339" t="n">
        <f aca="false">0.0022+0.007+0.0097</f>
        <v>0.0189</v>
      </c>
      <c r="C65" s="331"/>
      <c r="D65" s="340" t="s">
        <v>120</v>
      </c>
      <c r="E65" s="344" t="n">
        <f aca="false">0.0022+0.007+0.0097</f>
        <v>0.0189</v>
      </c>
      <c r="F65" s="346"/>
      <c r="G65" s="338" t="s">
        <v>120</v>
      </c>
      <c r="H65" s="339" t="n">
        <f aca="false">0.0022</f>
        <v>0.0022</v>
      </c>
      <c r="I65" s="331"/>
      <c r="J65" s="342" t="s">
        <v>120</v>
      </c>
      <c r="K65" s="339" t="n">
        <f aca="false">0.0022+0.007</f>
        <v>0.0092</v>
      </c>
      <c r="L65" s="331"/>
      <c r="M65" s="343" t="s">
        <v>120</v>
      </c>
      <c r="N65" s="344" t="n">
        <f aca="false">0.0022+0.007</f>
        <v>0.0092</v>
      </c>
      <c r="O65" s="331"/>
      <c r="P65" s="74"/>
      <c r="Q65" s="351"/>
      <c r="R65" s="331"/>
      <c r="S65" s="356"/>
      <c r="T65" s="355" t="s">
        <v>9</v>
      </c>
      <c r="U65" s="331"/>
      <c r="V65" s="356"/>
      <c r="W65" s="355"/>
      <c r="X65" s="331"/>
      <c r="Y65" s="331"/>
      <c r="Z65" s="331"/>
      <c r="AH65" s="375" t="n">
        <v>36831</v>
      </c>
      <c r="AK65" s="375"/>
    </row>
    <row r="66" customFormat="false" ht="12.75" hidden="false" customHeight="false" outlineLevel="0" collapsed="false">
      <c r="A66" s="347" t="n">
        <v>0.0504</v>
      </c>
      <c r="B66" s="348" t="n">
        <f aca="false">B$5/(1-A66)-B$5</f>
        <v>0.274397641112047</v>
      </c>
      <c r="C66" s="346"/>
      <c r="D66" s="349" t="n">
        <v>0.0189</v>
      </c>
      <c r="E66" s="350" t="n">
        <f aca="false">(E$3)/(1-D66)-E$3</f>
        <v>0.102099684028132</v>
      </c>
      <c r="F66" s="351"/>
      <c r="G66" s="347" t="n">
        <v>0.0429</v>
      </c>
      <c r="H66" s="348" t="n">
        <f aca="false">(H$4)/(1-G66)-H$4</f>
        <v>0.235096123707032</v>
      </c>
      <c r="I66" s="346"/>
      <c r="J66" s="349" t="n">
        <v>0.0823</v>
      </c>
      <c r="K66" s="376" t="n">
        <f aca="false">(K$4)/(1-J66)-K$4</f>
        <v>0.460958919036722</v>
      </c>
      <c r="L66" s="346"/>
      <c r="M66" s="349" t="n">
        <v>0.0291</v>
      </c>
      <c r="N66" s="350" t="n">
        <f aca="false">(N$3)/(1-M66)-N$3</f>
        <v>0.151359563291791</v>
      </c>
      <c r="O66" s="346"/>
      <c r="P66" s="367"/>
      <c r="Q66" s="330"/>
      <c r="R66" s="346"/>
      <c r="S66" s="359" t="s">
        <v>9</v>
      </c>
      <c r="T66" s="360" t="s">
        <v>9</v>
      </c>
      <c r="U66" s="346"/>
      <c r="V66" s="359"/>
      <c r="W66" s="360"/>
      <c r="X66" s="346"/>
      <c r="Y66" s="346"/>
      <c r="Z66" s="346"/>
      <c r="AH66" s="377" t="s">
        <v>546</v>
      </c>
      <c r="AI66" s="378" t="n">
        <v>0.003</v>
      </c>
      <c r="AK66" s="377"/>
      <c r="AL66" s="378"/>
    </row>
    <row r="67" customFormat="false" ht="12.75" hidden="false" customHeight="false" outlineLevel="0" collapsed="false">
      <c r="A67" s="338"/>
      <c r="B67" s="354" t="n">
        <f aca="false">SUM(B64:B66)</f>
        <v>0.329997641112047</v>
      </c>
      <c r="C67" s="351"/>
      <c r="D67" s="340"/>
      <c r="E67" s="355" t="n">
        <f aca="false">SUM(E64:E66)</f>
        <v>0.288199684028132</v>
      </c>
      <c r="F67" s="322"/>
      <c r="G67" s="353"/>
      <c r="H67" s="354" t="n">
        <f aca="false">SUM(H64:H66)</f>
        <v>0.324696123707032</v>
      </c>
      <c r="I67" s="351"/>
      <c r="J67" s="342"/>
      <c r="K67" s="354" t="n">
        <f aca="false">SUM(K64:K66)</f>
        <v>0.528758919036722</v>
      </c>
      <c r="L67" s="351"/>
      <c r="M67" s="343"/>
      <c r="N67" s="355" t="n">
        <f aca="false">SUM(N64:N66)</f>
        <v>0.239659563291791</v>
      </c>
      <c r="O67" s="351"/>
      <c r="P67" s="368"/>
      <c r="Q67" s="331"/>
      <c r="R67" s="351"/>
      <c r="S67" s="340"/>
      <c r="T67" s="344"/>
      <c r="U67" s="351"/>
      <c r="V67" s="340"/>
      <c r="W67" s="344"/>
      <c r="X67" s="351"/>
      <c r="Y67" s="351"/>
      <c r="Z67" s="351"/>
      <c r="AH67" s="28" t="s">
        <v>547</v>
      </c>
      <c r="AI67" s="378" t="n">
        <v>0.006</v>
      </c>
      <c r="AL67" s="378"/>
    </row>
    <row r="68" customFormat="false" ht="12.75" hidden="false" customHeight="false" outlineLevel="0" collapsed="false">
      <c r="A68" s="338" t="s">
        <v>92</v>
      </c>
      <c r="B68" s="329" t="s">
        <v>567</v>
      </c>
      <c r="C68" s="330"/>
      <c r="D68" s="28" t="s">
        <v>92</v>
      </c>
      <c r="E68" s="28" t="s">
        <v>568</v>
      </c>
      <c r="F68" s="331"/>
      <c r="G68" s="357" t="s">
        <v>459</v>
      </c>
      <c r="H68" s="358" t="s">
        <v>569</v>
      </c>
      <c r="I68" s="322"/>
      <c r="J68" s="333" t="s">
        <v>461</v>
      </c>
      <c r="K68" s="329" t="s">
        <v>570</v>
      </c>
      <c r="L68" s="322"/>
      <c r="M68" s="334" t="s">
        <v>463</v>
      </c>
      <c r="N68" s="335" t="s">
        <v>571</v>
      </c>
      <c r="O68" s="322"/>
      <c r="P68" s="368"/>
      <c r="Q68" s="331"/>
      <c r="R68" s="330"/>
      <c r="S68" s="340"/>
      <c r="T68" s="344"/>
      <c r="U68" s="330"/>
      <c r="V68" s="340"/>
      <c r="W68" s="344"/>
      <c r="X68" s="330"/>
      <c r="Y68" s="322"/>
      <c r="Z68" s="322"/>
      <c r="AH68" s="28" t="s">
        <v>553</v>
      </c>
      <c r="AI68" s="378" t="n">
        <v>0.003</v>
      </c>
      <c r="AL68" s="378"/>
    </row>
    <row r="69" customFormat="false" ht="12.75" hidden="false" customHeight="false" outlineLevel="0" collapsed="false">
      <c r="A69" s="338" t="s">
        <v>476</v>
      </c>
      <c r="B69" s="339" t="n">
        <v>0.0035</v>
      </c>
      <c r="C69" s="331"/>
      <c r="D69" s="340" t="s">
        <v>476</v>
      </c>
      <c r="E69" s="341" t="n">
        <v>0.2591</v>
      </c>
      <c r="F69" s="331"/>
      <c r="G69" s="338" t="s">
        <v>476</v>
      </c>
      <c r="H69" s="339" t="n">
        <v>0.1014</v>
      </c>
      <c r="I69" s="331"/>
      <c r="J69" s="342" t="s">
        <v>476</v>
      </c>
      <c r="K69" s="339" t="n">
        <v>0.014</v>
      </c>
      <c r="L69" s="331"/>
      <c r="M69" s="343" t="s">
        <v>476</v>
      </c>
      <c r="N69" s="344" t="n">
        <v>0.2315</v>
      </c>
      <c r="O69" s="331"/>
      <c r="P69" s="368"/>
      <c r="Q69" s="346"/>
      <c r="R69" s="331"/>
      <c r="S69" s="340"/>
      <c r="T69" s="350"/>
      <c r="U69" s="331"/>
      <c r="V69" s="340"/>
      <c r="W69" s="350"/>
      <c r="X69" s="331"/>
      <c r="Y69" s="331"/>
      <c r="Z69" s="331"/>
      <c r="AL69" s="378"/>
    </row>
    <row r="70" customFormat="false" ht="12.75" hidden="false" customHeight="false" outlineLevel="0" collapsed="false">
      <c r="A70" s="353" t="s">
        <v>120</v>
      </c>
      <c r="B70" s="339" t="n">
        <f aca="false">0.0022+0.007+0.0097</f>
        <v>0.0189</v>
      </c>
      <c r="C70" s="331"/>
      <c r="D70" s="340" t="s">
        <v>120</v>
      </c>
      <c r="E70" s="344" t="n">
        <f aca="false">0.0022+0.007+0.0097</f>
        <v>0.0189</v>
      </c>
      <c r="F70" s="346"/>
      <c r="G70" s="338" t="s">
        <v>120</v>
      </c>
      <c r="H70" s="339" t="n">
        <f aca="false">0.0022+0.007</f>
        <v>0.0092</v>
      </c>
      <c r="I70" s="331"/>
      <c r="J70" s="342" t="s">
        <v>120</v>
      </c>
      <c r="K70" s="339" t="n">
        <f aca="false">0.0022+0.007</f>
        <v>0.0092</v>
      </c>
      <c r="L70" s="331"/>
      <c r="M70" s="343" t="s">
        <v>120</v>
      </c>
      <c r="N70" s="344" t="n">
        <f aca="false">0.0022+0.007</f>
        <v>0.0092</v>
      </c>
      <c r="O70" s="331"/>
      <c r="P70" s="356"/>
      <c r="Q70" s="355"/>
      <c r="R70" s="331"/>
      <c r="S70" s="356"/>
      <c r="T70" s="355"/>
      <c r="U70" s="331"/>
      <c r="V70" s="356"/>
      <c r="W70" s="355"/>
      <c r="X70" s="331"/>
      <c r="Y70" s="331"/>
      <c r="Z70" s="331"/>
      <c r="AH70" s="375" t="n">
        <v>36800</v>
      </c>
      <c r="AK70" s="375"/>
    </row>
    <row r="71" customFormat="false" ht="12.75" hidden="false" customHeight="false" outlineLevel="0" collapsed="false">
      <c r="A71" s="347" t="n">
        <v>0.0044</v>
      </c>
      <c r="B71" s="348" t="n">
        <f aca="false">(B$4)/(1-A71)-B$4</f>
        <v>0.0233346725592609</v>
      </c>
      <c r="C71" s="346"/>
      <c r="D71" s="349" t="n">
        <v>0.0337</v>
      </c>
      <c r="E71" s="350" t="n">
        <f aca="false">(E$3)/(1-D71)-E$3</f>
        <v>0.184839076891234</v>
      </c>
      <c r="F71" s="351"/>
      <c r="G71" s="347" t="n">
        <v>0.0506</v>
      </c>
      <c r="H71" s="348" t="n">
        <f aca="false">(H$4)/(1-G71)-H$4</f>
        <v>0.279541815883716</v>
      </c>
      <c r="I71" s="346"/>
      <c r="J71" s="349" t="n">
        <v>0.0294</v>
      </c>
      <c r="K71" s="376" t="n">
        <f aca="false">(K$3)/(1-J71)-K$3</f>
        <v>0.152967236760767</v>
      </c>
      <c r="L71" s="346"/>
      <c r="M71" s="349" t="n">
        <v>0.0575</v>
      </c>
      <c r="N71" s="350" t="n">
        <f aca="false">(N$3)/(1-M71)-N$3</f>
        <v>0.308090185676392</v>
      </c>
      <c r="O71" s="346"/>
      <c r="P71" s="330"/>
      <c r="Q71" s="330"/>
      <c r="R71" s="346"/>
      <c r="S71" s="330"/>
      <c r="T71" s="330"/>
      <c r="U71" s="346"/>
      <c r="V71" s="330"/>
      <c r="W71" s="330"/>
      <c r="X71" s="346"/>
      <c r="Y71" s="346"/>
      <c r="Z71" s="346"/>
      <c r="AH71" s="377" t="s">
        <v>546</v>
      </c>
      <c r="AI71" s="378" t="n">
        <v>0.001</v>
      </c>
      <c r="AK71" s="377"/>
      <c r="AL71" s="378"/>
    </row>
    <row r="72" customFormat="false" ht="12.75" hidden="false" customHeight="false" outlineLevel="0" collapsed="false">
      <c r="A72" s="338"/>
      <c r="B72" s="354" t="n">
        <f aca="false">SUM(B69:B71)</f>
        <v>0.0457346725592609</v>
      </c>
      <c r="C72" s="351"/>
      <c r="D72" s="349"/>
      <c r="E72" s="355" t="n">
        <f aca="false">SUM(E69:E71)</f>
        <v>0.462839076891234</v>
      </c>
      <c r="F72" s="322"/>
      <c r="G72" s="353"/>
      <c r="H72" s="354" t="n">
        <f aca="false">SUM(H69:H71)</f>
        <v>0.390141815883716</v>
      </c>
      <c r="I72" s="351"/>
      <c r="J72" s="342"/>
      <c r="K72" s="354" t="n">
        <f aca="false">SUM(K69:K71)</f>
        <v>0.176167236760767</v>
      </c>
      <c r="L72" s="351"/>
      <c r="M72" s="343"/>
      <c r="N72" s="355" t="n">
        <f aca="false">SUM(N69:N71)</f>
        <v>0.548790185676393</v>
      </c>
      <c r="O72" s="351"/>
      <c r="P72" s="331"/>
      <c r="Q72" s="331"/>
      <c r="R72" s="351"/>
      <c r="S72" s="331"/>
      <c r="T72" s="331"/>
      <c r="U72" s="351"/>
      <c r="V72" s="331"/>
      <c r="W72" s="331"/>
      <c r="X72" s="351"/>
      <c r="Y72" s="351"/>
      <c r="Z72" s="351"/>
      <c r="AH72" s="28" t="s">
        <v>547</v>
      </c>
      <c r="AI72" s="378" t="n">
        <v>0.002</v>
      </c>
      <c r="AL72" s="378"/>
    </row>
    <row r="73" customFormat="false" ht="12.75" hidden="false" customHeight="false" outlineLevel="0" collapsed="false">
      <c r="A73" s="338" t="s">
        <v>92</v>
      </c>
      <c r="B73" s="354" t="s">
        <v>572</v>
      </c>
      <c r="C73" s="322"/>
      <c r="D73" s="28" t="s">
        <v>573</v>
      </c>
      <c r="E73" s="28" t="s">
        <v>574</v>
      </c>
      <c r="F73" s="331"/>
      <c r="G73" s="357" t="s">
        <v>459</v>
      </c>
      <c r="H73" s="358" t="s">
        <v>575</v>
      </c>
      <c r="I73" s="322"/>
      <c r="J73" s="333" t="s">
        <v>461</v>
      </c>
      <c r="K73" s="329" t="s">
        <v>562</v>
      </c>
      <c r="L73" s="322"/>
      <c r="M73" s="334" t="s">
        <v>463</v>
      </c>
      <c r="N73" s="335" t="s">
        <v>576</v>
      </c>
      <c r="O73" s="322"/>
      <c r="P73" s="346"/>
      <c r="Q73" s="346"/>
      <c r="R73" s="322"/>
      <c r="S73" s="346"/>
      <c r="T73" s="346"/>
      <c r="U73" s="322"/>
      <c r="V73" s="346"/>
      <c r="W73" s="346"/>
      <c r="X73" s="322"/>
      <c r="Y73" s="322"/>
      <c r="Z73" s="322"/>
      <c r="AH73" s="28" t="s">
        <v>553</v>
      </c>
      <c r="AI73" s="378" t="n">
        <v>0.001</v>
      </c>
      <c r="AL73" s="378"/>
    </row>
    <row r="74" customFormat="false" ht="12.75" hidden="false" customHeight="false" outlineLevel="0" collapsed="false">
      <c r="A74" s="338" t="s">
        <v>476</v>
      </c>
      <c r="B74" s="380" t="n">
        <v>0.017</v>
      </c>
      <c r="C74" s="331"/>
      <c r="D74" s="340" t="s">
        <v>476</v>
      </c>
      <c r="E74" s="341" t="n">
        <v>0.0746</v>
      </c>
      <c r="F74" s="331"/>
      <c r="G74" s="338" t="s">
        <v>476</v>
      </c>
      <c r="H74" s="339" t="n">
        <v>0.1126</v>
      </c>
      <c r="I74" s="331"/>
      <c r="J74" s="342" t="s">
        <v>476</v>
      </c>
      <c r="K74" s="339" t="n">
        <v>0.0103</v>
      </c>
      <c r="L74" s="331"/>
      <c r="M74" s="343" t="s">
        <v>476</v>
      </c>
      <c r="N74" s="344" t="n">
        <v>0.3736</v>
      </c>
      <c r="O74" s="331"/>
      <c r="P74" s="351"/>
      <c r="Q74" s="351"/>
      <c r="R74" s="331"/>
      <c r="S74" s="351"/>
      <c r="T74" s="351"/>
      <c r="U74" s="331"/>
      <c r="V74" s="351"/>
      <c r="W74" s="351"/>
      <c r="X74" s="331"/>
      <c r="Y74" s="331"/>
      <c r="Z74" s="331"/>
      <c r="AL74" s="378"/>
    </row>
    <row r="75" customFormat="false" ht="12.75" hidden="false" customHeight="false" outlineLevel="0" collapsed="false">
      <c r="A75" s="353" t="s">
        <v>120</v>
      </c>
      <c r="B75" s="380" t="n">
        <f aca="false">0.0022+0.007+0.0097</f>
        <v>0.0189</v>
      </c>
      <c r="C75" s="331"/>
      <c r="D75" s="340" t="s">
        <v>120</v>
      </c>
      <c r="E75" s="341" t="n">
        <v>0</v>
      </c>
      <c r="F75" s="346"/>
      <c r="G75" s="338" t="s">
        <v>120</v>
      </c>
      <c r="H75" s="339" t="n">
        <f aca="false">0.0022+0.007</f>
        <v>0.0092</v>
      </c>
      <c r="I75" s="331"/>
      <c r="J75" s="342" t="s">
        <v>120</v>
      </c>
      <c r="K75" s="339" t="n">
        <f aca="false">0.0022</f>
        <v>0.0022</v>
      </c>
      <c r="L75" s="331"/>
      <c r="M75" s="343" t="s">
        <v>120</v>
      </c>
      <c r="N75" s="344" t="n">
        <f aca="false">0.0022+0.007</f>
        <v>0.0092</v>
      </c>
      <c r="O75" s="331"/>
      <c r="P75" s="330"/>
      <c r="Q75" s="330"/>
      <c r="R75" s="331"/>
      <c r="S75" s="330"/>
      <c r="T75" s="330"/>
      <c r="U75" s="331"/>
      <c r="V75" s="330"/>
      <c r="W75" s="330"/>
      <c r="X75" s="331"/>
      <c r="Y75" s="331"/>
      <c r="Z75" s="331"/>
      <c r="AH75" s="375" t="n">
        <v>36770</v>
      </c>
      <c r="AK75" s="375"/>
    </row>
    <row r="76" customFormat="false" ht="12.75" hidden="false" customHeight="false" outlineLevel="0" collapsed="false">
      <c r="A76" s="347" t="n">
        <v>0.0233</v>
      </c>
      <c r="B76" s="348" t="n">
        <f aca="false">(B$4)/(1-A76)-B$4</f>
        <v>0.125958840995188</v>
      </c>
      <c r="C76" s="346"/>
      <c r="D76" s="349" t="n">
        <v>0.0057</v>
      </c>
      <c r="E76" s="350" t="n">
        <f aca="false">(E$3)/(1-D76)-E$3</f>
        <v>0.0303831841496534</v>
      </c>
      <c r="F76" s="351"/>
      <c r="G76" s="347" t="n">
        <v>0.0597</v>
      </c>
      <c r="H76" s="348" t="n">
        <f aca="false">(H$4)/(1-G76)-H$4</f>
        <v>0.333007019036478</v>
      </c>
      <c r="I76" s="346"/>
      <c r="J76" s="349" t="n">
        <v>0.0291</v>
      </c>
      <c r="K76" s="376" t="n">
        <f aca="false">(K$3)/(1-J76)-K$3</f>
        <v>0.151359563291791</v>
      </c>
      <c r="L76" s="346"/>
      <c r="M76" s="349" t="n">
        <v>0.0707</v>
      </c>
      <c r="N76" s="350" t="n">
        <f aca="false">(N$3)/(1-M76)-N$3</f>
        <v>0.384197783277735</v>
      </c>
      <c r="O76" s="346"/>
      <c r="P76" s="331"/>
      <c r="Q76" s="331"/>
      <c r="R76" s="346"/>
      <c r="S76" s="331"/>
      <c r="T76" s="331"/>
      <c r="U76" s="346"/>
      <c r="V76" s="331"/>
      <c r="W76" s="331"/>
      <c r="X76" s="346"/>
      <c r="Y76" s="346"/>
      <c r="Z76" s="346"/>
      <c r="AH76" s="377" t="s">
        <v>546</v>
      </c>
      <c r="AI76" s="378" t="n">
        <v>0.001</v>
      </c>
      <c r="AK76" s="377"/>
      <c r="AL76" s="378"/>
    </row>
    <row r="77" customFormat="false" ht="12.75" hidden="false" customHeight="false" outlineLevel="0" collapsed="false">
      <c r="A77" s="338"/>
      <c r="B77" s="354" t="n">
        <f aca="false">SUM(B74:B76)</f>
        <v>0.161858840995188</v>
      </c>
      <c r="C77" s="351"/>
      <c r="D77" s="340"/>
      <c r="E77" s="355" t="n">
        <f aca="false">SUM(E74:E76)</f>
        <v>0.104983184149653</v>
      </c>
      <c r="F77" s="322"/>
      <c r="G77" s="353"/>
      <c r="H77" s="354" t="n">
        <f aca="false">SUM(H74:H76)</f>
        <v>0.454807019036478</v>
      </c>
      <c r="I77" s="351"/>
      <c r="J77" s="342"/>
      <c r="K77" s="354" t="n">
        <f aca="false">SUM(K74:K76)</f>
        <v>0.163859563291791</v>
      </c>
      <c r="L77" s="351"/>
      <c r="M77" s="343"/>
      <c r="N77" s="355" t="n">
        <f aca="false">SUM(N74:N76)</f>
        <v>0.766997783277736</v>
      </c>
      <c r="O77" s="351"/>
      <c r="P77" s="331"/>
      <c r="Q77" s="331"/>
      <c r="R77" s="351"/>
      <c r="S77" s="331"/>
      <c r="T77" s="331"/>
      <c r="U77" s="351"/>
      <c r="V77" s="331"/>
      <c r="W77" s="331"/>
      <c r="X77" s="351"/>
      <c r="Y77" s="351"/>
      <c r="Z77" s="351"/>
      <c r="AH77" s="28" t="s">
        <v>547</v>
      </c>
      <c r="AI77" s="378" t="n">
        <v>0.002</v>
      </c>
      <c r="AL77" s="378"/>
    </row>
    <row r="78" customFormat="false" ht="12.75" hidden="false" customHeight="false" outlineLevel="0" collapsed="false">
      <c r="A78" s="338" t="s">
        <v>92</v>
      </c>
      <c r="B78" s="329" t="s">
        <v>577</v>
      </c>
      <c r="C78" s="322"/>
      <c r="D78" s="334" t="s">
        <v>578</v>
      </c>
      <c r="E78" s="355" t="s">
        <v>579</v>
      </c>
      <c r="F78" s="331"/>
      <c r="G78" s="357" t="s">
        <v>459</v>
      </c>
      <c r="H78" s="358" t="s">
        <v>580</v>
      </c>
      <c r="I78" s="322"/>
      <c r="J78" s="333" t="s">
        <v>461</v>
      </c>
      <c r="K78" s="329" t="s">
        <v>581</v>
      </c>
      <c r="L78" s="322"/>
      <c r="M78" s="334" t="s">
        <v>463</v>
      </c>
      <c r="N78" s="335" t="s">
        <v>582</v>
      </c>
      <c r="O78" s="322"/>
      <c r="P78" s="346"/>
      <c r="Q78" s="346"/>
      <c r="R78" s="322"/>
      <c r="S78" s="346"/>
      <c r="T78" s="346"/>
      <c r="U78" s="322"/>
      <c r="V78" s="346"/>
      <c r="W78" s="346"/>
      <c r="X78" s="322"/>
      <c r="Y78" s="322"/>
      <c r="Z78" s="322"/>
      <c r="AH78" s="28" t="s">
        <v>553</v>
      </c>
      <c r="AI78" s="378" t="n">
        <v>0.001</v>
      </c>
      <c r="AL78" s="378"/>
    </row>
    <row r="79" customFormat="false" ht="12.75" hidden="false" customHeight="false" outlineLevel="0" collapsed="false">
      <c r="A79" s="338" t="s">
        <v>476</v>
      </c>
      <c r="B79" s="339" t="n">
        <v>0.0278</v>
      </c>
      <c r="C79" s="331"/>
      <c r="D79" s="340" t="s">
        <v>476</v>
      </c>
      <c r="E79" s="341" t="n">
        <v>0.0938</v>
      </c>
      <c r="F79" s="331"/>
      <c r="G79" s="338" t="s">
        <v>476</v>
      </c>
      <c r="H79" s="339" t="n">
        <v>0.1503</v>
      </c>
      <c r="I79" s="331"/>
      <c r="J79" s="342" t="s">
        <v>476</v>
      </c>
      <c r="K79" s="339" t="n">
        <v>0.0087</v>
      </c>
      <c r="L79" s="331"/>
      <c r="M79" s="343" t="s">
        <v>476</v>
      </c>
      <c r="N79" s="344" t="n">
        <v>0.4707</v>
      </c>
      <c r="O79" s="331"/>
      <c r="P79" s="351"/>
      <c r="Q79" s="351"/>
      <c r="R79" s="331"/>
      <c r="S79" s="351"/>
      <c r="T79" s="351"/>
      <c r="U79" s="331"/>
      <c r="V79" s="351"/>
      <c r="W79" s="351"/>
      <c r="X79" s="331"/>
      <c r="Y79" s="331"/>
      <c r="Z79" s="331"/>
      <c r="AL79" s="378"/>
    </row>
    <row r="80" customFormat="false" ht="12.75" hidden="false" customHeight="false" outlineLevel="0" collapsed="false">
      <c r="A80" s="353" t="s">
        <v>120</v>
      </c>
      <c r="B80" s="380" t="n">
        <f aca="false">0.0022+0.007+0.0097</f>
        <v>0.0189</v>
      </c>
      <c r="C80" s="331"/>
      <c r="D80" s="340" t="s">
        <v>120</v>
      </c>
      <c r="E80" s="341" t="n">
        <f aca="false">0.007+0.0022+0.0097</f>
        <v>0.0189</v>
      </c>
      <c r="F80" s="346"/>
      <c r="G80" s="338" t="s">
        <v>120</v>
      </c>
      <c r="H80" s="339" t="n">
        <f aca="false">0.0022+0.007</f>
        <v>0.0092</v>
      </c>
      <c r="I80" s="331"/>
      <c r="J80" s="342" t="s">
        <v>120</v>
      </c>
      <c r="K80" s="339" t="n">
        <f aca="false">0.0022+0.007</f>
        <v>0.0092</v>
      </c>
      <c r="L80" s="331"/>
      <c r="M80" s="343" t="s">
        <v>120</v>
      </c>
      <c r="N80" s="344" t="n">
        <f aca="false">0.0022+0.007</f>
        <v>0.0092</v>
      </c>
      <c r="O80" s="331"/>
      <c r="P80" s="322"/>
      <c r="Q80" s="322"/>
      <c r="R80" s="331"/>
      <c r="S80" s="322"/>
      <c r="T80" s="322"/>
      <c r="U80" s="331"/>
      <c r="V80" s="322"/>
      <c r="W80" s="322"/>
      <c r="X80" s="331"/>
      <c r="Y80" s="331"/>
      <c r="Z80" s="331"/>
      <c r="AH80" s="375" t="n">
        <v>36739</v>
      </c>
      <c r="AK80" s="375"/>
    </row>
    <row r="81" customFormat="false" ht="12.75" hidden="false" customHeight="false" outlineLevel="0" collapsed="false">
      <c r="A81" s="347" t="n">
        <v>0.0381</v>
      </c>
      <c r="B81" s="348" t="n">
        <f aca="false">(B$4)/(1-A81)-B$4</f>
        <v>0.209136084832103</v>
      </c>
      <c r="C81" s="346"/>
      <c r="D81" s="349" t="n">
        <v>0.0081</v>
      </c>
      <c r="E81" s="350" t="n">
        <f aca="false">(E$3)/(1-D81)-E$3</f>
        <v>0.0432805726383707</v>
      </c>
      <c r="F81" s="351"/>
      <c r="G81" s="347" t="n">
        <v>0.0667</v>
      </c>
      <c r="H81" s="348" t="n">
        <f aca="false">(H$4)/(1-G81)-H$4</f>
        <v>0.374843565841637</v>
      </c>
      <c r="I81" s="346"/>
      <c r="J81" s="349" t="n">
        <v>0.0291</v>
      </c>
      <c r="K81" s="376" t="n">
        <f aca="false">(K$3)/(1-J81)-K$3</f>
        <v>0.151359563291791</v>
      </c>
      <c r="L81" s="346"/>
      <c r="M81" s="349" t="n">
        <v>0.0796</v>
      </c>
      <c r="N81" s="350" t="n">
        <f aca="false">(N$3)/(1-M81)-N$3</f>
        <v>0.436744893524555</v>
      </c>
      <c r="O81" s="346"/>
      <c r="P81" s="331"/>
      <c r="Q81" s="331"/>
      <c r="R81" s="346"/>
      <c r="S81" s="331"/>
      <c r="T81" s="331"/>
      <c r="U81" s="346"/>
      <c r="V81" s="331"/>
      <c r="W81" s="331"/>
      <c r="X81" s="346"/>
      <c r="Y81" s="346"/>
      <c r="Z81" s="346"/>
      <c r="AH81" s="377" t="s">
        <v>546</v>
      </c>
      <c r="AI81" s="378" t="n">
        <v>0.002</v>
      </c>
      <c r="AK81" s="377"/>
      <c r="AL81" s="378"/>
    </row>
    <row r="82" customFormat="false" ht="12.75" hidden="false" customHeight="false" outlineLevel="0" collapsed="false">
      <c r="A82" s="381"/>
      <c r="B82" s="354" t="n">
        <f aca="false">SUM(B79:B81)</f>
        <v>0.255836084832103</v>
      </c>
      <c r="C82" s="351"/>
      <c r="D82" s="340"/>
      <c r="E82" s="355" t="n">
        <f aca="false">SUM(E79:E81)</f>
        <v>0.155980572638371</v>
      </c>
      <c r="F82" s="322"/>
      <c r="G82" s="353"/>
      <c r="H82" s="354" t="n">
        <f aca="false">SUM(H79:H81)</f>
        <v>0.534343565841637</v>
      </c>
      <c r="I82" s="351"/>
      <c r="J82" s="342"/>
      <c r="K82" s="354" t="n">
        <f aca="false">SUM(K79:K81)</f>
        <v>0.169259563291791</v>
      </c>
      <c r="L82" s="351"/>
      <c r="M82" s="343"/>
      <c r="N82" s="355" t="n">
        <f aca="false">SUM(N79:N81)</f>
        <v>0.916644893524555</v>
      </c>
      <c r="O82" s="351"/>
      <c r="P82" s="331"/>
      <c r="Q82" s="331"/>
      <c r="R82" s="351"/>
      <c r="S82" s="331"/>
      <c r="T82" s="331"/>
      <c r="U82" s="351"/>
      <c r="V82" s="331"/>
      <c r="W82" s="331"/>
      <c r="X82" s="351"/>
      <c r="Y82" s="351"/>
      <c r="Z82" s="351"/>
      <c r="AH82" s="28" t="s">
        <v>547</v>
      </c>
      <c r="AI82" s="378" t="n">
        <v>0.004</v>
      </c>
      <c r="AL82" s="378"/>
    </row>
    <row r="83" customFormat="false" ht="14.1" hidden="false" customHeight="true" outlineLevel="0" collapsed="false">
      <c r="A83" s="382" t="s">
        <v>92</v>
      </c>
      <c r="B83" s="329" t="s">
        <v>583</v>
      </c>
      <c r="C83" s="322"/>
      <c r="D83" s="334" t="s">
        <v>578</v>
      </c>
      <c r="E83" s="355" t="s">
        <v>584</v>
      </c>
      <c r="F83" s="331"/>
      <c r="G83" s="357" t="s">
        <v>459</v>
      </c>
      <c r="H83" s="358" t="s">
        <v>585</v>
      </c>
      <c r="I83" s="322"/>
      <c r="J83" s="333" t="s">
        <v>461</v>
      </c>
      <c r="K83" s="329" t="s">
        <v>586</v>
      </c>
      <c r="L83" s="322"/>
      <c r="M83" s="334" t="s">
        <v>463</v>
      </c>
      <c r="N83" s="335" t="s">
        <v>587</v>
      </c>
      <c r="O83" s="322"/>
      <c r="P83" s="346"/>
      <c r="Q83" s="346"/>
      <c r="R83" s="322"/>
      <c r="S83" s="346"/>
      <c r="T83" s="346"/>
      <c r="U83" s="322"/>
      <c r="V83" s="346"/>
      <c r="W83" s="346"/>
      <c r="X83" s="322"/>
      <c r="Y83" s="322"/>
      <c r="Z83" s="322"/>
      <c r="AH83" s="28" t="s">
        <v>553</v>
      </c>
      <c r="AI83" s="378" t="n">
        <v>0.002</v>
      </c>
      <c r="AL83" s="378"/>
    </row>
    <row r="84" customFormat="false" ht="12.75" hidden="false" customHeight="false" outlineLevel="0" collapsed="false">
      <c r="A84" s="383" t="s">
        <v>476</v>
      </c>
      <c r="B84" s="339" t="n">
        <v>0.0336</v>
      </c>
      <c r="C84" s="331"/>
      <c r="D84" s="340" t="s">
        <v>476</v>
      </c>
      <c r="E84" s="341" t="n">
        <v>0.1857</v>
      </c>
      <c r="F84" s="331"/>
      <c r="G84" s="338" t="s">
        <v>476</v>
      </c>
      <c r="H84" s="339" t="n">
        <v>0.0783</v>
      </c>
      <c r="I84" s="331"/>
      <c r="J84" s="342" t="s">
        <v>476</v>
      </c>
      <c r="K84" s="339" t="n">
        <v>0.0087</v>
      </c>
      <c r="L84" s="331"/>
      <c r="M84" s="343" t="s">
        <v>476</v>
      </c>
      <c r="N84" s="344" t="n">
        <v>0.2945</v>
      </c>
      <c r="O84" s="331"/>
      <c r="P84" s="384"/>
      <c r="Q84" s="385"/>
      <c r="R84" s="331"/>
      <c r="S84" s="384"/>
      <c r="T84" s="385"/>
      <c r="U84" s="331"/>
      <c r="V84" s="384"/>
      <c r="W84" s="385"/>
      <c r="X84" s="331"/>
      <c r="Y84" s="331"/>
      <c r="Z84" s="331"/>
      <c r="AL84" s="378"/>
    </row>
    <row r="85" customFormat="false" ht="12.75" hidden="false" customHeight="false" outlineLevel="0" collapsed="false">
      <c r="A85" s="379" t="s">
        <v>120</v>
      </c>
      <c r="B85" s="380" t="n">
        <f aca="false">0.0022+0.007+0.0097</f>
        <v>0.0189</v>
      </c>
      <c r="C85" s="331"/>
      <c r="D85" s="340" t="s">
        <v>120</v>
      </c>
      <c r="E85" s="341" t="n">
        <f aca="false">0.0022+0.0097</f>
        <v>0.0119</v>
      </c>
      <c r="F85" s="346"/>
      <c r="G85" s="338" t="s">
        <v>120</v>
      </c>
      <c r="H85" s="339" t="n">
        <f aca="false">0.0022+0.007</f>
        <v>0.0092</v>
      </c>
      <c r="I85" s="331"/>
      <c r="J85" s="342" t="s">
        <v>120</v>
      </c>
      <c r="K85" s="339" t="n">
        <f aca="false">0.0022+0.007</f>
        <v>0.0092</v>
      </c>
      <c r="L85" s="331"/>
      <c r="M85" s="343" t="s">
        <v>120</v>
      </c>
      <c r="N85" s="344" t="n">
        <f aca="false">0.0022+0.007</f>
        <v>0.0092</v>
      </c>
      <c r="O85" s="331"/>
      <c r="P85" s="322"/>
      <c r="Q85" s="322"/>
      <c r="R85" s="331"/>
      <c r="S85" s="322"/>
      <c r="T85" s="322"/>
      <c r="U85" s="331"/>
      <c r="V85" s="322"/>
      <c r="W85" s="322"/>
      <c r="X85" s="331"/>
      <c r="Y85" s="331"/>
      <c r="Z85" s="331"/>
      <c r="AH85" s="375" t="n">
        <v>36708</v>
      </c>
      <c r="AK85" s="375"/>
    </row>
    <row r="86" customFormat="false" ht="12.75" hidden="false" customHeight="false" outlineLevel="0" collapsed="false">
      <c r="A86" s="347" t="n">
        <v>0.0462</v>
      </c>
      <c r="B86" s="348" t="n">
        <f aca="false">(B$4)/(1-A86)-B$4</f>
        <v>0.255751729922416</v>
      </c>
      <c r="C86" s="346"/>
      <c r="D86" s="349" t="n">
        <v>0.0229</v>
      </c>
      <c r="E86" s="350" t="n">
        <f aca="false">(E$7)/(1-D86)-E$7</f>
        <v>0.139565551120663</v>
      </c>
      <c r="F86" s="351"/>
      <c r="G86" s="347" t="n">
        <v>0.000358</v>
      </c>
      <c r="H86" s="376" t="n">
        <f aca="false">(H4)/(1-G86)-H4</f>
        <v>0.0018783824609212</v>
      </c>
      <c r="I86" s="346"/>
      <c r="J86" s="349" t="n">
        <v>0.0291</v>
      </c>
      <c r="K86" s="376" t="n">
        <f aca="false">(K$3)/(1-J86)-K$3</f>
        <v>0.151359563291791</v>
      </c>
      <c r="L86" s="346"/>
      <c r="M86" s="349" t="n">
        <v>0.0416</v>
      </c>
      <c r="N86" s="350" t="n">
        <f aca="false">(N$6)/(1-M86)-(N$6)</f>
        <v>0.225709515859766</v>
      </c>
      <c r="O86" s="346"/>
      <c r="P86" s="331"/>
      <c r="Q86" s="331"/>
      <c r="R86" s="346"/>
      <c r="S86" s="331"/>
      <c r="T86" s="331"/>
      <c r="U86" s="346"/>
      <c r="V86" s="331"/>
      <c r="W86" s="331"/>
      <c r="X86" s="346"/>
      <c r="Y86" s="346"/>
      <c r="Z86" s="346"/>
      <c r="AH86" s="377" t="s">
        <v>546</v>
      </c>
      <c r="AI86" s="378" t="n">
        <v>0.002</v>
      </c>
      <c r="AK86" s="377"/>
      <c r="AL86" s="378"/>
    </row>
    <row r="87" customFormat="false" ht="12.75" hidden="false" customHeight="false" outlineLevel="0" collapsed="false">
      <c r="A87" s="381"/>
      <c r="B87" s="354" t="n">
        <f aca="false">SUM(B84:B86)</f>
        <v>0.308251729922416</v>
      </c>
      <c r="C87" s="351"/>
      <c r="D87" s="340"/>
      <c r="E87" s="355" t="n">
        <f aca="false">SUM(E84:E86)</f>
        <v>0.337165551120663</v>
      </c>
      <c r="F87" s="322"/>
      <c r="G87" s="353"/>
      <c r="H87" s="354" t="n">
        <f aca="false">SUM(H84:H86)</f>
        <v>0.0893783824609212</v>
      </c>
      <c r="I87" s="351"/>
      <c r="J87" s="342"/>
      <c r="K87" s="354" t="n">
        <f aca="false">SUM(K84:K86)</f>
        <v>0.169259563291791</v>
      </c>
      <c r="L87" s="351"/>
      <c r="M87" s="343"/>
      <c r="N87" s="355" t="n">
        <f aca="false">SUM(N84:N86)</f>
        <v>0.529409515859766</v>
      </c>
      <c r="O87" s="351"/>
      <c r="P87" s="331"/>
      <c r="Q87" s="331"/>
      <c r="R87" s="351"/>
      <c r="S87" s="331"/>
      <c r="T87" s="331"/>
      <c r="U87" s="351"/>
      <c r="V87" s="331"/>
      <c r="W87" s="331"/>
      <c r="X87" s="351"/>
      <c r="Y87" s="351"/>
      <c r="Z87" s="351"/>
      <c r="AH87" s="28" t="s">
        <v>547</v>
      </c>
      <c r="AI87" s="378" t="n">
        <v>0.004</v>
      </c>
      <c r="AL87" s="378"/>
    </row>
    <row r="88" customFormat="false" ht="12.75" hidden="false" customHeight="false" outlineLevel="0" collapsed="false">
      <c r="A88" s="382" t="s">
        <v>92</v>
      </c>
      <c r="B88" s="354" t="s">
        <v>588</v>
      </c>
      <c r="C88" s="322"/>
      <c r="D88" s="334" t="s">
        <v>578</v>
      </c>
      <c r="E88" s="355" t="s">
        <v>589</v>
      </c>
      <c r="F88" s="331"/>
      <c r="G88" s="357" t="s">
        <v>459</v>
      </c>
      <c r="H88" s="358" t="s">
        <v>590</v>
      </c>
      <c r="I88" s="322"/>
      <c r="J88" s="333" t="s">
        <v>461</v>
      </c>
      <c r="K88" s="329" t="s">
        <v>566</v>
      </c>
      <c r="L88" s="322"/>
      <c r="M88" s="334" t="s">
        <v>463</v>
      </c>
      <c r="N88" s="335" t="s">
        <v>591</v>
      </c>
      <c r="O88" s="322"/>
      <c r="P88" s="346"/>
      <c r="Q88" s="346"/>
      <c r="R88" s="322"/>
      <c r="S88" s="346"/>
      <c r="T88" s="346"/>
      <c r="U88" s="322"/>
      <c r="V88" s="346"/>
      <c r="W88" s="346"/>
      <c r="X88" s="322"/>
      <c r="Y88" s="351"/>
      <c r="Z88" s="351"/>
      <c r="AH88" s="28" t="s">
        <v>553</v>
      </c>
      <c r="AI88" s="378" t="n">
        <v>0.002</v>
      </c>
      <c r="AL88" s="378"/>
    </row>
    <row r="89" customFormat="false" ht="12.75" hidden="false" customHeight="false" outlineLevel="0" collapsed="false">
      <c r="A89" s="383" t="s">
        <v>476</v>
      </c>
      <c r="B89" s="380" t="n">
        <v>0.0139</v>
      </c>
      <c r="C89" s="331"/>
      <c r="D89" s="340" t="s">
        <v>476</v>
      </c>
      <c r="E89" s="341" t="n">
        <v>0.3088</v>
      </c>
      <c r="F89" s="331"/>
      <c r="G89" s="338" t="s">
        <v>476</v>
      </c>
      <c r="H89" s="339" t="n">
        <f aca="false">0.0511-0.0022-0.0088</f>
        <v>0.0401</v>
      </c>
      <c r="I89" s="331"/>
      <c r="J89" s="342" t="s">
        <v>476</v>
      </c>
      <c r="K89" s="339" t="n">
        <v>0.0087</v>
      </c>
      <c r="L89" s="331"/>
      <c r="M89" s="343" t="s">
        <v>476</v>
      </c>
      <c r="N89" s="344" t="n">
        <v>0.3916</v>
      </c>
      <c r="O89" s="331"/>
      <c r="P89" s="351"/>
      <c r="Q89" s="351"/>
      <c r="R89" s="331"/>
      <c r="S89" s="351"/>
      <c r="T89" s="351"/>
      <c r="U89" s="331"/>
      <c r="V89" s="351"/>
      <c r="W89" s="351"/>
      <c r="X89" s="331"/>
      <c r="Y89" s="363"/>
      <c r="Z89" s="363"/>
      <c r="AL89" s="378"/>
    </row>
    <row r="90" customFormat="false" ht="12.75" hidden="false" customHeight="false" outlineLevel="0" collapsed="false">
      <c r="A90" s="386" t="s">
        <v>120</v>
      </c>
      <c r="B90" s="380" t="n">
        <f aca="false">0.0022+0.007+0.0097</f>
        <v>0.0189</v>
      </c>
      <c r="C90" s="331"/>
      <c r="D90" s="340" t="s">
        <v>120</v>
      </c>
      <c r="E90" s="341" t="n">
        <f aca="false">0.007+0.0022+0.0097</f>
        <v>0.0189</v>
      </c>
      <c r="F90" s="346"/>
      <c r="G90" s="338" t="s">
        <v>120</v>
      </c>
      <c r="H90" s="339" t="n">
        <f aca="false">0.0022+0.007</f>
        <v>0.0092</v>
      </c>
      <c r="I90" s="331"/>
      <c r="J90" s="342" t="s">
        <v>120</v>
      </c>
      <c r="K90" s="339" t="n">
        <f aca="false">0.0022+0.007</f>
        <v>0.0092</v>
      </c>
      <c r="L90" s="331"/>
      <c r="M90" s="343" t="s">
        <v>120</v>
      </c>
      <c r="N90" s="344" t="n">
        <f aca="false">0.0022+0.007</f>
        <v>0.0092</v>
      </c>
      <c r="O90" s="331"/>
      <c r="P90" s="322"/>
      <c r="Q90" s="322"/>
      <c r="R90" s="331"/>
      <c r="S90" s="322"/>
      <c r="T90" s="322"/>
      <c r="U90" s="331"/>
      <c r="V90" s="322"/>
      <c r="W90" s="322"/>
      <c r="X90" s="331"/>
      <c r="Y90" s="363"/>
      <c r="Z90" s="363"/>
      <c r="AH90" s="375" t="n">
        <v>36678</v>
      </c>
      <c r="AK90" s="375"/>
    </row>
    <row r="91" customFormat="false" ht="12.75" hidden="false" customHeight="false" outlineLevel="0" collapsed="false">
      <c r="A91" s="347" t="n">
        <v>0.0189</v>
      </c>
      <c r="B91" s="348" t="n">
        <f aca="false">(B3)/(1-A91)-B3</f>
        <v>0.102099684028132</v>
      </c>
      <c r="C91" s="346"/>
      <c r="D91" s="349" t="n">
        <v>0.0081</v>
      </c>
      <c r="E91" s="350" t="n">
        <f aca="false">(E$7)/(1-D91)-E$7</f>
        <v>0.0486293981248114</v>
      </c>
      <c r="F91" s="351"/>
      <c r="G91" s="347" t="n">
        <v>0.0101</v>
      </c>
      <c r="H91" s="376" t="n">
        <f aca="false">(H5)/(1-G91)-H5</f>
        <v>0.0592287099707045</v>
      </c>
      <c r="I91" s="346"/>
      <c r="J91" s="349" t="n">
        <v>0.0291</v>
      </c>
      <c r="K91" s="376" t="n">
        <f aca="false">(K$3)/(1-J91)-K$3</f>
        <v>0.151359563291791</v>
      </c>
      <c r="L91" s="346"/>
      <c r="M91" s="349" t="n">
        <v>0.0505</v>
      </c>
      <c r="N91" s="350" t="n">
        <f aca="false">(N$6)/(1-M91)-(N$6)</f>
        <v>0.276566614007372</v>
      </c>
      <c r="O91" s="346"/>
      <c r="P91" s="331"/>
      <c r="Q91" s="331"/>
      <c r="R91" s="346"/>
      <c r="S91" s="331"/>
      <c r="T91" s="331"/>
      <c r="U91" s="346"/>
      <c r="V91" s="331"/>
      <c r="W91" s="331"/>
      <c r="X91" s="346"/>
      <c r="Y91" s="363"/>
      <c r="Z91" s="363"/>
      <c r="AH91" s="377" t="s">
        <v>546</v>
      </c>
      <c r="AI91" s="378" t="n">
        <v>0.0001</v>
      </c>
      <c r="AK91" s="377"/>
      <c r="AL91" s="378"/>
    </row>
    <row r="92" customFormat="false" ht="12.75" hidden="false" customHeight="false" outlineLevel="0" collapsed="false">
      <c r="A92" s="381"/>
      <c r="B92" s="354" t="n">
        <f aca="false">SUM(B89:B91)</f>
        <v>0.134899684028132</v>
      </c>
      <c r="C92" s="351"/>
      <c r="D92" s="340"/>
      <c r="E92" s="355" t="n">
        <f aca="false">SUM(E89:E91)</f>
        <v>0.376329398124811</v>
      </c>
      <c r="F92" s="351"/>
      <c r="G92" s="353"/>
      <c r="H92" s="354" t="n">
        <f aca="false">SUM(H89:H91)</f>
        <v>0.108528709970705</v>
      </c>
      <c r="I92" s="351"/>
      <c r="J92" s="342"/>
      <c r="K92" s="354" t="n">
        <f aca="false">SUM(K89:K91)</f>
        <v>0.169259563291791</v>
      </c>
      <c r="L92" s="351"/>
      <c r="M92" s="343"/>
      <c r="N92" s="355" t="n">
        <f aca="false">SUM(N89:N91)</f>
        <v>0.677366614007372</v>
      </c>
      <c r="O92" s="351"/>
      <c r="P92" s="331"/>
      <c r="Q92" s="331"/>
      <c r="R92" s="351"/>
      <c r="S92" s="331"/>
      <c r="T92" s="331"/>
      <c r="U92" s="351"/>
      <c r="V92" s="331"/>
      <c r="W92" s="331"/>
      <c r="X92" s="351"/>
      <c r="Y92" s="346"/>
      <c r="Z92" s="346"/>
      <c r="AH92" s="28" t="s">
        <v>547</v>
      </c>
      <c r="AI92" s="378" t="n">
        <v>0.0002</v>
      </c>
      <c r="AL92" s="378"/>
    </row>
    <row r="93" customFormat="false" ht="12.75" hidden="false" customHeight="false" outlineLevel="0" collapsed="false">
      <c r="A93" s="382" t="s">
        <v>92</v>
      </c>
      <c r="B93" s="354" t="s">
        <v>592</v>
      </c>
      <c r="C93" s="322"/>
      <c r="D93" s="334" t="s">
        <v>578</v>
      </c>
      <c r="E93" s="355" t="s">
        <v>593</v>
      </c>
      <c r="F93" s="363"/>
      <c r="G93" s="357" t="s">
        <v>459</v>
      </c>
      <c r="H93" s="358" t="s">
        <v>594</v>
      </c>
      <c r="I93" s="351"/>
      <c r="J93" s="333" t="s">
        <v>461</v>
      </c>
      <c r="K93" s="329" t="s">
        <v>571</v>
      </c>
      <c r="L93" s="351"/>
      <c r="M93" s="334" t="s">
        <v>463</v>
      </c>
      <c r="N93" s="355" t="s">
        <v>595</v>
      </c>
      <c r="O93" s="351"/>
      <c r="P93" s="346"/>
      <c r="Q93" s="346"/>
      <c r="R93" s="322"/>
      <c r="S93" s="346"/>
      <c r="T93" s="346"/>
      <c r="U93" s="322"/>
      <c r="V93" s="346"/>
      <c r="W93" s="346"/>
      <c r="X93" s="322"/>
      <c r="Y93" s="351"/>
      <c r="Z93" s="351"/>
      <c r="AH93" s="28" t="s">
        <v>553</v>
      </c>
      <c r="AI93" s="378" t="n">
        <v>0.0001</v>
      </c>
      <c r="AL93" s="378"/>
    </row>
    <row r="94" customFormat="false" ht="12.75" hidden="false" customHeight="false" outlineLevel="0" collapsed="false">
      <c r="A94" s="387" t="s">
        <v>476</v>
      </c>
      <c r="B94" s="380" t="n">
        <v>0.0247</v>
      </c>
      <c r="C94" s="331"/>
      <c r="D94" s="340" t="s">
        <v>476</v>
      </c>
      <c r="E94" s="341" t="n">
        <v>0.3088</v>
      </c>
      <c r="F94" s="363"/>
      <c r="G94" s="338" t="s">
        <v>476</v>
      </c>
      <c r="H94" s="339" t="n">
        <v>0.0834</v>
      </c>
      <c r="I94" s="363"/>
      <c r="J94" s="342" t="s">
        <v>476</v>
      </c>
      <c r="K94" s="339" t="n">
        <v>0.0228</v>
      </c>
      <c r="L94" s="363"/>
      <c r="M94" s="343" t="s">
        <v>476</v>
      </c>
      <c r="N94" s="341" t="n">
        <v>0.2256</v>
      </c>
      <c r="O94" s="363"/>
      <c r="P94" s="384"/>
      <c r="Q94" s="385"/>
      <c r="R94" s="331"/>
      <c r="S94" s="384"/>
      <c r="T94" s="385"/>
      <c r="U94" s="331"/>
      <c r="V94" s="384"/>
      <c r="W94" s="385"/>
      <c r="X94" s="331"/>
      <c r="Y94" s="322"/>
      <c r="Z94" s="322"/>
      <c r="AL94" s="378"/>
    </row>
    <row r="95" customFormat="false" ht="12.75" hidden="false" customHeight="false" outlineLevel="0" collapsed="false">
      <c r="A95" s="386" t="s">
        <v>120</v>
      </c>
      <c r="B95" s="380" t="n">
        <f aca="false">0.0022+0.007+0.0097</f>
        <v>0.0189</v>
      </c>
      <c r="C95" s="331"/>
      <c r="D95" s="340" t="s">
        <v>120</v>
      </c>
      <c r="E95" s="341" t="n">
        <f aca="false">0.007+0.0022+0.0097</f>
        <v>0.0189</v>
      </c>
      <c r="F95" s="346"/>
      <c r="G95" s="338" t="s">
        <v>120</v>
      </c>
      <c r="H95" s="339" t="n">
        <f aca="false">0.0022+0.007</f>
        <v>0.0092</v>
      </c>
      <c r="I95" s="363" t="s">
        <v>9</v>
      </c>
      <c r="J95" s="342" t="s">
        <v>120</v>
      </c>
      <c r="K95" s="339" t="n">
        <f aca="false">0.0022+0.007</f>
        <v>0.0092</v>
      </c>
      <c r="L95" s="363"/>
      <c r="M95" s="343" t="s">
        <v>120</v>
      </c>
      <c r="N95" s="344" t="n">
        <f aca="false">0.0022+0.007</f>
        <v>0.0092</v>
      </c>
      <c r="O95" s="363"/>
      <c r="P95" s="322"/>
      <c r="Q95" s="322"/>
      <c r="R95" s="331"/>
      <c r="S95" s="322"/>
      <c r="T95" s="322"/>
      <c r="U95" s="331"/>
      <c r="V95" s="322"/>
      <c r="W95" s="322"/>
      <c r="X95" s="331"/>
      <c r="Y95" s="331"/>
      <c r="Z95" s="331"/>
      <c r="AH95" s="375" t="n">
        <v>36647</v>
      </c>
      <c r="AK95" s="375"/>
    </row>
    <row r="96" customFormat="false" ht="12.75" hidden="false" customHeight="false" outlineLevel="0" collapsed="false">
      <c r="A96" s="347" t="n">
        <v>0.0337</v>
      </c>
      <c r="B96" s="348" t="n">
        <f aca="false">(B3)/(1-A96)-B3</f>
        <v>0.184839076891234</v>
      </c>
      <c r="C96" s="346"/>
      <c r="D96" s="349" t="n">
        <v>0.027</v>
      </c>
      <c r="E96" s="350" t="n">
        <f aca="false">(E$7)/(1-D96)-E$7</f>
        <v>0.165246659815005</v>
      </c>
      <c r="F96" s="351"/>
      <c r="G96" s="347" t="n">
        <v>0.0192</v>
      </c>
      <c r="H96" s="376" t="n">
        <f aca="false">(H5)/(1-G96)-H5</f>
        <v>0.113637846655791</v>
      </c>
      <c r="I96" s="346"/>
      <c r="J96" s="349" t="n">
        <v>0.0575</v>
      </c>
      <c r="K96" s="376" t="n">
        <f aca="false">(K$3)/(1-J96)-K$3</f>
        <v>0.308090185676392</v>
      </c>
      <c r="L96" s="346"/>
      <c r="M96" s="349" t="n">
        <v>0.0353</v>
      </c>
      <c r="N96" s="350" t="n">
        <f aca="false">(N$6)/(1-M96)-(N$6)</f>
        <v>0.190276769980305</v>
      </c>
      <c r="O96" s="346"/>
      <c r="P96" s="331"/>
      <c r="Q96" s="331"/>
      <c r="R96" s="346"/>
      <c r="S96" s="331"/>
      <c r="T96" s="331"/>
      <c r="U96" s="346"/>
      <c r="V96" s="331"/>
      <c r="W96" s="331"/>
      <c r="X96" s="346"/>
      <c r="Y96" s="331"/>
      <c r="Z96" s="331"/>
      <c r="AH96" s="377" t="s">
        <v>546</v>
      </c>
      <c r="AI96" s="378" t="n">
        <v>0</v>
      </c>
      <c r="AK96" s="377"/>
      <c r="AL96" s="378"/>
    </row>
    <row r="97" customFormat="false" ht="12.75" hidden="false" customHeight="false" outlineLevel="0" collapsed="false">
      <c r="A97" s="381"/>
      <c r="B97" s="354" t="n">
        <f aca="false">SUM(B94:B96)</f>
        <v>0.228439076891234</v>
      </c>
      <c r="C97" s="351"/>
      <c r="D97" s="340"/>
      <c r="E97" s="355" t="n">
        <f aca="false">SUM(E94:E96)</f>
        <v>0.492946659815005</v>
      </c>
      <c r="F97" s="322"/>
      <c r="G97" s="353"/>
      <c r="H97" s="354" t="n">
        <f aca="false">SUM(H94:H96)</f>
        <v>0.206237846655791</v>
      </c>
      <c r="I97" s="351"/>
      <c r="J97" s="342"/>
      <c r="K97" s="354" t="n">
        <f aca="false">SUM(K94:K96)</f>
        <v>0.340090185676393</v>
      </c>
      <c r="L97" s="351"/>
      <c r="M97" s="343"/>
      <c r="N97" s="355" t="n">
        <f aca="false">SUM(N94:N96)</f>
        <v>0.425076769980305</v>
      </c>
      <c r="O97" s="351"/>
      <c r="P97" s="331"/>
      <c r="Q97" s="331"/>
      <c r="R97" s="351"/>
      <c r="S97" s="331"/>
      <c r="T97" s="331"/>
      <c r="U97" s="351"/>
      <c r="V97" s="331"/>
      <c r="W97" s="331"/>
      <c r="X97" s="351"/>
      <c r="Y97" s="346"/>
      <c r="Z97" s="346"/>
      <c r="AH97" s="28" t="s">
        <v>547</v>
      </c>
      <c r="AI97" s="378" t="n">
        <v>0</v>
      </c>
      <c r="AL97" s="378"/>
    </row>
    <row r="98" customFormat="false" ht="12.75" hidden="false" customHeight="false" outlineLevel="0" collapsed="false">
      <c r="A98" s="382" t="s">
        <v>92</v>
      </c>
      <c r="B98" s="354" t="s">
        <v>596</v>
      </c>
      <c r="C98" s="351"/>
      <c r="D98" s="334" t="s">
        <v>578</v>
      </c>
      <c r="E98" s="355" t="s">
        <v>597</v>
      </c>
      <c r="F98" s="331"/>
      <c r="G98" s="357" t="s">
        <v>459</v>
      </c>
      <c r="H98" s="358" t="s">
        <v>598</v>
      </c>
      <c r="I98" s="322"/>
      <c r="J98" s="333" t="s">
        <v>461</v>
      </c>
      <c r="K98" s="329" t="s">
        <v>576</v>
      </c>
      <c r="L98" s="322"/>
      <c r="M98" s="334" t="s">
        <v>463</v>
      </c>
      <c r="N98" s="355" t="s">
        <v>599</v>
      </c>
      <c r="O98" s="322"/>
      <c r="P98" s="346"/>
      <c r="Q98" s="346"/>
      <c r="R98" s="351"/>
      <c r="S98" s="346"/>
      <c r="T98" s="346"/>
      <c r="U98" s="351"/>
      <c r="V98" s="346"/>
      <c r="W98" s="346"/>
      <c r="X98" s="351"/>
      <c r="Y98" s="351"/>
      <c r="Z98" s="351"/>
      <c r="AH98" s="28" t="s">
        <v>553</v>
      </c>
      <c r="AI98" s="378" t="n">
        <v>0</v>
      </c>
      <c r="AL98" s="378"/>
    </row>
    <row r="99" customFormat="false" ht="12.75" hidden="false" customHeight="false" outlineLevel="0" collapsed="false">
      <c r="A99" s="387" t="s">
        <v>476</v>
      </c>
      <c r="B99" s="380" t="n">
        <v>0.0305</v>
      </c>
      <c r="C99" s="363"/>
      <c r="D99" s="340" t="s">
        <v>476</v>
      </c>
      <c r="E99" s="341" t="n">
        <v>0.3088</v>
      </c>
      <c r="F99" s="331"/>
      <c r="G99" s="338" t="s">
        <v>476</v>
      </c>
      <c r="H99" s="339" t="n">
        <v>0.0459</v>
      </c>
      <c r="I99" s="331"/>
      <c r="J99" s="342" t="s">
        <v>476</v>
      </c>
      <c r="K99" s="339" t="n">
        <v>0.0431</v>
      </c>
      <c r="L99" s="331"/>
      <c r="M99" s="343" t="s">
        <v>476</v>
      </c>
      <c r="N99" s="341" t="n">
        <v>0.3273</v>
      </c>
      <c r="O99" s="331"/>
      <c r="P99" s="351"/>
      <c r="Q99" s="351"/>
      <c r="R99" s="363"/>
      <c r="S99" s="351"/>
      <c r="T99" s="351"/>
      <c r="U99" s="363"/>
      <c r="V99" s="351"/>
      <c r="W99" s="351"/>
      <c r="X99" s="363"/>
      <c r="AL99" s="378"/>
    </row>
    <row r="100" customFormat="false" ht="12.75" hidden="false" customHeight="false" outlineLevel="0" collapsed="false">
      <c r="A100" s="386" t="s">
        <v>120</v>
      </c>
      <c r="B100" s="380" t="n">
        <f aca="false">0.0022+0.007+0.0097</f>
        <v>0.0189</v>
      </c>
      <c r="C100" s="363"/>
      <c r="D100" s="340" t="s">
        <v>120</v>
      </c>
      <c r="E100" s="341" t="n">
        <f aca="false">0.007+0.0022+0.0097</f>
        <v>0.0189</v>
      </c>
      <c r="F100" s="331"/>
      <c r="G100" s="338" t="s">
        <v>120</v>
      </c>
      <c r="H100" s="339" t="n">
        <f aca="false">0.0022+0.007</f>
        <v>0.0092</v>
      </c>
      <c r="I100" s="331"/>
      <c r="J100" s="342" t="s">
        <v>120</v>
      </c>
      <c r="K100" s="339" t="n">
        <f aca="false">0.0022+0.007</f>
        <v>0.0092</v>
      </c>
      <c r="L100" s="331"/>
      <c r="M100" s="343" t="s">
        <v>120</v>
      </c>
      <c r="N100" s="344" t="n">
        <f aca="false">0.0022+0.007</f>
        <v>0.0092</v>
      </c>
      <c r="O100" s="331"/>
      <c r="P100" s="322"/>
      <c r="Q100" s="322"/>
      <c r="R100" s="363"/>
      <c r="S100" s="322"/>
      <c r="T100" s="322"/>
      <c r="U100" s="363"/>
      <c r="V100" s="322"/>
      <c r="W100" s="322"/>
      <c r="X100" s="363"/>
      <c r="Y100" s="322"/>
      <c r="Z100" s="322"/>
      <c r="AH100" s="375" t="n">
        <v>36617</v>
      </c>
      <c r="AK100" s="375"/>
    </row>
    <row r="101" customFormat="false" ht="12.75" hidden="false" customHeight="false" outlineLevel="0" collapsed="false">
      <c r="A101" s="347" t="n">
        <v>0.0418</v>
      </c>
      <c r="B101" s="348" t="n">
        <f aca="false">(B3)/(1-A101)-B3</f>
        <v>0.231204341473596</v>
      </c>
      <c r="C101" s="363"/>
      <c r="D101" s="349" t="n">
        <v>0.0189</v>
      </c>
      <c r="E101" s="350" t="n">
        <f aca="false">(E$7)/(1-D101)-E$7</f>
        <v>0.114717663846703</v>
      </c>
      <c r="F101" s="346"/>
      <c r="G101" s="388" t="n">
        <v>0.0107</v>
      </c>
      <c r="H101" s="348" t="n">
        <f aca="false">(+H5)/(1-G101)-H5</f>
        <v>0.0627853027393108</v>
      </c>
      <c r="I101" s="331"/>
      <c r="J101" s="349" t="n">
        <v>0.0707</v>
      </c>
      <c r="K101" s="376" t="n">
        <f aca="false">(K$3)/(1-J101)-K$3</f>
        <v>0.384197783277735</v>
      </c>
      <c r="L101" s="331"/>
      <c r="M101" s="349" t="n">
        <v>0.0442</v>
      </c>
      <c r="N101" s="350" t="n">
        <f aca="false">(N$6)/(1-M101)-(N$6)</f>
        <v>0.240468717304876</v>
      </c>
      <c r="O101" s="331"/>
      <c r="P101" s="331"/>
      <c r="Q101" s="331"/>
      <c r="R101" s="363"/>
      <c r="S101" s="331"/>
      <c r="T101" s="331"/>
      <c r="U101" s="363"/>
      <c r="V101" s="331"/>
      <c r="W101" s="331"/>
      <c r="X101" s="363"/>
      <c r="Y101" s="331"/>
      <c r="Z101" s="331"/>
      <c r="AH101" s="377" t="s">
        <v>546</v>
      </c>
      <c r="AI101" s="378" t="n">
        <v>0.004</v>
      </c>
      <c r="AK101" s="377"/>
      <c r="AL101" s="378"/>
    </row>
    <row r="102" customFormat="false" ht="12.75" hidden="false" customHeight="false" outlineLevel="0" collapsed="false">
      <c r="A102" s="381"/>
      <c r="B102" s="354" t="n">
        <f aca="false">SUM(B99:B101)</f>
        <v>0.280604341473596</v>
      </c>
      <c r="C102" s="346"/>
      <c r="D102" s="340"/>
      <c r="E102" s="355" t="n">
        <f aca="false">SUM(E99:E101)</f>
        <v>0.442417663846703</v>
      </c>
      <c r="F102" s="351"/>
      <c r="G102" s="353"/>
      <c r="H102" s="354" t="n">
        <f aca="false">SUM(H99:H101)</f>
        <v>0.117885302739311</v>
      </c>
      <c r="I102" s="346"/>
      <c r="J102" s="342"/>
      <c r="K102" s="354" t="n">
        <f aca="false">SUM(K99:K101)</f>
        <v>0.436497783277736</v>
      </c>
      <c r="L102" s="346"/>
      <c r="M102" s="343"/>
      <c r="N102" s="355" t="n">
        <f aca="false">SUM(N99:N101)</f>
        <v>0.576968717304876</v>
      </c>
      <c r="O102" s="346"/>
      <c r="P102" s="331" t="n">
        <f aca="false">+'Offseason Rate'!B102+'Offseason Rate'!B3</f>
        <v>5.18937974068071</v>
      </c>
      <c r="Q102" s="331" t="n">
        <f aca="false">+P102*0.6</f>
        <v>3.11362784440843</v>
      </c>
      <c r="R102" s="346"/>
      <c r="S102" s="331" t="e">
        <f aca="false">+#REF!+'Offseason Rate'!E3</f>
        <v>#REF!</v>
      </c>
      <c r="T102" s="331" t="e">
        <f aca="false">+S102*0.6</f>
        <v>#REF!</v>
      </c>
      <c r="U102" s="346"/>
      <c r="V102" s="331"/>
      <c r="W102" s="331"/>
      <c r="X102" s="346"/>
      <c r="Y102" s="331"/>
      <c r="Z102" s="331"/>
      <c r="AH102" s="28" t="s">
        <v>547</v>
      </c>
      <c r="AI102" s="378" t="n">
        <v>0.008</v>
      </c>
      <c r="AL102" s="378"/>
    </row>
    <row r="103" customFormat="false" ht="12.75" hidden="false" customHeight="false" outlineLevel="0" collapsed="false">
      <c r="A103" s="382" t="s">
        <v>92</v>
      </c>
      <c r="B103" s="354" t="s">
        <v>600</v>
      </c>
      <c r="C103" s="351"/>
      <c r="D103" s="334"/>
      <c r="E103" s="355"/>
      <c r="G103" s="357" t="s">
        <v>459</v>
      </c>
      <c r="H103" s="366" t="s">
        <v>601</v>
      </c>
      <c r="I103" s="351"/>
      <c r="J103" s="333" t="s">
        <v>461</v>
      </c>
      <c r="K103" s="329" t="s">
        <v>582</v>
      </c>
      <c r="L103" s="351"/>
      <c r="M103" s="334" t="s">
        <v>463</v>
      </c>
      <c r="N103" s="355" t="s">
        <v>602</v>
      </c>
      <c r="O103" s="351"/>
      <c r="P103" s="346"/>
      <c r="Q103" s="346"/>
      <c r="R103" s="351"/>
      <c r="S103" s="346"/>
      <c r="T103" s="346"/>
      <c r="U103" s="351"/>
      <c r="V103" s="346"/>
      <c r="W103" s="346"/>
      <c r="X103" s="351"/>
      <c r="Y103" s="346"/>
      <c r="Z103" s="346"/>
      <c r="AH103" s="28" t="s">
        <v>553</v>
      </c>
      <c r="AI103" s="378" t="n">
        <v>0.004</v>
      </c>
      <c r="AL103" s="378"/>
    </row>
    <row r="104" customFormat="false" ht="12.75" hidden="false" customHeight="false" outlineLevel="0" collapsed="false">
      <c r="A104" s="383" t="s">
        <v>476</v>
      </c>
      <c r="B104" s="380" t="n">
        <v>0.0042</v>
      </c>
      <c r="C104" s="322"/>
      <c r="D104" s="340"/>
      <c r="E104" s="341"/>
      <c r="F104" s="322"/>
      <c r="G104" s="353" t="s">
        <v>476</v>
      </c>
      <c r="H104" s="339" t="n">
        <v>0.0427</v>
      </c>
      <c r="J104" s="342" t="s">
        <v>476</v>
      </c>
      <c r="K104" s="339" t="n">
        <v>0.057</v>
      </c>
      <c r="M104" s="343" t="s">
        <v>476</v>
      </c>
      <c r="N104" s="341" t="n">
        <v>0.1806</v>
      </c>
      <c r="P104" s="351"/>
      <c r="Q104" s="351"/>
      <c r="R104" s="322"/>
      <c r="S104" s="351"/>
      <c r="T104" s="351"/>
      <c r="U104" s="322"/>
      <c r="V104" s="351"/>
      <c r="W104" s="351"/>
      <c r="X104" s="322"/>
      <c r="Y104" s="351"/>
      <c r="Z104" s="351"/>
      <c r="AI104" s="378"/>
      <c r="AL104" s="378"/>
    </row>
    <row r="105" customFormat="false" ht="12.75" hidden="false" customHeight="false" outlineLevel="0" collapsed="false">
      <c r="A105" s="386" t="s">
        <v>120</v>
      </c>
      <c r="B105" s="380" t="n">
        <v>0</v>
      </c>
      <c r="C105" s="331"/>
      <c r="D105" s="340"/>
      <c r="E105" s="341"/>
      <c r="F105" s="331"/>
      <c r="G105" s="353" t="s">
        <v>120</v>
      </c>
      <c r="H105" s="339" t="n">
        <f aca="false">0.0022+0.007</f>
        <v>0.0092</v>
      </c>
      <c r="I105" s="322"/>
      <c r="J105" s="342" t="s">
        <v>120</v>
      </c>
      <c r="K105" s="339" t="n">
        <f aca="false">0.0022+0.007</f>
        <v>0.0092</v>
      </c>
      <c r="L105" s="322"/>
      <c r="M105" s="343" t="s">
        <v>120</v>
      </c>
      <c r="N105" s="344" t="n">
        <f aca="false">0.0022+0.007</f>
        <v>0.0092</v>
      </c>
      <c r="O105" s="322"/>
      <c r="P105" s="351"/>
      <c r="Q105" s="351"/>
      <c r="R105" s="331"/>
      <c r="S105" s="351"/>
      <c r="T105" s="351"/>
      <c r="U105" s="331"/>
      <c r="V105" s="351"/>
      <c r="W105" s="351"/>
      <c r="X105" s="331"/>
      <c r="Y105" s="322"/>
      <c r="Z105" s="322"/>
      <c r="AH105" s="375" t="n">
        <v>36586</v>
      </c>
      <c r="AK105" s="375"/>
    </row>
    <row r="106" customFormat="false" ht="12.75" hidden="false" customHeight="false" outlineLevel="0" collapsed="false">
      <c r="A106" s="347" t="n">
        <v>0.0057</v>
      </c>
      <c r="B106" s="348" t="n">
        <f aca="false">B3/(1-A106)-B3</f>
        <v>0.0303831841496534</v>
      </c>
      <c r="C106" s="331"/>
      <c r="D106" s="340"/>
      <c r="E106" s="350"/>
      <c r="F106" s="331"/>
      <c r="G106" s="347" t="n">
        <v>0.0117</v>
      </c>
      <c r="H106" s="352" t="n">
        <f aca="false">(+H5)/(1-G106)-H5</f>
        <v>0.0687225538804013</v>
      </c>
      <c r="I106" s="331"/>
      <c r="J106" s="349" t="n">
        <v>0.0796</v>
      </c>
      <c r="K106" s="376" t="n">
        <f aca="false">(K$3)/(1-J106)-K$3</f>
        <v>0.436744893524555</v>
      </c>
      <c r="L106" s="331"/>
      <c r="M106" s="349" t="n">
        <v>0.031</v>
      </c>
      <c r="N106" s="350" t="n">
        <f aca="false">(N$7)/(1-M106)-N$7</f>
        <v>0.189391124871001</v>
      </c>
      <c r="O106" s="331"/>
      <c r="P106" s="363"/>
      <c r="Q106" s="363"/>
      <c r="R106" s="331"/>
      <c r="S106" s="363"/>
      <c r="T106" s="363"/>
      <c r="U106" s="331"/>
      <c r="V106" s="363"/>
      <c r="W106" s="363"/>
      <c r="X106" s="331"/>
      <c r="Y106" s="331"/>
      <c r="Z106" s="331"/>
      <c r="AH106" s="377" t="s">
        <v>546</v>
      </c>
      <c r="AI106" s="378" t="n">
        <v>0.005</v>
      </c>
      <c r="AK106" s="377"/>
      <c r="AL106" s="378"/>
    </row>
    <row r="107" customFormat="false" ht="12.75" hidden="false" customHeight="false" outlineLevel="0" collapsed="false">
      <c r="A107" s="381"/>
      <c r="B107" s="354" t="n">
        <f aca="false">SUM(B104:B106)</f>
        <v>0.0345831841496534</v>
      </c>
      <c r="C107" s="346"/>
      <c r="D107" s="340"/>
      <c r="E107" s="355"/>
      <c r="F107" s="346"/>
      <c r="G107" s="353"/>
      <c r="H107" s="354" t="n">
        <f aca="false">SUM(H104:H106)</f>
        <v>0.120622553880401</v>
      </c>
      <c r="I107" s="331"/>
      <c r="J107" s="342"/>
      <c r="K107" s="354" t="n">
        <f aca="false">SUM(K104:K106)</f>
        <v>0.502944893524555</v>
      </c>
      <c r="L107" s="331"/>
      <c r="M107" s="343"/>
      <c r="N107" s="355" t="n">
        <f aca="false">SUM(N104:N106)</f>
        <v>0.379191124871001</v>
      </c>
      <c r="O107" s="331"/>
      <c r="P107" s="363" t="n">
        <f aca="false">+'Offseason Rate'!B107+'Offseason Rate'!B3</f>
        <v>5.14499045226131</v>
      </c>
      <c r="Q107" s="363" t="n">
        <f aca="false">+P107*0.4</f>
        <v>2.05799618090452</v>
      </c>
      <c r="R107" s="346"/>
      <c r="S107" s="363" t="n">
        <f aca="false">+'Offseason Rate'!E92+'Offseason Rate'!E3</f>
        <v>5.1920908884766</v>
      </c>
      <c r="T107" s="363" t="n">
        <f aca="false">+S107*0.4</f>
        <v>2.07683635539064</v>
      </c>
      <c r="U107" s="346"/>
      <c r="V107" s="363"/>
      <c r="W107" s="363"/>
      <c r="X107" s="346"/>
      <c r="Y107" s="331"/>
      <c r="Z107" s="331"/>
      <c r="AH107" s="28" t="s">
        <v>547</v>
      </c>
      <c r="AI107" s="378" t="n">
        <v>0.01</v>
      </c>
      <c r="AL107" s="378"/>
    </row>
    <row r="108" customFormat="false" ht="12.75" hidden="false" customHeight="false" outlineLevel="0" collapsed="false">
      <c r="A108" s="382" t="s">
        <v>92</v>
      </c>
      <c r="B108" s="354" t="s">
        <v>603</v>
      </c>
      <c r="C108" s="351"/>
      <c r="F108" s="351"/>
      <c r="G108" s="389" t="s">
        <v>604</v>
      </c>
      <c r="H108" s="366" t="s">
        <v>605</v>
      </c>
      <c r="I108" s="346"/>
      <c r="J108" s="333" t="s">
        <v>461</v>
      </c>
      <c r="K108" s="329" t="s">
        <v>606</v>
      </c>
      <c r="L108" s="346"/>
      <c r="M108" s="390"/>
      <c r="N108" s="351"/>
      <c r="O108" s="346"/>
      <c r="P108" s="363"/>
      <c r="Q108" s="363" t="n">
        <f aca="false">SUM(Q102:Q107)</f>
        <v>5.17162402531295</v>
      </c>
      <c r="R108" s="351"/>
      <c r="S108" s="363"/>
      <c r="T108" s="363" t="e">
        <f aca="false">SUM(T102:T107)</f>
        <v>#REF!</v>
      </c>
      <c r="U108" s="351"/>
      <c r="V108" s="363"/>
      <c r="W108" s="363"/>
      <c r="X108" s="351"/>
      <c r="Y108" s="346"/>
      <c r="Z108" s="346"/>
      <c r="AH108" s="28" t="s">
        <v>553</v>
      </c>
      <c r="AI108" s="378" t="n">
        <v>0.005</v>
      </c>
      <c r="AL108" s="378"/>
    </row>
    <row r="109" customFormat="false" ht="12.75" hidden="false" customHeight="false" outlineLevel="0" collapsed="false">
      <c r="A109" s="387" t="s">
        <v>476</v>
      </c>
      <c r="B109" s="380" t="n">
        <v>0.0112</v>
      </c>
      <c r="F109" s="322"/>
      <c r="G109" s="353" t="s">
        <v>476</v>
      </c>
      <c r="H109" s="339" t="n">
        <v>0.0427</v>
      </c>
      <c r="I109" s="351"/>
      <c r="J109" s="342" t="s">
        <v>476</v>
      </c>
      <c r="K109" s="339" t="n">
        <v>0.0141</v>
      </c>
      <c r="L109" s="351"/>
      <c r="M109" s="331"/>
      <c r="N109" s="363"/>
      <c r="O109" s="351"/>
      <c r="P109" s="346"/>
      <c r="Q109" s="346"/>
      <c r="S109" s="346"/>
      <c r="T109" s="346"/>
      <c r="V109" s="346"/>
      <c r="W109" s="346"/>
      <c r="Y109" s="351"/>
      <c r="Z109" s="351"/>
      <c r="AI109" s="378"/>
      <c r="AL109" s="378"/>
    </row>
    <row r="110" customFormat="false" ht="12.75" hidden="false" customHeight="false" outlineLevel="0" collapsed="false">
      <c r="A110" s="386" t="s">
        <v>120</v>
      </c>
      <c r="B110" s="380" t="n">
        <f aca="false">0.0022+0.007+0.0097</f>
        <v>0.0189</v>
      </c>
      <c r="C110" s="322"/>
      <c r="F110" s="331"/>
      <c r="G110" s="353" t="s">
        <v>120</v>
      </c>
      <c r="H110" s="339" t="n">
        <f aca="false">0.0022+0.007</f>
        <v>0.0092</v>
      </c>
      <c r="I110" s="322"/>
      <c r="J110" s="342" t="s">
        <v>120</v>
      </c>
      <c r="K110" s="339" t="n">
        <f aca="false">0.0022+0.007</f>
        <v>0.0092</v>
      </c>
      <c r="L110" s="322"/>
      <c r="M110" s="331"/>
      <c r="N110" s="331"/>
      <c r="O110" s="322"/>
      <c r="P110" s="351"/>
      <c r="Q110" s="351"/>
      <c r="R110" s="322"/>
      <c r="S110" s="351"/>
      <c r="T110" s="351"/>
      <c r="U110" s="322"/>
      <c r="V110" s="351"/>
      <c r="W110" s="351"/>
      <c r="X110" s="322"/>
      <c r="AH110" s="375" t="n">
        <v>36465</v>
      </c>
      <c r="AK110" s="375"/>
    </row>
    <row r="111" customFormat="false" ht="12.75" hidden="false" customHeight="false" outlineLevel="0" collapsed="false">
      <c r="A111" s="347" t="n">
        <v>0.0148</v>
      </c>
      <c r="B111" s="348" t="n">
        <f aca="false">B7/(1-A111)-B7</f>
        <v>0.0894579780755178</v>
      </c>
      <c r="C111" s="331"/>
      <c r="F111" s="331"/>
      <c r="G111" s="347" t="n">
        <v>0.005</v>
      </c>
      <c r="H111" s="376" t="n">
        <f aca="false">(+H$5)/(1-G111)-H$5</f>
        <v>0.0291708542713565</v>
      </c>
      <c r="I111" s="331"/>
      <c r="J111" s="391" t="n">
        <v>0.0284</v>
      </c>
      <c r="K111" s="376" t="n">
        <f aca="false">(K$6)/(1-J111)-(K$6)</f>
        <v>0.151996706463565</v>
      </c>
      <c r="L111" s="331"/>
      <c r="M111" s="331"/>
      <c r="N111" s="346"/>
      <c r="O111" s="331"/>
      <c r="P111" s="322"/>
      <c r="Q111" s="322"/>
      <c r="R111" s="331"/>
      <c r="S111" s="322"/>
      <c r="T111" s="322"/>
      <c r="U111" s="331"/>
      <c r="V111" s="322"/>
      <c r="W111" s="322"/>
      <c r="X111" s="331"/>
      <c r="AH111" s="377" t="s">
        <v>546</v>
      </c>
      <c r="AI111" s="378" t="n">
        <v>0</v>
      </c>
      <c r="AK111" s="377"/>
      <c r="AL111" s="378"/>
    </row>
    <row r="112" customFormat="false" ht="12.75" hidden="false" customHeight="false" outlineLevel="0" collapsed="false">
      <c r="A112" s="381"/>
      <c r="B112" s="354" t="n">
        <f aca="false">SUM(B109:B111)</f>
        <v>0.119557978075518</v>
      </c>
      <c r="C112" s="331"/>
      <c r="F112" s="346"/>
      <c r="G112" s="353"/>
      <c r="H112" s="354" t="n">
        <f aca="false">SUM(H109:H111)</f>
        <v>0.0810708542713565</v>
      </c>
      <c r="I112" s="331"/>
      <c r="J112" s="342"/>
      <c r="K112" s="354" t="n">
        <f aca="false">SUM(K109:K111)</f>
        <v>0.175296706463565</v>
      </c>
      <c r="L112" s="331"/>
      <c r="M112" s="331"/>
      <c r="N112" s="351"/>
      <c r="O112" s="331"/>
      <c r="P112" s="331"/>
      <c r="Q112" s="331"/>
      <c r="R112" s="331"/>
      <c r="S112" s="331"/>
      <c r="T112" s="331"/>
      <c r="U112" s="331"/>
      <c r="V112" s="331"/>
      <c r="W112" s="331"/>
      <c r="X112" s="331"/>
      <c r="AH112" s="28" t="s">
        <v>547</v>
      </c>
      <c r="AI112" s="378" t="n">
        <v>0.007</v>
      </c>
      <c r="AL112" s="378"/>
    </row>
    <row r="113" customFormat="false" ht="12.75" hidden="false" customHeight="false" outlineLevel="0" collapsed="false">
      <c r="A113" s="382" t="s">
        <v>92</v>
      </c>
      <c r="B113" s="354" t="s">
        <v>607</v>
      </c>
      <c r="C113" s="346"/>
      <c r="F113" s="351"/>
      <c r="G113" s="357" t="s">
        <v>459</v>
      </c>
      <c r="H113" s="366" t="s">
        <v>608</v>
      </c>
      <c r="I113" s="346"/>
      <c r="J113" s="333" t="s">
        <v>461</v>
      </c>
      <c r="K113" s="329" t="s">
        <v>587</v>
      </c>
      <c r="L113" s="346"/>
      <c r="M113" s="331"/>
      <c r="N113" s="331"/>
      <c r="O113" s="346"/>
      <c r="P113" s="331"/>
      <c r="Q113" s="331"/>
      <c r="R113" s="346"/>
      <c r="S113" s="331"/>
      <c r="T113" s="331"/>
      <c r="U113" s="346"/>
      <c r="V113" s="331"/>
      <c r="W113" s="331"/>
      <c r="X113" s="346"/>
      <c r="AH113" s="28" t="s">
        <v>553</v>
      </c>
      <c r="AI113" s="378" t="n">
        <v>0</v>
      </c>
      <c r="AL113" s="378"/>
    </row>
    <row r="114" customFormat="false" ht="12.75" hidden="false" customHeight="false" outlineLevel="0" collapsed="false">
      <c r="A114" s="387" t="s">
        <v>476</v>
      </c>
      <c r="B114" s="380" t="n">
        <v>0.017</v>
      </c>
      <c r="C114" s="351"/>
      <c r="G114" s="353" t="s">
        <v>476</v>
      </c>
      <c r="H114" s="339" t="n">
        <v>0.0765</v>
      </c>
      <c r="I114" s="351"/>
      <c r="J114" s="342" t="s">
        <v>476</v>
      </c>
      <c r="K114" s="339" t="n">
        <v>0.0344</v>
      </c>
      <c r="L114" s="351"/>
      <c r="M114" s="331"/>
      <c r="N114" s="331"/>
      <c r="O114" s="351"/>
      <c r="P114" s="346"/>
      <c r="Q114" s="346"/>
      <c r="R114" s="351"/>
      <c r="S114" s="346"/>
      <c r="T114" s="346"/>
      <c r="U114" s="351"/>
      <c r="V114" s="346"/>
      <c r="W114" s="346"/>
      <c r="X114" s="351"/>
      <c r="AI114" s="378"/>
    </row>
    <row r="115" customFormat="false" ht="12.75" hidden="false" customHeight="false" outlineLevel="0" collapsed="false">
      <c r="A115" s="386" t="s">
        <v>120</v>
      </c>
      <c r="B115" s="380" t="n">
        <f aca="false">0.0022+0.007+0.0097</f>
        <v>0.0189</v>
      </c>
      <c r="C115" s="322"/>
      <c r="G115" s="353" t="s">
        <v>120</v>
      </c>
      <c r="H115" s="339" t="n">
        <f aca="false">0.0022+0.007</f>
        <v>0.0092</v>
      </c>
      <c r="J115" s="342" t="s">
        <v>120</v>
      </c>
      <c r="K115" s="339" t="n">
        <f aca="false">0.0022+0.007</f>
        <v>0.0092</v>
      </c>
      <c r="M115" s="346"/>
      <c r="N115" s="346"/>
      <c r="P115" s="351"/>
      <c r="Q115" s="351"/>
      <c r="R115" s="322"/>
      <c r="S115" s="351"/>
      <c r="T115" s="351"/>
      <c r="U115" s="322"/>
      <c r="V115" s="351"/>
      <c r="W115" s="351"/>
      <c r="X115" s="322"/>
      <c r="AH115" s="375" t="n">
        <v>36434</v>
      </c>
      <c r="AK115" s="375"/>
    </row>
    <row r="116" customFormat="false" ht="12.75" hidden="false" customHeight="false" outlineLevel="0" collapsed="false">
      <c r="A116" s="347" t="n">
        <v>0.0229</v>
      </c>
      <c r="B116" s="348" t="n">
        <f aca="false">B7/(1-A116)-B7</f>
        <v>0.139565551120663</v>
      </c>
      <c r="C116" s="331"/>
      <c r="G116" s="388" t="n">
        <v>0.0186</v>
      </c>
      <c r="H116" s="348" t="n">
        <f aca="false">(+H5)/(1-G116)-H5</f>
        <v>0.110019360097819</v>
      </c>
      <c r="J116" s="391" t="n">
        <v>0.0416</v>
      </c>
      <c r="K116" s="376" t="n">
        <f aca="false">(K$6)/(1-J116)-(K$6)</f>
        <v>0.225709515859766</v>
      </c>
      <c r="M116" s="351"/>
      <c r="N116" s="351"/>
      <c r="R116" s="331"/>
      <c r="U116" s="331"/>
      <c r="X116" s="331"/>
      <c r="AH116" s="377" t="s">
        <v>546</v>
      </c>
      <c r="AI116" s="378" t="n">
        <v>0</v>
      </c>
      <c r="AK116" s="377"/>
      <c r="AL116" s="378"/>
    </row>
    <row r="117" customFormat="false" ht="12.75" hidden="false" customHeight="false" outlineLevel="0" collapsed="false">
      <c r="A117" s="381"/>
      <c r="B117" s="354" t="n">
        <f aca="false">SUM(B114:B116)</f>
        <v>0.175465551120663</v>
      </c>
      <c r="C117" s="331"/>
      <c r="G117" s="353"/>
      <c r="H117" s="354" t="n">
        <f aca="false">SUM(H114:H116)</f>
        <v>0.195719360097819</v>
      </c>
      <c r="J117" s="342"/>
      <c r="K117" s="354" t="n">
        <f aca="false">SUM(K114:K116)</f>
        <v>0.269309515859766</v>
      </c>
      <c r="M117" s="322"/>
      <c r="N117" s="322"/>
      <c r="P117" s="322"/>
      <c r="Q117" s="322"/>
      <c r="R117" s="331"/>
      <c r="S117" s="322"/>
      <c r="T117" s="322"/>
      <c r="U117" s="331"/>
      <c r="V117" s="322"/>
      <c r="W117" s="322"/>
      <c r="X117" s="331"/>
      <c r="AH117" s="28" t="s">
        <v>547</v>
      </c>
      <c r="AI117" s="378" t="n">
        <v>0.007</v>
      </c>
      <c r="AL117" s="378"/>
    </row>
    <row r="118" customFormat="false" ht="12.75" hidden="false" customHeight="false" outlineLevel="0" collapsed="false">
      <c r="A118" s="382" t="s">
        <v>92</v>
      </c>
      <c r="B118" s="354" t="s">
        <v>609</v>
      </c>
      <c r="C118" s="346"/>
      <c r="G118" s="357" t="s">
        <v>459</v>
      </c>
      <c r="H118" s="366" t="s">
        <v>610</v>
      </c>
      <c r="J118" s="333" t="s">
        <v>461</v>
      </c>
      <c r="K118" s="329" t="s">
        <v>591</v>
      </c>
      <c r="M118" s="331"/>
      <c r="N118" s="331"/>
      <c r="P118" s="331"/>
      <c r="Q118" s="331"/>
      <c r="R118" s="346"/>
      <c r="S118" s="331"/>
      <c r="T118" s="331"/>
      <c r="U118" s="346"/>
      <c r="V118" s="331"/>
      <c r="W118" s="331"/>
      <c r="X118" s="346"/>
      <c r="AH118" s="28" t="s">
        <v>553</v>
      </c>
      <c r="AI118" s="378" t="n">
        <v>0</v>
      </c>
      <c r="AL118" s="378"/>
    </row>
    <row r="119" customFormat="false" ht="12.75" hidden="false" customHeight="false" outlineLevel="0" collapsed="false">
      <c r="A119" s="383" t="s">
        <v>476</v>
      </c>
      <c r="B119" s="380" t="n">
        <v>0.0062</v>
      </c>
      <c r="C119" s="351"/>
      <c r="G119" s="353" t="s">
        <v>476</v>
      </c>
      <c r="H119" s="339" t="n">
        <v>0.0834</v>
      </c>
      <c r="J119" s="342" t="s">
        <v>476</v>
      </c>
      <c r="K119" s="339" t="n">
        <v>0.0483</v>
      </c>
      <c r="M119" s="331"/>
      <c r="N119" s="331"/>
      <c r="P119" s="331"/>
      <c r="Q119" s="331"/>
      <c r="R119" s="351"/>
      <c r="S119" s="331"/>
      <c r="T119" s="331"/>
      <c r="U119" s="351"/>
      <c r="V119" s="331"/>
      <c r="W119" s="331"/>
      <c r="X119" s="351"/>
      <c r="AI119" s="378"/>
    </row>
    <row r="120" customFormat="false" ht="12.75" hidden="false" customHeight="false" outlineLevel="0" collapsed="false">
      <c r="A120" s="386" t="s">
        <v>120</v>
      </c>
      <c r="B120" s="380" t="n">
        <f aca="false">0.0022+0.007+0.0097</f>
        <v>0.0189</v>
      </c>
      <c r="G120" s="353" t="s">
        <v>120</v>
      </c>
      <c r="H120" s="339" t="n">
        <f aca="false">0.0022+0.007</f>
        <v>0.0092</v>
      </c>
      <c r="J120" s="342" t="s">
        <v>120</v>
      </c>
      <c r="K120" s="339" t="n">
        <f aca="false">0.0022+0.007</f>
        <v>0.0092</v>
      </c>
      <c r="M120" s="346"/>
      <c r="N120" s="346"/>
      <c r="P120" s="346"/>
      <c r="Q120" s="346"/>
      <c r="S120" s="346"/>
      <c r="T120" s="346"/>
      <c r="V120" s="346"/>
      <c r="W120" s="346"/>
      <c r="AH120" s="375" t="n">
        <v>36404</v>
      </c>
      <c r="AK120" s="375"/>
    </row>
    <row r="121" customFormat="false" ht="12.75" hidden="false" customHeight="false" outlineLevel="0" collapsed="false">
      <c r="A121" s="392" t="n">
        <v>0.0081</v>
      </c>
      <c r="B121" s="348" t="n">
        <f aca="false">B$7/(1-A121)-B$7</f>
        <v>0.0486293981248114</v>
      </c>
      <c r="G121" s="392" t="n">
        <v>0.022</v>
      </c>
      <c r="H121" s="348" t="n">
        <f aca="false">(+H$5)/(1-G121)-H$5</f>
        <v>0.13058282208589</v>
      </c>
      <c r="J121" s="391" t="n">
        <v>0.0505</v>
      </c>
      <c r="K121" s="376" t="n">
        <f aca="false">(K$6)/(1-J121)-(K$6)</f>
        <v>0.276566614007372</v>
      </c>
      <c r="M121" s="351"/>
      <c r="N121" s="351"/>
      <c r="P121" s="351"/>
      <c r="Q121" s="351"/>
      <c r="S121" s="351"/>
      <c r="T121" s="351"/>
      <c r="V121" s="351"/>
      <c r="W121" s="351"/>
      <c r="AH121" s="377" t="s">
        <v>546</v>
      </c>
      <c r="AI121" s="378" t="n">
        <v>0</v>
      </c>
      <c r="AK121" s="377"/>
      <c r="AL121" s="378"/>
    </row>
    <row r="122" customFormat="false" ht="12.75" hidden="false" customHeight="false" outlineLevel="0" collapsed="false">
      <c r="A122" s="381" t="s">
        <v>499</v>
      </c>
      <c r="B122" s="354" t="n">
        <f aca="false">SUM(B119:B121)</f>
        <v>0.0737293981248114</v>
      </c>
      <c r="G122" s="353"/>
      <c r="H122" s="354" t="n">
        <f aca="false">SUM(H119:H121)</f>
        <v>0.22318282208589</v>
      </c>
      <c r="J122" s="342"/>
      <c r="K122" s="354" t="n">
        <f aca="false">SUM(K119:K121)</f>
        <v>0.334066614007372</v>
      </c>
      <c r="M122" s="351"/>
      <c r="N122" s="351"/>
      <c r="P122" s="322"/>
      <c r="Q122" s="322"/>
      <c r="S122" s="322"/>
      <c r="T122" s="322"/>
      <c r="V122" s="322"/>
      <c r="W122" s="322"/>
      <c r="AH122" s="28" t="s">
        <v>547</v>
      </c>
      <c r="AI122" s="378" t="n">
        <v>0.004</v>
      </c>
      <c r="AL122" s="378"/>
    </row>
    <row r="123" customFormat="false" ht="12.75" hidden="false" customHeight="false" outlineLevel="0" collapsed="false">
      <c r="A123" s="382" t="s">
        <v>92</v>
      </c>
      <c r="B123" s="354" t="s">
        <v>611</v>
      </c>
      <c r="G123" s="357" t="s">
        <v>459</v>
      </c>
      <c r="H123" s="366" t="s">
        <v>612</v>
      </c>
      <c r="J123" s="333" t="s">
        <v>461</v>
      </c>
      <c r="K123" s="354" t="s">
        <v>595</v>
      </c>
      <c r="M123" s="363"/>
      <c r="N123" s="363"/>
      <c r="P123" s="331"/>
      <c r="Q123" s="331"/>
      <c r="S123" s="331"/>
      <c r="T123" s="331"/>
      <c r="V123" s="331"/>
      <c r="W123" s="331"/>
      <c r="AH123" s="28" t="s">
        <v>553</v>
      </c>
      <c r="AI123" s="378" t="n">
        <v>0</v>
      </c>
      <c r="AL123" s="378"/>
    </row>
    <row r="124" customFormat="false" ht="12.75" hidden="false" customHeight="false" outlineLevel="0" collapsed="false">
      <c r="A124" s="383" t="s">
        <v>476</v>
      </c>
      <c r="B124" s="380" t="n">
        <v>0.017</v>
      </c>
      <c r="G124" s="353" t="s">
        <v>476</v>
      </c>
      <c r="H124" s="339" t="n">
        <v>0.0765</v>
      </c>
      <c r="J124" s="342" t="s">
        <v>476</v>
      </c>
      <c r="K124" s="380" t="n">
        <v>0.0245</v>
      </c>
      <c r="M124" s="363"/>
      <c r="N124" s="363"/>
      <c r="P124" s="331"/>
      <c r="Q124" s="331"/>
      <c r="S124" s="331"/>
      <c r="T124" s="331"/>
      <c r="V124" s="331"/>
      <c r="W124" s="331"/>
      <c r="AI124" s="378"/>
    </row>
    <row r="125" customFormat="false" ht="12.75" hidden="false" customHeight="false" outlineLevel="0" collapsed="false">
      <c r="A125" s="386" t="s">
        <v>120</v>
      </c>
      <c r="B125" s="380" t="n">
        <f aca="false">0.0022+0.0097</f>
        <v>0.0119</v>
      </c>
      <c r="G125" s="353" t="s">
        <v>120</v>
      </c>
      <c r="H125" s="339" t="n">
        <f aca="false">0.0022+0.007</f>
        <v>0.0092</v>
      </c>
      <c r="J125" s="342" t="s">
        <v>120</v>
      </c>
      <c r="K125" s="339" t="n">
        <f aca="false">0.0022</f>
        <v>0.0022</v>
      </c>
      <c r="M125" s="363"/>
      <c r="N125" s="363"/>
      <c r="P125" s="346"/>
      <c r="Q125" s="346"/>
      <c r="S125" s="346"/>
      <c r="T125" s="346"/>
      <c r="V125" s="346"/>
      <c r="W125" s="346"/>
      <c r="AH125" s="375" t="n">
        <v>36312</v>
      </c>
      <c r="AK125" s="375"/>
    </row>
    <row r="126" customFormat="false" ht="12.75" hidden="false" customHeight="false" outlineLevel="0" collapsed="false">
      <c r="A126" s="392" t="n">
        <v>0.0229</v>
      </c>
      <c r="B126" s="348" t="n">
        <f aca="false">B$7/(1-A126)-B$7</f>
        <v>0.139565551120663</v>
      </c>
      <c r="G126" s="392" t="n">
        <v>0.0127</v>
      </c>
      <c r="H126" s="348" t="n">
        <f aca="false">(+H$5)/(1-G126)-H$5</f>
        <v>0.0746718322698268</v>
      </c>
      <c r="J126" s="349" t="n">
        <v>0.0353</v>
      </c>
      <c r="K126" s="348" t="n">
        <f aca="false">(K$6)/(1-J126)-K$6</f>
        <v>0.190276769980305</v>
      </c>
      <c r="M126" s="346"/>
      <c r="N126" s="346"/>
      <c r="P126" s="351"/>
      <c r="Q126" s="351"/>
      <c r="S126" s="351"/>
      <c r="T126" s="351"/>
      <c r="V126" s="351"/>
      <c r="W126" s="351"/>
      <c r="AH126" s="377" t="s">
        <v>546</v>
      </c>
      <c r="AI126" s="378" t="n">
        <v>0.002</v>
      </c>
      <c r="AK126" s="377"/>
      <c r="AL126" s="378"/>
    </row>
    <row r="127" customFormat="false" ht="12.75" hidden="false" customHeight="false" outlineLevel="0" collapsed="false">
      <c r="A127" s="381" t="s">
        <v>499</v>
      </c>
      <c r="B127" s="354" t="n">
        <f aca="false">SUM(B124:B126)</f>
        <v>0.168465551120663</v>
      </c>
      <c r="G127" s="353"/>
      <c r="H127" s="354" t="n">
        <f aca="false">SUM(H124:H126)</f>
        <v>0.160371832269827</v>
      </c>
      <c r="J127" s="342"/>
      <c r="K127" s="354" t="n">
        <f aca="false">SUM(K124:K126)</f>
        <v>0.216976769980305</v>
      </c>
      <c r="M127" s="351"/>
      <c r="N127" s="351"/>
      <c r="AH127" s="28" t="s">
        <v>547</v>
      </c>
      <c r="AI127" s="378" t="n">
        <v>0.005</v>
      </c>
      <c r="AL127" s="378"/>
    </row>
    <row r="128" customFormat="false" ht="12.75" hidden="false" customHeight="false" outlineLevel="0" collapsed="false">
      <c r="A128" s="382" t="s">
        <v>92</v>
      </c>
      <c r="B128" s="354" t="s">
        <v>613</v>
      </c>
      <c r="G128" s="357" t="s">
        <v>459</v>
      </c>
      <c r="H128" s="366" t="s">
        <v>614</v>
      </c>
      <c r="J128" s="333" t="s">
        <v>461</v>
      </c>
      <c r="K128" s="354" t="s">
        <v>599</v>
      </c>
      <c r="M128" s="322"/>
      <c r="N128" s="322"/>
      <c r="AH128" s="28" t="s">
        <v>553</v>
      </c>
      <c r="AI128" s="378" t="n">
        <v>0.002</v>
      </c>
      <c r="AL128" s="378"/>
    </row>
    <row r="129" customFormat="false" ht="12.75" hidden="false" customHeight="false" outlineLevel="0" collapsed="false">
      <c r="A129" s="383" t="s">
        <v>476</v>
      </c>
      <c r="B129" s="380" t="n">
        <v>0.0305</v>
      </c>
      <c r="G129" s="353" t="s">
        <v>476</v>
      </c>
      <c r="H129" s="339" t="n">
        <v>0.0642</v>
      </c>
      <c r="J129" s="342" t="s">
        <v>476</v>
      </c>
      <c r="K129" s="380" t="n">
        <v>0.0385</v>
      </c>
      <c r="M129" s="331"/>
      <c r="N129" s="331"/>
      <c r="AI129" s="378"/>
    </row>
    <row r="130" customFormat="false" ht="12.75" hidden="false" customHeight="false" outlineLevel="0" collapsed="false">
      <c r="A130" s="386" t="s">
        <v>120</v>
      </c>
      <c r="B130" s="380" t="n">
        <f aca="false">0.007+0.0022+0.0097</f>
        <v>0.0189</v>
      </c>
      <c r="G130" s="353" t="s">
        <v>120</v>
      </c>
      <c r="H130" s="339" t="n">
        <f aca="false">0.0022+0.007</f>
        <v>0.0092</v>
      </c>
      <c r="J130" s="342" t="s">
        <v>120</v>
      </c>
      <c r="K130" s="339" t="n">
        <f aca="false">0.0022+0.007</f>
        <v>0.0092</v>
      </c>
      <c r="M130" s="331"/>
      <c r="N130" s="331"/>
      <c r="AH130" s="375" t="n">
        <v>36281</v>
      </c>
    </row>
    <row r="131" customFormat="false" ht="12.75" hidden="false" customHeight="false" outlineLevel="0" collapsed="false">
      <c r="A131" s="392" t="n">
        <v>0.0189</v>
      </c>
      <c r="B131" s="348" t="n">
        <f aca="false">B$7/(1-A131)-B$7</f>
        <v>0.114717663846703</v>
      </c>
      <c r="G131" s="347" t="n">
        <v>0.0085</v>
      </c>
      <c r="H131" s="348" t="n">
        <f aca="false">(+H4)/(1-G131)-H4</f>
        <v>0.0449646999495714</v>
      </c>
      <c r="J131" s="349" t="n">
        <v>0.0442</v>
      </c>
      <c r="K131" s="348" t="n">
        <f aca="false">(K$6)/(1-J131)-K$6</f>
        <v>0.240468717304876</v>
      </c>
      <c r="M131" s="346"/>
      <c r="N131" s="346"/>
      <c r="AH131" s="377" t="s">
        <v>546</v>
      </c>
      <c r="AI131" s="378" t="n">
        <v>0.002</v>
      </c>
    </row>
    <row r="132" customFormat="false" ht="12.75" hidden="false" customHeight="false" outlineLevel="0" collapsed="false">
      <c r="A132" s="381" t="s">
        <v>499</v>
      </c>
      <c r="B132" s="354" t="n">
        <f aca="false">SUM(B129:B131)</f>
        <v>0.164117663846703</v>
      </c>
      <c r="G132" s="353"/>
      <c r="H132" s="354" t="n">
        <f aca="false">SUM(H129:H131)</f>
        <v>0.118364699949571</v>
      </c>
      <c r="J132" s="342"/>
      <c r="K132" s="354" t="n">
        <f aca="false">SUM(K129:K131)</f>
        <v>0.288168717304876</v>
      </c>
      <c r="M132" s="351"/>
      <c r="N132" s="351"/>
      <c r="AH132" s="28" t="s">
        <v>547</v>
      </c>
      <c r="AI132" s="378" t="n">
        <v>0.005</v>
      </c>
    </row>
    <row r="133" customFormat="false" ht="12.75" hidden="false" customHeight="false" outlineLevel="0" collapsed="false">
      <c r="A133" s="382" t="s">
        <v>92</v>
      </c>
      <c r="B133" s="354" t="s">
        <v>615</v>
      </c>
      <c r="G133" s="357" t="s">
        <v>616</v>
      </c>
      <c r="H133" s="358"/>
      <c r="J133" s="333" t="s">
        <v>461</v>
      </c>
      <c r="K133" s="354" t="s">
        <v>602</v>
      </c>
      <c r="AH133" s="28" t="s">
        <v>553</v>
      </c>
      <c r="AI133" s="378" t="n">
        <v>0.002</v>
      </c>
    </row>
    <row r="134" customFormat="false" ht="12.75" hidden="false" customHeight="false" outlineLevel="0" collapsed="false">
      <c r="A134" s="383" t="s">
        <v>476</v>
      </c>
      <c r="B134" s="380" t="n">
        <v>0.0305</v>
      </c>
      <c r="G134" s="338" t="s">
        <v>476</v>
      </c>
      <c r="H134" s="339" t="n">
        <v>0.0094</v>
      </c>
      <c r="J134" s="342" t="s">
        <v>476</v>
      </c>
      <c r="K134" s="380" t="n">
        <v>0.0182</v>
      </c>
      <c r="M134" s="322"/>
      <c r="N134" s="322"/>
      <c r="AI134" s="378"/>
    </row>
    <row r="135" customFormat="false" ht="12.75" hidden="false" customHeight="false" outlineLevel="0" collapsed="false">
      <c r="A135" s="386" t="s">
        <v>120</v>
      </c>
      <c r="B135" s="380" t="n">
        <f aca="false">0.007+0.0022+0.0097</f>
        <v>0.0189</v>
      </c>
      <c r="G135" s="338" t="s">
        <v>120</v>
      </c>
      <c r="H135" s="339" t="n">
        <v>0.0022</v>
      </c>
      <c r="J135" s="342" t="s">
        <v>120</v>
      </c>
      <c r="K135" s="339" t="n">
        <f aca="false">0.0022+0.007</f>
        <v>0.0092</v>
      </c>
      <c r="M135" s="331"/>
      <c r="N135" s="331"/>
      <c r="AH135" s="375" t="n">
        <v>36251</v>
      </c>
    </row>
    <row r="136" customFormat="false" ht="12.75" hidden="false" customHeight="false" outlineLevel="0" collapsed="false">
      <c r="A136" s="392" t="n">
        <v>0.027</v>
      </c>
      <c r="B136" s="348" t="n">
        <f aca="false">B$7/(1-A136)-B$7</f>
        <v>0.165246659815005</v>
      </c>
      <c r="G136" s="338" t="s">
        <v>617</v>
      </c>
      <c r="H136" s="348" t="n">
        <f aca="false">(+AI3+AI17)/(1-0.0131)-(+AI3+AI17)</f>
        <v>0.0774510883019817</v>
      </c>
      <c r="J136" s="349" t="n">
        <v>0.031</v>
      </c>
      <c r="K136" s="393" t="n">
        <f aca="false">(K$7)/(1-J136)-K$7</f>
        <v>0.189391124871001</v>
      </c>
      <c r="M136" s="331"/>
      <c r="N136" s="331"/>
      <c r="AH136" s="377" t="s">
        <v>546</v>
      </c>
      <c r="AI136" s="378" t="n">
        <v>0.002</v>
      </c>
    </row>
    <row r="137" customFormat="false" ht="12.75" hidden="false" customHeight="false" outlineLevel="0" collapsed="false">
      <c r="A137" s="381" t="s">
        <v>499</v>
      </c>
      <c r="B137" s="354" t="n">
        <f aca="false">SUM(B134:B136)</f>
        <v>0.214646659815005</v>
      </c>
      <c r="G137" s="353"/>
      <c r="H137" s="354" t="n">
        <f aca="false">SUM(H134:H136)</f>
        <v>0.0890510883019817</v>
      </c>
      <c r="J137" s="394"/>
      <c r="K137" s="395" t="n">
        <f aca="false">SUM(K134:K136)</f>
        <v>0.216791124871001</v>
      </c>
      <c r="M137" s="346"/>
      <c r="N137" s="346"/>
      <c r="AH137" s="28" t="s">
        <v>547</v>
      </c>
      <c r="AI137" s="378" t="n">
        <v>0.007</v>
      </c>
    </row>
    <row r="138" customFormat="false" ht="12.75" hidden="false" customHeight="false" outlineLevel="0" collapsed="false">
      <c r="A138" s="382" t="s">
        <v>92</v>
      </c>
      <c r="B138" s="354" t="s">
        <v>618</v>
      </c>
      <c r="F138" s="74"/>
      <c r="G138" s="359" t="s">
        <v>459</v>
      </c>
      <c r="H138" s="360" t="s">
        <v>619</v>
      </c>
      <c r="I138" s="74"/>
      <c r="J138" s="333"/>
      <c r="K138" s="354"/>
      <c r="M138" s="351"/>
      <c r="N138" s="351"/>
      <c r="AH138" s="28" t="s">
        <v>553</v>
      </c>
      <c r="AI138" s="378" t="n">
        <v>0.002</v>
      </c>
    </row>
    <row r="139" customFormat="false" ht="12.75" hidden="false" customHeight="false" outlineLevel="0" collapsed="false">
      <c r="A139" s="383" t="s">
        <v>476</v>
      </c>
      <c r="B139" s="380" t="n">
        <v>0.0305</v>
      </c>
      <c r="D139" s="301"/>
      <c r="F139" s="74"/>
      <c r="G139" s="340" t="s">
        <v>476</v>
      </c>
      <c r="H139" s="345" t="n">
        <f aca="false">0.1599-0.0022</f>
        <v>0.1577</v>
      </c>
      <c r="I139" s="74"/>
      <c r="J139" s="396"/>
      <c r="K139" s="396"/>
      <c r="M139" s="322"/>
      <c r="N139" s="322"/>
      <c r="AI139" s="378"/>
    </row>
    <row r="140" customFormat="false" ht="12.75" hidden="false" customHeight="false" outlineLevel="0" collapsed="false">
      <c r="A140" s="386" t="s">
        <v>120</v>
      </c>
      <c r="B140" s="380" t="n">
        <f aca="false">0.0022+0.0097+0.007</f>
        <v>0.0189</v>
      </c>
      <c r="D140" s="301"/>
      <c r="F140" s="74"/>
      <c r="G140" s="340" t="s">
        <v>120</v>
      </c>
      <c r="H140" s="344" t="n">
        <f aca="false">0.0022+0+0.0225+0.007</f>
        <v>0.0317</v>
      </c>
      <c r="I140" s="74"/>
      <c r="J140" s="397"/>
      <c r="K140" s="397"/>
      <c r="M140" s="331"/>
      <c r="N140" s="331"/>
      <c r="AH140" s="375" t="n">
        <v>36220</v>
      </c>
    </row>
    <row r="141" customFormat="false" ht="12.75" hidden="false" customHeight="false" outlineLevel="0" collapsed="false">
      <c r="A141" s="392" t="n">
        <v>0.0081</v>
      </c>
      <c r="B141" s="348" t="n">
        <f aca="false">B$7/(1-A141)-B$7</f>
        <v>0.0486293981248114</v>
      </c>
      <c r="F141" s="74"/>
      <c r="G141" s="398" t="n">
        <v>0.0095</v>
      </c>
      <c r="H141" s="399" t="n">
        <f aca="false">(H4)/(1-G141)-H4</f>
        <v>0.0503054013124684</v>
      </c>
      <c r="I141" s="74"/>
      <c r="J141" s="400"/>
      <c r="K141" s="400"/>
      <c r="M141" s="331"/>
      <c r="N141" s="331"/>
      <c r="AH141" s="377" t="s">
        <v>546</v>
      </c>
      <c r="AI141" s="378" t="n">
        <v>0.001</v>
      </c>
    </row>
    <row r="142" customFormat="false" ht="12.75" hidden="false" customHeight="false" outlineLevel="0" collapsed="false">
      <c r="A142" s="381" t="s">
        <v>499</v>
      </c>
      <c r="B142" s="354" t="n">
        <f aca="false">SUM(B139:B141)</f>
        <v>0.0980293981248114</v>
      </c>
      <c r="F142" s="74"/>
      <c r="G142" s="356"/>
      <c r="H142" s="355" t="n">
        <f aca="false">SUM(H139:H141)</f>
        <v>0.239705401312468</v>
      </c>
      <c r="I142" s="74"/>
      <c r="J142" s="401"/>
      <c r="K142" s="401"/>
      <c r="M142" s="346"/>
      <c r="N142" s="346"/>
      <c r="AH142" s="28" t="s">
        <v>547</v>
      </c>
      <c r="AI142" s="378" t="n">
        <v>0.003</v>
      </c>
    </row>
    <row r="143" customFormat="false" ht="12.75" hidden="false" customHeight="false" outlineLevel="0" collapsed="false">
      <c r="F143" s="74"/>
      <c r="G143" s="359" t="s">
        <v>459</v>
      </c>
      <c r="H143" s="360" t="s">
        <v>620</v>
      </c>
      <c r="I143" s="74"/>
      <c r="J143" s="396"/>
      <c r="K143" s="396"/>
      <c r="M143" s="351"/>
      <c r="N143" s="351"/>
      <c r="AH143" s="28" t="s">
        <v>553</v>
      </c>
      <c r="AI143" s="378" t="n">
        <v>0.001</v>
      </c>
    </row>
    <row r="144" customFormat="false" ht="12.75" hidden="false" customHeight="false" outlineLevel="0" collapsed="false">
      <c r="F144" s="74"/>
      <c r="G144" s="340" t="s">
        <v>476</v>
      </c>
      <c r="H144" s="345" t="n">
        <f aca="false">0.3212-0.0022</f>
        <v>0.319</v>
      </c>
      <c r="I144" s="74"/>
      <c r="J144" s="396"/>
      <c r="K144" s="396"/>
      <c r="AI144" s="378"/>
    </row>
    <row r="145" customFormat="false" ht="12.75" hidden="false" customHeight="false" outlineLevel="0" collapsed="false">
      <c r="F145" s="74"/>
      <c r="G145" s="340" t="s">
        <v>120</v>
      </c>
      <c r="H145" s="344" t="n">
        <f aca="false">0.0022+0+0.0225+0.007</f>
        <v>0.0317</v>
      </c>
      <c r="I145" s="74"/>
      <c r="J145" s="397"/>
      <c r="K145" s="397"/>
      <c r="AH145" s="375" t="n">
        <v>36192</v>
      </c>
    </row>
    <row r="146" customFormat="false" ht="12.75" hidden="false" customHeight="false" outlineLevel="0" collapsed="false">
      <c r="G146" s="398" t="n">
        <v>0.0244</v>
      </c>
      <c r="H146" s="350" t="n">
        <f aca="false">(H3)/(1-G146)-H3</f>
        <v>0.130553505535056</v>
      </c>
      <c r="J146" s="400"/>
      <c r="K146" s="400"/>
      <c r="AH146" s="377" t="s">
        <v>546</v>
      </c>
      <c r="AI146" s="378" t="n">
        <v>0.004</v>
      </c>
    </row>
    <row r="147" customFormat="false" ht="12.75" hidden="false" customHeight="false" outlineLevel="0" collapsed="false">
      <c r="G147" s="356"/>
      <c r="H147" s="355" t="n">
        <f aca="false">SUM(H144:H146)</f>
        <v>0.481253505535056</v>
      </c>
      <c r="J147" s="401"/>
      <c r="K147" s="401"/>
      <c r="AH147" s="28" t="s">
        <v>547</v>
      </c>
      <c r="AI147" s="378" t="n">
        <v>0.01</v>
      </c>
    </row>
    <row r="148" customFormat="false" ht="12.75" hidden="false" customHeight="false" outlineLevel="0" collapsed="false">
      <c r="G148" s="359" t="s">
        <v>459</v>
      </c>
      <c r="H148" s="360" t="s">
        <v>621</v>
      </c>
      <c r="J148" s="396"/>
      <c r="K148" s="396"/>
      <c r="AH148" s="28" t="s">
        <v>553</v>
      </c>
      <c r="AI148" s="378" t="n">
        <v>0.004</v>
      </c>
    </row>
    <row r="149" customFormat="false" ht="12.75" hidden="false" customHeight="false" outlineLevel="0" collapsed="false">
      <c r="G149" s="340" t="s">
        <v>476</v>
      </c>
      <c r="H149" s="345" t="n">
        <v>0.4862</v>
      </c>
      <c r="J149" s="396"/>
      <c r="K149" s="396"/>
      <c r="AI149" s="378"/>
    </row>
    <row r="150" customFormat="false" ht="12.75" hidden="false" customHeight="false" outlineLevel="0" collapsed="false">
      <c r="G150" s="340" t="s">
        <v>120</v>
      </c>
      <c r="H150" s="344" t="n">
        <f aca="false">0.0022</f>
        <v>0.0022</v>
      </c>
      <c r="J150" s="397"/>
      <c r="K150" s="397"/>
      <c r="AH150" s="375" t="n">
        <v>36161</v>
      </c>
    </row>
    <row r="151" customFormat="false" ht="12.75" hidden="false" customHeight="false" outlineLevel="0" collapsed="false">
      <c r="G151" s="398" t="n">
        <v>0.0504</v>
      </c>
      <c r="H151" s="402" t="n">
        <f aca="false">(H3)/(1-G151)-H3</f>
        <v>0.277051390058972</v>
      </c>
      <c r="J151" s="400"/>
      <c r="K151" s="400"/>
      <c r="AH151" s="377" t="s">
        <v>546</v>
      </c>
      <c r="AI151" s="378" t="n">
        <v>0.003</v>
      </c>
    </row>
    <row r="152" customFormat="false" ht="12.75" hidden="false" customHeight="false" outlineLevel="0" collapsed="false">
      <c r="G152" s="356"/>
      <c r="H152" s="355" t="n">
        <f aca="false">SUM(H149:H151)</f>
        <v>0.765451390058972</v>
      </c>
      <c r="J152" s="400"/>
      <c r="K152" s="400"/>
      <c r="AH152" s="28" t="s">
        <v>547</v>
      </c>
      <c r="AI152" s="378" t="n">
        <v>0.008</v>
      </c>
    </row>
    <row r="153" customFormat="false" ht="12.75" hidden="false" customHeight="false" outlineLevel="0" collapsed="false">
      <c r="G153" s="359" t="s">
        <v>459</v>
      </c>
      <c r="H153" s="360" t="s">
        <v>622</v>
      </c>
      <c r="J153" s="403"/>
      <c r="K153" s="403"/>
      <c r="AH153" s="28" t="s">
        <v>553</v>
      </c>
      <c r="AI153" s="378" t="n">
        <v>0.003</v>
      </c>
    </row>
    <row r="154" customFormat="false" ht="12.75" hidden="false" customHeight="false" outlineLevel="0" collapsed="false">
      <c r="G154" s="340" t="s">
        <v>476</v>
      </c>
      <c r="H154" s="345" t="n">
        <v>0.5558</v>
      </c>
      <c r="J154" s="403"/>
      <c r="K154" s="403"/>
      <c r="AI154" s="378"/>
    </row>
    <row r="155" customFormat="false" ht="12.75" hidden="false" customHeight="false" outlineLevel="0" collapsed="false">
      <c r="G155" s="340" t="s">
        <v>120</v>
      </c>
      <c r="H155" s="344" t="n">
        <f aca="false">0.0022</f>
        <v>0.0022</v>
      </c>
      <c r="J155" s="403"/>
      <c r="K155" s="403"/>
      <c r="AH155" s="375" t="n">
        <v>36130</v>
      </c>
    </row>
    <row r="156" customFormat="false" ht="12.75" hidden="false" customHeight="false" outlineLevel="0" collapsed="false">
      <c r="G156" s="398" t="n">
        <v>0.058</v>
      </c>
      <c r="H156" s="402" t="n">
        <f aca="false">(H3)/(1-G156)-H3</f>
        <v>0.321401273885351</v>
      </c>
      <c r="J156" s="397"/>
      <c r="K156" s="397"/>
      <c r="AH156" s="377" t="s">
        <v>546</v>
      </c>
      <c r="AI156" s="378" t="n">
        <v>0.002</v>
      </c>
    </row>
    <row r="157" customFormat="false" ht="12.75" hidden="false" customHeight="false" outlineLevel="0" collapsed="false">
      <c r="G157" s="356"/>
      <c r="H157" s="355" t="n">
        <f aca="false">SUM(H154:H156)</f>
        <v>0.879401273885351</v>
      </c>
      <c r="J157" s="400"/>
      <c r="K157" s="400"/>
      <c r="AH157" s="28" t="s">
        <v>547</v>
      </c>
      <c r="AI157" s="378" t="n">
        <v>0.008</v>
      </c>
    </row>
    <row r="158" customFormat="false" ht="12.75" hidden="false" customHeight="false" outlineLevel="0" collapsed="false">
      <c r="G158" s="359" t="s">
        <v>459</v>
      </c>
      <c r="H158" s="360" t="s">
        <v>623</v>
      </c>
      <c r="J158" s="401"/>
      <c r="K158" s="401"/>
      <c r="AH158" s="28" t="s">
        <v>553</v>
      </c>
      <c r="AI158" s="378" t="n">
        <v>0.002</v>
      </c>
    </row>
    <row r="159" customFormat="false" ht="12.75" hidden="false" customHeight="false" outlineLevel="0" collapsed="false">
      <c r="G159" s="340" t="s">
        <v>476</v>
      </c>
      <c r="H159" s="345" t="n">
        <v>0.6285</v>
      </c>
      <c r="J159" s="396"/>
      <c r="K159" s="396"/>
      <c r="AI159" s="378"/>
    </row>
    <row r="160" customFormat="false" ht="12.75" hidden="false" customHeight="false" outlineLevel="0" collapsed="false">
      <c r="G160" s="340" t="s">
        <v>120</v>
      </c>
      <c r="H160" s="344" t="n">
        <f aca="false">0.0022+0.007</f>
        <v>0.0092</v>
      </c>
      <c r="J160" s="396"/>
      <c r="K160" s="396"/>
      <c r="AH160" s="375" t="n">
        <v>36100</v>
      </c>
    </row>
    <row r="161" customFormat="false" ht="12.75" hidden="false" customHeight="false" outlineLevel="0" collapsed="false">
      <c r="E161" s="74"/>
      <c r="G161" s="398" t="n">
        <v>0.0742</v>
      </c>
      <c r="H161" s="402" t="n">
        <f aca="false">(H3)/(1-G161)-H3</f>
        <v>0.418366817887233</v>
      </c>
      <c r="J161" s="397"/>
      <c r="K161" s="397"/>
      <c r="AH161" s="377" t="s">
        <v>546</v>
      </c>
      <c r="AI161" s="378" t="n">
        <v>0.003</v>
      </c>
    </row>
    <row r="162" customFormat="false" ht="12.75" hidden="false" customHeight="false" outlineLevel="0" collapsed="false">
      <c r="E162" s="74"/>
      <c r="G162" s="356"/>
      <c r="H162" s="355" t="n">
        <f aca="false">SUM(H159:H161)</f>
        <v>1.05606681788723</v>
      </c>
      <c r="J162" s="400"/>
      <c r="K162" s="400"/>
      <c r="AH162" s="28" t="s">
        <v>547</v>
      </c>
      <c r="AI162" s="378" t="n">
        <v>0.006</v>
      </c>
    </row>
    <row r="163" customFormat="false" ht="12.75" hidden="false" customHeight="false" outlineLevel="0" collapsed="false">
      <c r="E163" s="74"/>
      <c r="G163" s="359" t="s">
        <v>459</v>
      </c>
      <c r="H163" s="360" t="s">
        <v>624</v>
      </c>
      <c r="AH163" s="28" t="s">
        <v>553</v>
      </c>
      <c r="AI163" s="378" t="n">
        <v>0.003</v>
      </c>
    </row>
    <row r="164" customFormat="false" ht="12.75" hidden="false" customHeight="false" outlineLevel="0" collapsed="false">
      <c r="E164" s="74"/>
      <c r="G164" s="340" t="s">
        <v>476</v>
      </c>
      <c r="H164" s="345" t="n">
        <f aca="false">0.3703-0.0022</f>
        <v>0.3681</v>
      </c>
      <c r="J164" s="401"/>
      <c r="K164" s="401"/>
      <c r="AI164" s="378"/>
    </row>
    <row r="165" customFormat="false" ht="12.75" hidden="false" customHeight="false" outlineLevel="0" collapsed="false">
      <c r="E165" s="74"/>
      <c r="G165" s="340" t="s">
        <v>120</v>
      </c>
      <c r="H165" s="344" t="n">
        <f aca="false">0.0022+0+0.0225+0.007</f>
        <v>0.0317</v>
      </c>
      <c r="J165" s="396"/>
      <c r="K165" s="396"/>
      <c r="AH165" s="375" t="n">
        <v>36069</v>
      </c>
    </row>
    <row r="166" customFormat="false" ht="12.75" hidden="false" customHeight="false" outlineLevel="0" collapsed="false">
      <c r="E166" s="74"/>
      <c r="G166" s="398" t="n">
        <v>0.0369</v>
      </c>
      <c r="H166" s="402" t="n">
        <f aca="false">(H4)/(1-G166)-H4</f>
        <v>0.200955767833039</v>
      </c>
      <c r="J166" s="396"/>
      <c r="K166" s="396"/>
      <c r="AH166" s="377" t="s">
        <v>546</v>
      </c>
      <c r="AI166" s="378" t="n">
        <v>0</v>
      </c>
    </row>
    <row r="167" customFormat="false" ht="12.75" hidden="false" customHeight="false" outlineLevel="0" collapsed="false">
      <c r="E167" s="74"/>
      <c r="G167" s="356"/>
      <c r="H167" s="355" t="n">
        <f aca="false">SUM(H164:H166)</f>
        <v>0.600755767833039</v>
      </c>
      <c r="J167" s="397"/>
      <c r="K167" s="397"/>
      <c r="AH167" s="28" t="s">
        <v>547</v>
      </c>
      <c r="AI167" s="378" t="n">
        <v>0</v>
      </c>
    </row>
    <row r="168" customFormat="false" ht="12.75" hidden="false" customHeight="false" outlineLevel="0" collapsed="false">
      <c r="E168" s="74"/>
      <c r="G168" s="359" t="s">
        <v>459</v>
      </c>
      <c r="H168" s="404" t="s">
        <v>625</v>
      </c>
      <c r="J168" s="400"/>
      <c r="K168" s="400"/>
      <c r="AH168" s="28" t="s">
        <v>553</v>
      </c>
      <c r="AI168" s="378" t="n">
        <v>0</v>
      </c>
    </row>
    <row r="169" customFormat="false" ht="12.75" hidden="false" customHeight="false" outlineLevel="0" collapsed="false">
      <c r="G169" s="356" t="s">
        <v>476</v>
      </c>
      <c r="H169" s="345" t="n">
        <v>0.4281</v>
      </c>
      <c r="J169" s="401"/>
      <c r="K169" s="401"/>
    </row>
    <row r="170" customFormat="false" ht="12.75" hidden="false" customHeight="false" outlineLevel="0" collapsed="false">
      <c r="G170" s="356" t="s">
        <v>120</v>
      </c>
      <c r="H170" s="344" t="n">
        <f aca="false">0.0022</f>
        <v>0.0022</v>
      </c>
      <c r="J170" s="396"/>
      <c r="K170" s="396"/>
      <c r="AH170" s="375" t="n">
        <v>36039</v>
      </c>
    </row>
    <row r="171" customFormat="false" ht="12.75" hidden="false" customHeight="false" outlineLevel="0" collapsed="false">
      <c r="G171" s="349" t="n">
        <v>0.0429</v>
      </c>
      <c r="H171" s="350" t="n">
        <f aca="false">(H4)/(1-G171)-H4</f>
        <v>0.235096123707032</v>
      </c>
      <c r="J171" s="396"/>
      <c r="K171" s="396"/>
      <c r="AH171" s="377" t="s">
        <v>546</v>
      </c>
      <c r="AI171" s="378" t="n">
        <v>0</v>
      </c>
    </row>
    <row r="172" customFormat="false" ht="12.75" hidden="false" customHeight="false" outlineLevel="0" collapsed="false">
      <c r="G172" s="356"/>
      <c r="H172" s="355" t="n">
        <f aca="false">SUM(H169:H171)</f>
        <v>0.665396123707032</v>
      </c>
      <c r="J172" s="397"/>
      <c r="K172" s="397"/>
      <c r="AH172" s="28" t="s">
        <v>547</v>
      </c>
      <c r="AI172" s="378" t="n">
        <v>0</v>
      </c>
    </row>
    <row r="173" customFormat="false" ht="12.75" hidden="false" customHeight="false" outlineLevel="0" collapsed="false">
      <c r="G173" s="359" t="s">
        <v>459</v>
      </c>
      <c r="H173" s="404" t="s">
        <v>626</v>
      </c>
      <c r="J173" s="400"/>
      <c r="K173" s="400"/>
      <c r="AH173" s="28" t="s">
        <v>553</v>
      </c>
      <c r="AI173" s="378" t="n">
        <v>0</v>
      </c>
    </row>
    <row r="174" customFormat="false" ht="12.75" hidden="false" customHeight="false" outlineLevel="0" collapsed="false">
      <c r="G174" s="356" t="s">
        <v>476</v>
      </c>
      <c r="H174" s="345" t="n">
        <v>0.4955</v>
      </c>
    </row>
    <row r="175" customFormat="false" ht="12.75" hidden="false" customHeight="false" outlineLevel="0" collapsed="false">
      <c r="G175" s="356" t="s">
        <v>120</v>
      </c>
      <c r="H175" s="344" t="n">
        <f aca="false">0.0022</f>
        <v>0.0022</v>
      </c>
      <c r="AH175" s="375" t="n">
        <v>36008</v>
      </c>
    </row>
    <row r="176" customFormat="false" ht="12.75" hidden="false" customHeight="false" outlineLevel="0" collapsed="false">
      <c r="G176" s="349" t="n">
        <v>0.0506</v>
      </c>
      <c r="H176" s="350" t="n">
        <f aca="false">(H4)/(1-G176)-H4</f>
        <v>0.279541815883716</v>
      </c>
      <c r="AH176" s="377" t="s">
        <v>546</v>
      </c>
      <c r="AI176" s="378" t="n">
        <v>0</v>
      </c>
    </row>
    <row r="177" customFormat="false" ht="12.75" hidden="false" customHeight="false" outlineLevel="0" collapsed="false">
      <c r="G177" s="356"/>
      <c r="H177" s="355" t="n">
        <f aca="false">SUM(H174:H176)</f>
        <v>0.777241815883716</v>
      </c>
      <c r="AH177" s="28" t="s">
        <v>547</v>
      </c>
      <c r="AI177" s="378" t="n">
        <v>0</v>
      </c>
    </row>
    <row r="178" customFormat="false" ht="12.75" hidden="false" customHeight="false" outlineLevel="0" collapsed="false">
      <c r="G178" s="359" t="s">
        <v>459</v>
      </c>
      <c r="H178" s="404" t="s">
        <v>627</v>
      </c>
      <c r="AH178" s="28" t="s">
        <v>553</v>
      </c>
      <c r="AI178" s="378" t="n">
        <v>0</v>
      </c>
    </row>
    <row r="179" customFormat="false" ht="12.75" hidden="false" customHeight="false" outlineLevel="0" collapsed="false">
      <c r="G179" s="356" t="s">
        <v>476</v>
      </c>
      <c r="H179" s="345" t="n">
        <v>0.5701</v>
      </c>
    </row>
    <row r="180" customFormat="false" ht="12.75" hidden="false" customHeight="false" outlineLevel="0" collapsed="false">
      <c r="G180" s="356" t="s">
        <v>120</v>
      </c>
      <c r="H180" s="344" t="n">
        <f aca="false">0.0022+0.007</f>
        <v>0.0092</v>
      </c>
      <c r="AH180" s="375" t="n">
        <v>35977</v>
      </c>
    </row>
    <row r="181" customFormat="false" ht="12.75" hidden="false" customHeight="false" outlineLevel="0" collapsed="false">
      <c r="G181" s="349" t="n">
        <v>0.0597</v>
      </c>
      <c r="H181" s="350" t="n">
        <f aca="false">(H4)/(1-G181)-H4</f>
        <v>0.333007019036478</v>
      </c>
      <c r="AH181" s="377" t="s">
        <v>546</v>
      </c>
      <c r="AI181" s="378" t="n">
        <v>0</v>
      </c>
    </row>
    <row r="182" customFormat="false" ht="12.75" hidden="false" customHeight="false" outlineLevel="0" collapsed="false">
      <c r="G182" s="356"/>
      <c r="H182" s="355" t="n">
        <f aca="false">SUM(H179:H181)</f>
        <v>0.912307019036478</v>
      </c>
      <c r="AH182" s="28" t="s">
        <v>547</v>
      </c>
      <c r="AI182" s="378" t="n">
        <v>0</v>
      </c>
    </row>
    <row r="183" customFormat="false" ht="12.75" hidden="false" customHeight="false" outlineLevel="0" collapsed="false">
      <c r="G183" s="359" t="s">
        <v>459</v>
      </c>
      <c r="H183" s="404" t="s">
        <v>628</v>
      </c>
      <c r="AH183" s="28" t="s">
        <v>553</v>
      </c>
      <c r="AI183" s="378" t="n">
        <v>0</v>
      </c>
    </row>
    <row r="184" customFormat="false" ht="12.75" hidden="false" customHeight="false" outlineLevel="0" collapsed="false">
      <c r="B184" s="405"/>
      <c r="G184" s="356" t="s">
        <v>476</v>
      </c>
      <c r="H184" s="345" t="n">
        <v>0.6906</v>
      </c>
    </row>
    <row r="185" customFormat="false" ht="12.75" hidden="false" customHeight="false" outlineLevel="0" collapsed="false">
      <c r="B185" s="405"/>
      <c r="G185" s="356" t="s">
        <v>120</v>
      </c>
      <c r="H185" s="344" t="n">
        <f aca="false">0.0022+0.007</f>
        <v>0.0092</v>
      </c>
    </row>
    <row r="186" customFormat="false" ht="12.75" hidden="false" customHeight="false" outlineLevel="0" collapsed="false">
      <c r="G186" s="349" t="n">
        <v>0.0667</v>
      </c>
      <c r="H186" s="350" t="n">
        <f aca="false">(H3)/(1-G186)-H3</f>
        <v>0.373056894889103</v>
      </c>
    </row>
    <row r="187" customFormat="false" ht="12.75" hidden="false" customHeight="false" outlineLevel="0" collapsed="false">
      <c r="G187" s="356"/>
      <c r="H187" s="355" t="n">
        <f aca="false">SUM(H184:H186)</f>
        <v>1.0728568948891</v>
      </c>
    </row>
    <row r="188" customFormat="false" ht="12.75" hidden="false" customHeight="false" outlineLevel="0" collapsed="false">
      <c r="G188" s="359" t="s">
        <v>459</v>
      </c>
      <c r="H188" s="404" t="s">
        <v>629</v>
      </c>
    </row>
    <row r="189" customFormat="false" ht="12.75" hidden="false" customHeight="false" outlineLevel="0" collapsed="false">
      <c r="G189" s="356" t="s">
        <v>476</v>
      </c>
      <c r="H189" s="345" t="n">
        <v>0.3192</v>
      </c>
    </row>
    <row r="190" customFormat="false" ht="12.75" hidden="false" customHeight="false" outlineLevel="0" collapsed="false">
      <c r="G190" s="356" t="s">
        <v>120</v>
      </c>
      <c r="H190" s="344" t="n">
        <f aca="false">0.0022+0.007</f>
        <v>0.0092</v>
      </c>
    </row>
    <row r="191" customFormat="false" ht="12.75" hidden="false" customHeight="false" outlineLevel="0" collapsed="false">
      <c r="G191" s="349" t="n">
        <v>0.0192</v>
      </c>
      <c r="H191" s="350" t="n">
        <f aca="false">(H5)/(1-G191)-H5</f>
        <v>0.113637846655791</v>
      </c>
    </row>
    <row r="192" customFormat="false" ht="12.75" hidden="false" customHeight="false" outlineLevel="0" collapsed="false">
      <c r="G192" s="356"/>
      <c r="H192" s="355" t="n">
        <f aca="false">SUM(H189:H191)</f>
        <v>0.442037846655791</v>
      </c>
    </row>
    <row r="193" customFormat="false" ht="12.75" hidden="false" customHeight="false" outlineLevel="0" collapsed="false">
      <c r="G193" s="359" t="s">
        <v>459</v>
      </c>
      <c r="H193" s="404" t="s">
        <v>630</v>
      </c>
    </row>
    <row r="194" customFormat="false" ht="12.75" hidden="false" customHeight="false" outlineLevel="0" collapsed="false">
      <c r="G194" s="356" t="s">
        <v>476</v>
      </c>
      <c r="H194" s="345" t="n">
        <v>0.3699</v>
      </c>
    </row>
    <row r="195" customFormat="false" ht="12.75" hidden="false" customHeight="false" outlineLevel="0" collapsed="false">
      <c r="G195" s="356" t="s">
        <v>120</v>
      </c>
      <c r="H195" s="344" t="n">
        <f aca="false">0.0022+0.007</f>
        <v>0.0092</v>
      </c>
    </row>
    <row r="196" customFormat="false" ht="12.75" hidden="false" customHeight="false" outlineLevel="0" collapsed="false">
      <c r="G196" s="349" t="n">
        <v>0.0274</v>
      </c>
      <c r="H196" s="350" t="n">
        <f aca="false">(E5)/(1-G196)-E5</f>
        <v>0.145648776475427</v>
      </c>
    </row>
    <row r="197" customFormat="false" ht="12.75" hidden="false" customHeight="false" outlineLevel="0" collapsed="false">
      <c r="G197" s="356"/>
      <c r="H197" s="355" t="n">
        <f aca="false">SUM(H194:H196)</f>
        <v>0.524748776475427</v>
      </c>
    </row>
    <row r="198" customFormat="false" ht="12.75" hidden="false" customHeight="false" outlineLevel="0" collapsed="false">
      <c r="G198" s="359" t="s">
        <v>459</v>
      </c>
      <c r="H198" s="404" t="s">
        <v>631</v>
      </c>
    </row>
    <row r="199" customFormat="false" ht="12.75" hidden="false" customHeight="false" outlineLevel="0" collapsed="false">
      <c r="G199" s="356" t="s">
        <v>476</v>
      </c>
      <c r="H199" s="345" t="n">
        <v>0.197</v>
      </c>
    </row>
    <row r="200" customFormat="false" ht="12.75" hidden="false" customHeight="false" outlineLevel="0" collapsed="false">
      <c r="G200" s="356" t="s">
        <v>120</v>
      </c>
      <c r="H200" s="344" t="n">
        <f aca="false">0.0022+0.007</f>
        <v>0.0092</v>
      </c>
    </row>
    <row r="201" customFormat="false" ht="12.75" hidden="false" customHeight="false" outlineLevel="0" collapsed="false">
      <c r="G201" s="349" t="n">
        <v>0.0107</v>
      </c>
      <c r="H201" s="350" t="n">
        <f aca="false">(H5)/(1-G201)-H5</f>
        <v>0.0627853027393108</v>
      </c>
    </row>
    <row r="202" customFormat="false" ht="12.75" hidden="false" customHeight="false" outlineLevel="0" collapsed="false">
      <c r="G202" s="356"/>
      <c r="H202" s="355" t="n">
        <f aca="false">SUM(H199:H201)</f>
        <v>0.268985302739311</v>
      </c>
    </row>
    <row r="203" customFormat="false" ht="12.75" hidden="false" customHeight="false" outlineLevel="0" collapsed="false">
      <c r="G203" s="359" t="s">
        <v>459</v>
      </c>
      <c r="H203" s="404" t="s">
        <v>632</v>
      </c>
    </row>
    <row r="204" customFormat="false" ht="12.75" hidden="false" customHeight="false" outlineLevel="0" collapsed="false">
      <c r="G204" s="356" t="s">
        <v>476</v>
      </c>
      <c r="H204" s="345" t="n">
        <f aca="false">0.1786-0.0022</f>
        <v>0.1764</v>
      </c>
    </row>
    <row r="205" customFormat="false" ht="12.75" hidden="false" customHeight="false" outlineLevel="0" collapsed="false">
      <c r="G205" s="356" t="s">
        <v>120</v>
      </c>
      <c r="H205" s="344" t="n">
        <f aca="false">0.0022+0.007</f>
        <v>0.0092</v>
      </c>
    </row>
    <row r="206" customFormat="false" ht="12.75" hidden="false" customHeight="false" outlineLevel="0" collapsed="false">
      <c r="G206" s="349" t="n">
        <v>0.0117</v>
      </c>
      <c r="H206" s="350" t="n">
        <f aca="false">(H5)/(1-G206)-H5</f>
        <v>0.0687225538804013</v>
      </c>
    </row>
    <row r="207" customFormat="false" ht="12.75" hidden="false" customHeight="false" outlineLevel="0" collapsed="false">
      <c r="G207" s="356"/>
      <c r="H207" s="355" t="n">
        <f aca="false">SUM(H204:H206)</f>
        <v>0.254322553880401</v>
      </c>
    </row>
    <row r="208" customFormat="false" ht="12.75" hidden="false" customHeight="false" outlineLevel="0" collapsed="false">
      <c r="G208" s="359" t="s">
        <v>459</v>
      </c>
      <c r="H208" s="404" t="s">
        <v>633</v>
      </c>
    </row>
    <row r="209" customFormat="false" ht="12.75" hidden="false" customHeight="false" outlineLevel="0" collapsed="false">
      <c r="G209" s="356" t="s">
        <v>476</v>
      </c>
      <c r="H209" s="345" t="n">
        <v>0.2808</v>
      </c>
    </row>
    <row r="210" customFormat="false" ht="12.75" hidden="false" customHeight="false" outlineLevel="0" collapsed="false">
      <c r="G210" s="356" t="s">
        <v>120</v>
      </c>
      <c r="H210" s="344" t="n">
        <f aca="false">0.0022+0.007</f>
        <v>0.0092</v>
      </c>
    </row>
    <row r="211" customFormat="false" ht="12.75" hidden="false" customHeight="false" outlineLevel="0" collapsed="false">
      <c r="G211" s="349" t="n">
        <v>0.0186</v>
      </c>
      <c r="H211" s="350" t="n">
        <f aca="false">(H5)/(1-G211)-H5</f>
        <v>0.110019360097819</v>
      </c>
    </row>
    <row r="212" customFormat="false" ht="12.75" hidden="false" customHeight="false" outlineLevel="0" collapsed="false">
      <c r="G212" s="356"/>
      <c r="H212" s="355" t="n">
        <f aca="false">SUM(H209:H211)</f>
        <v>0.400019360097819</v>
      </c>
    </row>
    <row r="213" customFormat="false" ht="12.75" hidden="false" customHeight="false" outlineLevel="0" collapsed="false">
      <c r="G213" s="359" t="s">
        <v>459</v>
      </c>
      <c r="H213" s="404" t="s">
        <v>634</v>
      </c>
    </row>
    <row r="214" customFormat="false" ht="12.75" hidden="false" customHeight="false" outlineLevel="0" collapsed="false">
      <c r="G214" s="356" t="s">
        <v>476</v>
      </c>
      <c r="H214" s="345" t="n">
        <v>0.4898</v>
      </c>
    </row>
    <row r="215" customFormat="false" ht="12.75" hidden="false" customHeight="false" outlineLevel="0" collapsed="false">
      <c r="G215" s="356" t="s">
        <v>120</v>
      </c>
      <c r="H215" s="344" t="n">
        <f aca="false">0.0022+0.007</f>
        <v>0.0092</v>
      </c>
    </row>
    <row r="216" customFormat="false" ht="12.75" hidden="false" customHeight="false" outlineLevel="0" collapsed="false">
      <c r="G216" s="349" t="n">
        <v>0.0393</v>
      </c>
      <c r="H216" s="350" t="n">
        <f aca="false">(H5)/(1-G216)-H5</f>
        <v>0.237469032996773</v>
      </c>
    </row>
    <row r="217" customFormat="false" ht="12.75" hidden="false" customHeight="false" outlineLevel="0" collapsed="false">
      <c r="G217" s="356"/>
      <c r="H217" s="355" t="n">
        <f aca="false">SUM(H214:H216)</f>
        <v>0.736469032996773</v>
      </c>
    </row>
    <row r="218" customFormat="false" ht="12.75" hidden="false" customHeight="false" outlineLevel="0" collapsed="false">
      <c r="G218" s="359" t="s">
        <v>459</v>
      </c>
      <c r="H218" s="404" t="s">
        <v>635</v>
      </c>
    </row>
    <row r="219" customFormat="false" ht="12.75" hidden="false" customHeight="false" outlineLevel="0" collapsed="false">
      <c r="G219" s="356" t="s">
        <v>476</v>
      </c>
      <c r="H219" s="345" t="n">
        <v>0.3192</v>
      </c>
    </row>
    <row r="220" customFormat="false" ht="12.75" hidden="false" customHeight="false" outlineLevel="0" collapsed="false">
      <c r="G220" s="356" t="s">
        <v>120</v>
      </c>
      <c r="H220" s="344" t="n">
        <f aca="false">0.0022+0.007</f>
        <v>0.0092</v>
      </c>
    </row>
    <row r="221" customFormat="false" ht="12.75" hidden="false" customHeight="false" outlineLevel="0" collapsed="false">
      <c r="G221" s="349" t="n">
        <v>0.022</v>
      </c>
      <c r="H221" s="350" t="n">
        <f aca="false">(H5)/(1-G221)-H5</f>
        <v>0.13058282208589</v>
      </c>
    </row>
    <row r="222" customFormat="false" ht="12.75" hidden="false" customHeight="false" outlineLevel="0" collapsed="false">
      <c r="G222" s="356"/>
      <c r="H222" s="355" t="n">
        <f aca="false">SUM(H219:H221)</f>
        <v>0.45898282208589</v>
      </c>
    </row>
    <row r="223" customFormat="false" ht="12.75" hidden="false" customHeight="false" outlineLevel="0" collapsed="false">
      <c r="G223" s="359" t="s">
        <v>459</v>
      </c>
      <c r="H223" s="404" t="s">
        <v>636</v>
      </c>
    </row>
    <row r="224" customFormat="false" ht="12.75" hidden="false" customHeight="false" outlineLevel="0" collapsed="false">
      <c r="G224" s="356" t="s">
        <v>476</v>
      </c>
      <c r="H224" s="345" t="n">
        <v>0.2808</v>
      </c>
    </row>
    <row r="225" customFormat="false" ht="12.75" hidden="false" customHeight="false" outlineLevel="0" collapsed="false">
      <c r="G225" s="356" t="s">
        <v>120</v>
      </c>
      <c r="H225" s="344" t="n">
        <f aca="false">0.0022+0.007</f>
        <v>0.0092</v>
      </c>
    </row>
    <row r="226" customFormat="false" ht="12.75" hidden="false" customHeight="false" outlineLevel="0" collapsed="false">
      <c r="G226" s="349" t="n">
        <v>0.0127</v>
      </c>
      <c r="H226" s="350" t="n">
        <f aca="false">(H5)/(1-G226)-H5</f>
        <v>0.0746718322698268</v>
      </c>
    </row>
    <row r="227" customFormat="false" ht="12.75" hidden="false" customHeight="false" outlineLevel="0" collapsed="false">
      <c r="G227" s="356"/>
      <c r="H227" s="355" t="n">
        <f aca="false">SUM(H224:H226)</f>
        <v>0.364671832269827</v>
      </c>
    </row>
    <row r="228" customFormat="false" ht="12.75" hidden="false" customHeight="false" outlineLevel="0" collapsed="false">
      <c r="G228" s="359" t="s">
        <v>459</v>
      </c>
      <c r="H228" s="404" t="s">
        <v>637</v>
      </c>
    </row>
    <row r="229" customFormat="false" ht="12.75" hidden="false" customHeight="false" outlineLevel="0" collapsed="false">
      <c r="G229" s="356" t="s">
        <v>476</v>
      </c>
      <c r="H229" s="345" t="n">
        <v>0.2103</v>
      </c>
    </row>
    <row r="230" customFormat="false" ht="12.75" hidden="false" customHeight="false" outlineLevel="0" collapsed="false">
      <c r="G230" s="356" t="s">
        <v>120</v>
      </c>
      <c r="H230" s="344" t="n">
        <f aca="false">0.0022+0.007</f>
        <v>0.0092</v>
      </c>
    </row>
    <row r="231" customFormat="false" ht="12.75" hidden="false" customHeight="false" outlineLevel="0" collapsed="false">
      <c r="G231" s="349" t="n">
        <v>0.0085</v>
      </c>
      <c r="H231" s="350" t="n">
        <f aca="false">(H5)/(1-G231)-H5</f>
        <v>0.0497655068078666</v>
      </c>
    </row>
    <row r="232" customFormat="false" ht="12.75" hidden="false" customHeight="false" outlineLevel="0" collapsed="false">
      <c r="G232" s="356"/>
      <c r="H232" s="355" t="n">
        <f aca="false">SUM(H229:H231)</f>
        <v>0.269265506807867</v>
      </c>
    </row>
    <row r="233" customFormat="false" ht="12.75" hidden="false" customHeight="false" outlineLevel="0" collapsed="false">
      <c r="G233" s="74" t="s">
        <v>638</v>
      </c>
      <c r="H233" s="74"/>
    </row>
    <row r="234" customFormat="false" ht="12.75" hidden="false" customHeight="false" outlineLevel="0" collapsed="false">
      <c r="G234" s="406" t="s">
        <v>459</v>
      </c>
      <c r="H234" s="407" t="s">
        <v>639</v>
      </c>
      <c r="I234" s="297"/>
    </row>
    <row r="235" customFormat="false" ht="12.75" hidden="false" customHeight="false" outlineLevel="0" collapsed="false">
      <c r="G235" s="408" t="s">
        <v>476</v>
      </c>
      <c r="H235" s="409" t="n">
        <v>0.035</v>
      </c>
      <c r="I235" s="297"/>
    </row>
    <row r="236" customFormat="false" ht="12.75" hidden="false" customHeight="false" outlineLevel="0" collapsed="false">
      <c r="G236" s="408" t="s">
        <v>120</v>
      </c>
      <c r="H236" s="410" t="n">
        <v>0</v>
      </c>
      <c r="I236" s="297"/>
    </row>
    <row r="237" customFormat="false" ht="12.75" hidden="false" customHeight="false" outlineLevel="0" collapsed="false">
      <c r="G237" s="411" t="n">
        <v>0.0084</v>
      </c>
      <c r="H237" s="412" t="n">
        <f aca="false">(H$3)/(1-G237)-H$3</f>
        <v>0.0442194433239207</v>
      </c>
      <c r="I237" s="297"/>
    </row>
    <row r="238" customFormat="false" ht="12.75" hidden="false" customHeight="false" outlineLevel="0" collapsed="false">
      <c r="G238" s="408"/>
      <c r="H238" s="413" t="n">
        <f aca="false">SUM(H235:H237)</f>
        <v>0.0792194433239207</v>
      </c>
      <c r="I238" s="297"/>
    </row>
    <row r="239" customFormat="false" ht="12.75" hidden="false" customHeight="false" outlineLevel="0" collapsed="false">
      <c r="G239" s="414"/>
      <c r="H239" s="414"/>
      <c r="I239" s="297"/>
    </row>
    <row r="240" customFormat="false" ht="12.75" hidden="false" customHeight="false" outlineLevel="0" collapsed="false">
      <c r="G240" s="406" t="s">
        <v>459</v>
      </c>
      <c r="H240" s="407" t="s">
        <v>640</v>
      </c>
      <c r="I240" s="297"/>
    </row>
    <row r="241" customFormat="false" ht="12.75" hidden="false" customHeight="false" outlineLevel="0" collapsed="false">
      <c r="G241" s="408" t="s">
        <v>476</v>
      </c>
      <c r="H241" s="409" t="n">
        <v>0.035</v>
      </c>
      <c r="I241" s="297"/>
    </row>
    <row r="242" customFormat="false" ht="12.75" hidden="false" customHeight="false" outlineLevel="0" collapsed="false">
      <c r="G242" s="408" t="s">
        <v>120</v>
      </c>
      <c r="H242" s="410" t="n">
        <v>0</v>
      </c>
      <c r="I242" s="297"/>
    </row>
    <row r="243" customFormat="false" ht="12.75" hidden="false" customHeight="false" outlineLevel="0" collapsed="false">
      <c r="G243" s="411" t="n">
        <v>0.0244</v>
      </c>
      <c r="H243" s="412" t="n">
        <f aca="false">(H$3)/(1-G243)-H$3</f>
        <v>0.130553505535056</v>
      </c>
      <c r="I243" s="297"/>
    </row>
    <row r="244" customFormat="false" ht="12.75" hidden="false" customHeight="false" outlineLevel="0" collapsed="false">
      <c r="G244" s="408"/>
      <c r="H244" s="413" t="n">
        <f aca="false">SUM(H241:H243)</f>
        <v>0.165553505535056</v>
      </c>
      <c r="I244" s="297"/>
    </row>
    <row r="245" customFormat="false" ht="12.75" hidden="false" customHeight="false" outlineLevel="0" collapsed="false">
      <c r="G245" s="415"/>
      <c r="H245" s="415"/>
      <c r="I245" s="297"/>
    </row>
    <row r="246" customFormat="false" ht="12.75" hidden="false" customHeight="false" outlineLevel="0" collapsed="false">
      <c r="G246" s="406" t="s">
        <v>459</v>
      </c>
      <c r="H246" s="407" t="s">
        <v>641</v>
      </c>
      <c r="I246" s="297"/>
    </row>
    <row r="247" customFormat="false" ht="12.75" hidden="false" customHeight="false" outlineLevel="0" collapsed="false">
      <c r="G247" s="408" t="s">
        <v>476</v>
      </c>
      <c r="H247" s="409" t="n">
        <v>0.035</v>
      </c>
      <c r="I247" s="297"/>
    </row>
    <row r="248" customFormat="false" ht="12.75" hidden="false" customHeight="false" outlineLevel="0" collapsed="false">
      <c r="G248" s="408" t="s">
        <v>120</v>
      </c>
      <c r="H248" s="410" t="n">
        <v>0</v>
      </c>
      <c r="I248" s="297"/>
    </row>
    <row r="249" customFormat="false" ht="12.75" hidden="false" customHeight="false" outlineLevel="0" collapsed="false">
      <c r="G249" s="411" t="n">
        <v>0.0443</v>
      </c>
      <c r="H249" s="412" t="n">
        <f aca="false">(H$3)/(1-G249)-H$3</f>
        <v>0.241965051794496</v>
      </c>
      <c r="I249" s="297"/>
    </row>
    <row r="250" customFormat="false" ht="12.75" hidden="false" customHeight="false" outlineLevel="0" collapsed="false">
      <c r="G250" s="408"/>
      <c r="H250" s="413" t="n">
        <f aca="false">SUM(H247:H249)</f>
        <v>0.276965051794496</v>
      </c>
      <c r="I250" s="297"/>
    </row>
    <row r="251" customFormat="false" ht="12.75" hidden="false" customHeight="false" outlineLevel="0" collapsed="false">
      <c r="G251" s="415"/>
      <c r="H251" s="415"/>
      <c r="I251" s="297"/>
    </row>
    <row r="252" customFormat="false" ht="12.75" hidden="false" customHeight="false" outlineLevel="0" collapsed="false">
      <c r="G252" s="406" t="s">
        <v>459</v>
      </c>
      <c r="H252" s="407" t="s">
        <v>642</v>
      </c>
      <c r="I252" s="297"/>
    </row>
    <row r="253" customFormat="false" ht="12.75" hidden="false" customHeight="false" outlineLevel="0" collapsed="false">
      <c r="G253" s="408" t="s">
        <v>476</v>
      </c>
      <c r="H253" s="409" t="n">
        <v>0.035</v>
      </c>
      <c r="I253" s="297"/>
    </row>
    <row r="254" customFormat="false" ht="12.75" hidden="false" customHeight="false" outlineLevel="0" collapsed="false">
      <c r="G254" s="408" t="s">
        <v>120</v>
      </c>
      <c r="H254" s="410" t="n">
        <v>0</v>
      </c>
      <c r="I254" s="297"/>
    </row>
    <row r="255" customFormat="false" ht="12.75" hidden="false" customHeight="false" outlineLevel="0" collapsed="false">
      <c r="G255" s="411" t="n">
        <v>0.0504</v>
      </c>
      <c r="H255" s="412" t="n">
        <f aca="false">(H$3)/(1-G255)-H$3</f>
        <v>0.277051390058972</v>
      </c>
      <c r="I255" s="297"/>
    </row>
    <row r="256" customFormat="false" ht="12.75" hidden="false" customHeight="false" outlineLevel="0" collapsed="false">
      <c r="G256" s="408"/>
      <c r="H256" s="413" t="n">
        <f aca="false">SUM(H253:H255)</f>
        <v>0.312051390058972</v>
      </c>
      <c r="I256" s="297"/>
    </row>
    <row r="257" customFormat="false" ht="12.75" hidden="false" customHeight="false" outlineLevel="0" collapsed="false">
      <c r="G257" s="415"/>
      <c r="H257" s="415"/>
      <c r="I257" s="297"/>
    </row>
    <row r="258" customFormat="false" ht="12.75" hidden="false" customHeight="false" outlineLevel="0" collapsed="false">
      <c r="G258" s="406" t="s">
        <v>459</v>
      </c>
      <c r="H258" s="407" t="s">
        <v>643</v>
      </c>
      <c r="I258" s="297"/>
    </row>
    <row r="259" customFormat="false" ht="12.75" hidden="false" customHeight="false" outlineLevel="0" collapsed="false">
      <c r="G259" s="408" t="s">
        <v>476</v>
      </c>
      <c r="H259" s="409" t="n">
        <v>0.035</v>
      </c>
      <c r="I259" s="297"/>
    </row>
    <row r="260" customFormat="false" ht="12.75" hidden="false" customHeight="false" outlineLevel="0" collapsed="false">
      <c r="G260" s="408" t="s">
        <v>120</v>
      </c>
      <c r="H260" s="410" t="n">
        <v>0</v>
      </c>
      <c r="I260" s="297"/>
    </row>
    <row r="261" customFormat="false" ht="12.75" hidden="false" customHeight="false" outlineLevel="0" collapsed="false">
      <c r="G261" s="411" t="n">
        <v>0.0095</v>
      </c>
      <c r="H261" s="412" t="n">
        <f aca="false">(H$4)/(1-G261)-H$4</f>
        <v>0.0503054013124684</v>
      </c>
      <c r="I261" s="297"/>
    </row>
    <row r="262" customFormat="false" ht="12.75" hidden="false" customHeight="false" outlineLevel="0" collapsed="false">
      <c r="G262" s="408"/>
      <c r="H262" s="413" t="n">
        <f aca="false">SUM(H259:H261)</f>
        <v>0.0853054013124684</v>
      </c>
      <c r="I262" s="297"/>
    </row>
    <row r="263" customFormat="false" ht="12.75" hidden="false" customHeight="false" outlineLevel="0" collapsed="false">
      <c r="G263" s="415"/>
      <c r="H263" s="415"/>
      <c r="I263" s="297"/>
    </row>
    <row r="264" customFormat="false" ht="12.75" hidden="false" customHeight="false" outlineLevel="0" collapsed="false">
      <c r="G264" s="406" t="s">
        <v>459</v>
      </c>
      <c r="H264" s="407" t="s">
        <v>644</v>
      </c>
      <c r="I264" s="297"/>
    </row>
    <row r="265" customFormat="false" ht="12.75" hidden="false" customHeight="false" outlineLevel="0" collapsed="false">
      <c r="G265" s="408" t="s">
        <v>476</v>
      </c>
      <c r="H265" s="409" t="n">
        <v>0.035</v>
      </c>
      <c r="I265" s="297"/>
    </row>
    <row r="266" customFormat="false" ht="12.75" hidden="false" customHeight="false" outlineLevel="0" collapsed="false">
      <c r="G266" s="408" t="s">
        <v>120</v>
      </c>
      <c r="H266" s="410" t="n">
        <v>0</v>
      </c>
      <c r="I266" s="297"/>
    </row>
    <row r="267" customFormat="false" ht="12.75" hidden="false" customHeight="false" outlineLevel="0" collapsed="false">
      <c r="G267" s="411" t="n">
        <v>0.017</v>
      </c>
      <c r="H267" s="412" t="n">
        <f aca="false">(H$4)/(1-G267)-H$4</f>
        <v>0.0907070193285859</v>
      </c>
      <c r="I267" s="297"/>
    </row>
    <row r="268" customFormat="false" ht="12.75" hidden="false" customHeight="false" outlineLevel="0" collapsed="false">
      <c r="G268" s="408"/>
      <c r="H268" s="413" t="n">
        <f aca="false">SUM(H265:H267)</f>
        <v>0.125707019328586</v>
      </c>
      <c r="I268" s="297"/>
    </row>
    <row r="269" customFormat="false" ht="12.75" hidden="false" customHeight="false" outlineLevel="0" collapsed="false">
      <c r="G269" s="415"/>
      <c r="H269" s="415"/>
      <c r="I269" s="297"/>
    </row>
    <row r="270" customFormat="false" ht="12.75" hidden="false" customHeight="false" outlineLevel="0" collapsed="false">
      <c r="G270" s="406" t="s">
        <v>459</v>
      </c>
      <c r="H270" s="407" t="s">
        <v>645</v>
      </c>
      <c r="I270" s="297"/>
    </row>
    <row r="271" customFormat="false" ht="12.75" hidden="false" customHeight="false" outlineLevel="0" collapsed="false">
      <c r="G271" s="408" t="s">
        <v>476</v>
      </c>
      <c r="H271" s="409" t="n">
        <v>0.035</v>
      </c>
      <c r="I271" s="297"/>
    </row>
    <row r="272" customFormat="false" ht="12.75" hidden="false" customHeight="false" outlineLevel="0" collapsed="false">
      <c r="G272" s="408" t="s">
        <v>120</v>
      </c>
      <c r="H272" s="410" t="n">
        <v>0</v>
      </c>
      <c r="I272" s="297"/>
    </row>
    <row r="273" customFormat="false" ht="12.75" hidden="false" customHeight="false" outlineLevel="0" collapsed="false">
      <c r="G273" s="411" t="n">
        <v>0.0369</v>
      </c>
      <c r="H273" s="412" t="n">
        <f aca="false">(H$4)/(1-G273)-H$4</f>
        <v>0.200955767833039</v>
      </c>
      <c r="I273" s="297"/>
    </row>
    <row r="274" customFormat="false" ht="12.75" hidden="false" customHeight="false" outlineLevel="0" collapsed="false">
      <c r="G274" s="408"/>
      <c r="H274" s="413" t="n">
        <f aca="false">SUM(H271:H273)</f>
        <v>0.235955767833039</v>
      </c>
      <c r="I274" s="297"/>
    </row>
    <row r="275" customFormat="false" ht="12.75" hidden="false" customHeight="false" outlineLevel="0" collapsed="false">
      <c r="G275" s="415"/>
      <c r="H275" s="415"/>
      <c r="I275" s="297"/>
    </row>
    <row r="276" customFormat="false" ht="12.75" hidden="false" customHeight="false" outlineLevel="0" collapsed="false">
      <c r="G276" s="406" t="s">
        <v>459</v>
      </c>
      <c r="H276" s="407" t="s">
        <v>646</v>
      </c>
      <c r="I276" s="297"/>
    </row>
    <row r="277" customFormat="false" ht="12.75" hidden="false" customHeight="false" outlineLevel="0" collapsed="false">
      <c r="G277" s="408" t="s">
        <v>476</v>
      </c>
      <c r="H277" s="409" t="n">
        <v>0.035</v>
      </c>
      <c r="I277" s="297"/>
    </row>
    <row r="278" customFormat="false" ht="12.75" hidden="false" customHeight="false" outlineLevel="0" collapsed="false">
      <c r="G278" s="408" t="s">
        <v>120</v>
      </c>
      <c r="H278" s="410" t="n">
        <v>0</v>
      </c>
      <c r="I278" s="297"/>
    </row>
    <row r="279" customFormat="false" ht="12.75" hidden="false" customHeight="false" outlineLevel="0" collapsed="false">
      <c r="G279" s="411" t="n">
        <v>0.0429</v>
      </c>
      <c r="H279" s="412" t="n">
        <f aca="false">(H$4)/(1-G279)-H$4</f>
        <v>0.235096123707032</v>
      </c>
      <c r="I279" s="297"/>
    </row>
    <row r="280" customFormat="false" ht="12.75" hidden="false" customHeight="false" outlineLevel="0" collapsed="false">
      <c r="G280" s="408"/>
      <c r="H280" s="413" t="n">
        <f aca="false">SUM(H277:H279)</f>
        <v>0.270096123707032</v>
      </c>
      <c r="I280" s="297"/>
    </row>
  </sheetData>
  <mergeCells count="1">
    <mergeCell ref="G2:I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16" width="18.41"/>
    <col collapsed="false" customWidth="true" hidden="false" outlineLevel="0" max="4" min="3" style="416" width="8.85"/>
    <col collapsed="false" customWidth="true" hidden="false" outlineLevel="0" max="5" min="5" style="417" width="8.85"/>
    <col collapsed="false" customWidth="true" hidden="false" outlineLevel="0" max="6" min="6" style="416" width="8.85"/>
    <col collapsed="false" customWidth="true" hidden="false" outlineLevel="0" max="10" min="7" style="0" width="8.85"/>
  </cols>
  <sheetData>
    <row r="1" customFormat="false" ht="12.75" hidden="false" customHeight="false" outlineLevel="0" collapsed="false">
      <c r="A1" s="416" t="s">
        <v>647</v>
      </c>
      <c r="B1" s="0" t="s">
        <v>648</v>
      </c>
    </row>
    <row r="2" customFormat="false" ht="12.75" hidden="false" customHeight="false" outlineLevel="0" collapsed="false">
      <c r="B2" s="0" t="s">
        <v>649</v>
      </c>
    </row>
    <row r="3" customFormat="false" ht="12.75" hidden="false" customHeight="false" outlineLevel="0" collapsed="false">
      <c r="B3" s="0" t="s">
        <v>650</v>
      </c>
    </row>
    <row r="4" customFormat="false" ht="12.75" hidden="false" customHeight="false" outlineLevel="0" collapsed="false">
      <c r="B4" s="0" t="s">
        <v>651</v>
      </c>
    </row>
    <row r="7" customFormat="false" ht="12.75" hidden="false" customHeight="false" outlineLevel="0" collapsed="false">
      <c r="B7" s="418" t="s">
        <v>652</v>
      </c>
      <c r="C7" s="419"/>
      <c r="D7" s="419"/>
      <c r="E7" s="419"/>
      <c r="F7" s="419"/>
      <c r="G7" s="418"/>
      <c r="H7" s="418"/>
      <c r="I7" s="418"/>
    </row>
    <row r="8" customFormat="false" ht="12.75" hidden="false" customHeight="false" outlineLevel="0" collapsed="false">
      <c r="B8" s="418"/>
      <c r="C8" s="419"/>
      <c r="D8" s="420" t="s">
        <v>653</v>
      </c>
      <c r="E8" s="420"/>
      <c r="F8" s="420"/>
      <c r="G8" s="420"/>
      <c r="H8" s="420"/>
      <c r="I8" s="420"/>
    </row>
    <row r="9" customFormat="false" ht="12.75" hidden="false" customHeight="false" outlineLevel="0" collapsed="false">
      <c r="B9" s="418"/>
      <c r="C9" s="419"/>
      <c r="D9" s="421" t="n">
        <v>1</v>
      </c>
      <c r="E9" s="422" t="n">
        <v>2</v>
      </c>
      <c r="F9" s="421" t="n">
        <v>3</v>
      </c>
      <c r="G9" s="423" t="n">
        <v>4</v>
      </c>
      <c r="H9" s="423" t="n">
        <v>5</v>
      </c>
      <c r="I9" s="423" t="n">
        <v>6</v>
      </c>
    </row>
    <row r="10" customFormat="false" ht="12.75" hidden="false" customHeight="false" outlineLevel="0" collapsed="false">
      <c r="B10" s="418"/>
      <c r="C10" s="419" t="s">
        <v>654</v>
      </c>
      <c r="D10" s="419"/>
      <c r="E10" s="424"/>
      <c r="F10" s="419"/>
      <c r="G10" s="418"/>
      <c r="H10" s="418"/>
      <c r="I10" s="418"/>
    </row>
    <row r="11" customFormat="false" ht="12.75" hidden="false" customHeight="false" outlineLevel="0" collapsed="false">
      <c r="B11" s="418"/>
      <c r="C11" s="419" t="n">
        <v>1</v>
      </c>
      <c r="D11" s="425" t="n">
        <v>0.0036</v>
      </c>
      <c r="E11" s="426" t="n">
        <v>0.0082</v>
      </c>
      <c r="F11" s="425" t="n">
        <v>0.0127</v>
      </c>
      <c r="G11" s="427" t="n">
        <v>0.032</v>
      </c>
      <c r="H11" s="427" t="n">
        <v>0.0475</v>
      </c>
      <c r="I11" s="427" t="n">
        <v>0.056</v>
      </c>
    </row>
    <row r="12" customFormat="false" ht="12.75" hidden="false" customHeight="false" outlineLevel="0" collapsed="false">
      <c r="B12" s="418"/>
      <c r="C12" s="419"/>
      <c r="D12" s="425"/>
      <c r="E12" s="426"/>
      <c r="F12" s="425"/>
      <c r="G12" s="427"/>
      <c r="H12" s="427"/>
      <c r="I12" s="427"/>
    </row>
    <row r="13" customFormat="false" ht="12.75" hidden="false" customHeight="false" outlineLevel="0" collapsed="false">
      <c r="B13" s="418"/>
      <c r="C13" s="419" t="n">
        <v>2</v>
      </c>
      <c r="D13" s="425"/>
      <c r="E13" s="426" t="n">
        <v>0.0046</v>
      </c>
      <c r="F13" s="425" t="n">
        <v>0.0091</v>
      </c>
      <c r="G13" s="427" t="n">
        <v>0.0284</v>
      </c>
      <c r="H13" s="427" t="n">
        <v>0.0439</v>
      </c>
      <c r="I13" s="427" t="n">
        <v>0.0524</v>
      </c>
    </row>
    <row r="14" customFormat="false" ht="12.75" hidden="false" customHeight="false" outlineLevel="0" collapsed="false">
      <c r="B14" s="418"/>
      <c r="C14" s="419" t="s">
        <v>9</v>
      </c>
      <c r="D14" s="425"/>
      <c r="E14" s="426"/>
      <c r="F14" s="425"/>
      <c r="G14" s="427"/>
      <c r="H14" s="427"/>
      <c r="I14" s="427"/>
    </row>
    <row r="15" customFormat="false" ht="12.75" hidden="false" customHeight="false" outlineLevel="0" collapsed="false">
      <c r="B15" s="418"/>
      <c r="C15" s="419" t="n">
        <v>3</v>
      </c>
      <c r="D15" s="425"/>
      <c r="E15" s="426"/>
      <c r="F15" s="425" t="n">
        <v>0.0045</v>
      </c>
      <c r="G15" s="427" t="n">
        <v>0.0238</v>
      </c>
      <c r="H15" s="427" t="n">
        <v>0.0393</v>
      </c>
      <c r="I15" s="427" t="n">
        <v>0.0478</v>
      </c>
    </row>
    <row r="16" customFormat="false" ht="12.75" hidden="false" customHeight="false" outlineLevel="0" collapsed="false">
      <c r="B16" s="418"/>
      <c r="C16" s="419"/>
      <c r="D16" s="425"/>
      <c r="E16" s="426"/>
      <c r="F16" s="425"/>
      <c r="G16" s="427"/>
      <c r="H16" s="427"/>
      <c r="I16" s="427"/>
    </row>
    <row r="17" customFormat="false" ht="12.75" hidden="false" customHeight="false" outlineLevel="0" collapsed="false">
      <c r="B17" s="418"/>
      <c r="C17" s="419" t="n">
        <v>4</v>
      </c>
      <c r="D17" s="425"/>
      <c r="E17" s="426"/>
      <c r="F17" s="425"/>
      <c r="G17" s="427" t="n">
        <v>0.0193</v>
      </c>
      <c r="H17" s="427" t="n">
        <v>0.0348</v>
      </c>
      <c r="I17" s="427" t="n">
        <v>0.0433</v>
      </c>
    </row>
    <row r="18" customFormat="false" ht="12.75" hidden="false" customHeight="false" outlineLevel="0" collapsed="false">
      <c r="B18" s="418"/>
      <c r="C18" s="419"/>
      <c r="D18" s="425"/>
      <c r="E18" s="426"/>
      <c r="F18" s="425"/>
      <c r="G18" s="427"/>
      <c r="H18" s="427"/>
      <c r="I18" s="427"/>
    </row>
    <row r="19" customFormat="false" ht="12.75" hidden="false" customHeight="false" outlineLevel="0" collapsed="false">
      <c r="B19" s="418"/>
      <c r="C19" s="419" t="n">
        <v>5</v>
      </c>
      <c r="D19" s="425"/>
      <c r="E19" s="426"/>
      <c r="F19" s="425"/>
      <c r="G19" s="427"/>
      <c r="H19" s="427" t="n">
        <v>0.0155</v>
      </c>
      <c r="I19" s="427" t="n">
        <v>0.024</v>
      </c>
    </row>
    <row r="20" customFormat="false" ht="12.75" hidden="false" customHeight="false" outlineLevel="0" collapsed="false">
      <c r="B20" s="418"/>
      <c r="C20" s="419"/>
      <c r="D20" s="425"/>
      <c r="E20" s="426"/>
      <c r="F20" s="425"/>
      <c r="G20" s="427"/>
      <c r="H20" s="427"/>
      <c r="I20" s="427"/>
    </row>
    <row r="21" customFormat="false" ht="12.75" hidden="false" customHeight="false" outlineLevel="0" collapsed="false">
      <c r="B21" s="418"/>
      <c r="C21" s="419" t="n">
        <v>6</v>
      </c>
      <c r="D21" s="425"/>
      <c r="E21" s="426"/>
      <c r="F21" s="425"/>
      <c r="G21" s="427"/>
      <c r="H21" s="427"/>
      <c r="I21" s="427" t="n">
        <v>0.0085</v>
      </c>
    </row>
    <row r="22" customFormat="false" ht="12.75" hidden="false" customHeight="false" outlineLevel="0" collapsed="false">
      <c r="B22" s="418"/>
      <c r="C22" s="419"/>
      <c r="D22" s="425"/>
      <c r="E22" s="426"/>
      <c r="F22" s="425"/>
      <c r="G22" s="427"/>
      <c r="H22" s="427"/>
      <c r="I22" s="427"/>
    </row>
    <row r="23" customFormat="false" ht="12.75" hidden="false" customHeight="false" outlineLevel="0" collapsed="false">
      <c r="B23" s="418"/>
      <c r="C23" s="419"/>
      <c r="D23" s="419"/>
      <c r="E23" s="424"/>
      <c r="F23" s="419"/>
      <c r="G23" s="418"/>
      <c r="H23" s="418"/>
      <c r="I23" s="418"/>
    </row>
    <row r="24" customFormat="false" ht="12.75" hidden="false" customHeight="false" outlineLevel="0" collapsed="false">
      <c r="B24" s="418"/>
      <c r="C24" s="424" t="s">
        <v>655</v>
      </c>
      <c r="D24" s="419"/>
      <c r="E24" s="424"/>
      <c r="F24" s="419"/>
      <c r="G24" s="418"/>
      <c r="H24" s="418"/>
      <c r="I24" s="418"/>
    </row>
  </sheetData>
  <mergeCells count="1">
    <mergeCell ref="D8:I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8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28" width="10.85"/>
    <col collapsed="false" customWidth="true" hidden="false" outlineLevel="0" max="3" min="3" style="28" width="2.84"/>
    <col collapsed="false" customWidth="true" hidden="false" outlineLevel="0" max="5" min="4" style="28" width="10.85"/>
    <col collapsed="false" customWidth="true" hidden="false" outlineLevel="0" max="6" min="6" style="28" width="2.84"/>
    <col collapsed="false" customWidth="true" hidden="false" outlineLevel="0" max="8" min="7" style="28" width="10.85"/>
    <col collapsed="false" customWidth="true" hidden="false" outlineLevel="0" max="9" min="9" style="28" width="2.84"/>
    <col collapsed="false" customWidth="false" hidden="true" outlineLevel="0" max="11" min="10" style="279" width="9.06"/>
    <col collapsed="false" customWidth="true" hidden="true" outlineLevel="0" max="12" min="12" style="28" width="3.42"/>
    <col collapsed="false" customWidth="false" hidden="true" outlineLevel="0" max="14" min="13" style="279" width="9.06"/>
    <col collapsed="false" customWidth="true" hidden="true" outlineLevel="0" max="15" min="15" style="28" width="3.42"/>
    <col collapsed="false" customWidth="true" hidden="false" outlineLevel="0" max="17" min="16" style="28" width="9.14"/>
  </cols>
  <sheetData>
    <row r="1" customFormat="false" ht="13.5" hidden="false" customHeight="false" outlineLevel="0" collapsed="false">
      <c r="M1" s="282"/>
      <c r="N1" s="282"/>
    </row>
    <row r="2" customFormat="false" ht="13.5" hidden="false" customHeight="false" outlineLevel="0" collapsed="false">
      <c r="A2" s="283" t="s">
        <v>9</v>
      </c>
      <c r="B2" s="283"/>
      <c r="C2" s="283"/>
      <c r="D2" s="291"/>
      <c r="E2" s="297"/>
      <c r="F2" s="283"/>
      <c r="G2" s="283"/>
      <c r="H2" s="286" t="s">
        <v>392</v>
      </c>
      <c r="I2" s="283"/>
      <c r="M2" s="282"/>
      <c r="N2" s="282"/>
    </row>
    <row r="3" customFormat="false" ht="12.75" hidden="false" customHeight="false" outlineLevel="0" collapsed="false">
      <c r="A3" s="294" t="s">
        <v>396</v>
      </c>
      <c r="B3" s="2" t="n">
        <v>5.065</v>
      </c>
      <c r="C3" s="283"/>
      <c r="D3" s="291" t="s">
        <v>281</v>
      </c>
      <c r="E3" s="297" t="n">
        <v>5.02</v>
      </c>
      <c r="F3" s="283"/>
      <c r="G3" s="291" t="s">
        <v>281</v>
      </c>
      <c r="H3" s="293" t="n">
        <f aca="false">+E3</f>
        <v>5.02</v>
      </c>
      <c r="I3" s="283"/>
      <c r="J3" s="428" t="s">
        <v>470</v>
      </c>
      <c r="K3" s="429" t="n">
        <v>4.88</v>
      </c>
      <c r="M3" s="295" t="s">
        <v>353</v>
      </c>
      <c r="N3" s="296" t="n">
        <v>2.97</v>
      </c>
      <c r="P3" s="164" t="s">
        <v>470</v>
      </c>
      <c r="Q3" s="297" t="n">
        <v>5.145</v>
      </c>
    </row>
    <row r="4" customFormat="false" ht="12.75" hidden="false" customHeight="false" outlineLevel="0" collapsed="false">
      <c r="A4" s="294" t="s">
        <v>403</v>
      </c>
      <c r="B4" s="300" t="n">
        <v>5.11</v>
      </c>
      <c r="C4" s="283"/>
      <c r="D4" s="291" t="s">
        <v>404</v>
      </c>
      <c r="E4" s="297" t="n">
        <v>5.03</v>
      </c>
      <c r="F4" s="283"/>
      <c r="G4" s="291" t="s">
        <v>404</v>
      </c>
      <c r="H4" s="293" t="n">
        <f aca="false">+E4</f>
        <v>5.03</v>
      </c>
      <c r="I4" s="283"/>
      <c r="J4" s="428" t="s">
        <v>407</v>
      </c>
      <c r="M4" s="430" t="s">
        <v>407</v>
      </c>
      <c r="N4" s="282"/>
      <c r="P4" s="164" t="s">
        <v>406</v>
      </c>
    </row>
    <row r="5" customFormat="false" ht="12.75" hidden="false" customHeight="false" outlineLevel="0" collapsed="false">
      <c r="A5" s="294" t="s">
        <v>236</v>
      </c>
      <c r="B5" s="302" t="n">
        <v>5.59</v>
      </c>
      <c r="C5" s="283"/>
      <c r="D5" s="291" t="s">
        <v>282</v>
      </c>
      <c r="E5" s="297" t="n">
        <v>4.95</v>
      </c>
      <c r="F5" s="283"/>
      <c r="G5" s="291" t="s">
        <v>282</v>
      </c>
      <c r="H5" s="293" t="n">
        <f aca="false">+E5</f>
        <v>4.95</v>
      </c>
      <c r="I5" s="283"/>
      <c r="M5" s="282"/>
      <c r="N5" s="282"/>
    </row>
    <row r="6" customFormat="false" ht="12.75" hidden="false" customHeight="false" outlineLevel="0" collapsed="false">
      <c r="A6" s="138"/>
      <c r="B6" s="138"/>
      <c r="C6" s="252"/>
      <c r="D6" s="294" t="s">
        <v>411</v>
      </c>
      <c r="E6" s="316" t="n">
        <v>5.1</v>
      </c>
      <c r="F6" s="252"/>
      <c r="G6" s="294" t="s">
        <v>411</v>
      </c>
      <c r="H6" s="293" t="n">
        <f aca="false">+E6</f>
        <v>5.1</v>
      </c>
      <c r="I6" s="252"/>
      <c r="J6" s="431"/>
      <c r="K6" s="431"/>
      <c r="L6" s="138"/>
      <c r="M6" s="432"/>
      <c r="N6" s="432"/>
      <c r="O6" s="138"/>
      <c r="P6" s="138"/>
      <c r="Q6" s="138"/>
    </row>
    <row r="7" customFormat="false" ht="12.75" hidden="false" customHeight="false" outlineLevel="0" collapsed="false">
      <c r="A7" s="176"/>
      <c r="B7" s="176"/>
      <c r="C7" s="308"/>
      <c r="D7" s="307" t="s">
        <v>353</v>
      </c>
      <c r="E7" s="433" t="n">
        <v>5.695</v>
      </c>
      <c r="F7" s="308"/>
      <c r="G7" s="307" t="s">
        <v>353</v>
      </c>
      <c r="H7" s="293" t="n">
        <f aca="false">+E7</f>
        <v>5.695</v>
      </c>
      <c r="I7" s="308"/>
      <c r="J7" s="434"/>
      <c r="K7" s="434"/>
      <c r="L7" s="132"/>
      <c r="M7" s="435"/>
      <c r="N7" s="435"/>
      <c r="O7" s="132"/>
      <c r="P7" s="132"/>
      <c r="Q7" s="132"/>
    </row>
    <row r="8" customFormat="false" ht="12.75" hidden="false" customHeight="false" outlineLevel="0" collapsed="false">
      <c r="A8" s="313" t="s">
        <v>656</v>
      </c>
      <c r="B8" s="176"/>
      <c r="C8" s="312"/>
      <c r="D8" s="294" t="s">
        <v>657</v>
      </c>
      <c r="E8" s="316"/>
      <c r="F8" s="283"/>
      <c r="G8" s="294" t="s">
        <v>657</v>
      </c>
      <c r="H8" s="316"/>
      <c r="I8" s="283"/>
      <c r="J8" s="279" t="s">
        <v>421</v>
      </c>
      <c r="M8" s="279" t="s">
        <v>658</v>
      </c>
      <c r="P8" s="28" t="s">
        <v>659</v>
      </c>
    </row>
    <row r="9" customFormat="false" ht="12.75" hidden="false" customHeight="false" outlineLevel="0" collapsed="false">
      <c r="A9" s="176" t="s">
        <v>425</v>
      </c>
      <c r="B9" s="176"/>
      <c r="C9" s="205"/>
      <c r="D9" s="4" t="s">
        <v>426</v>
      </c>
      <c r="E9" s="316"/>
      <c r="F9" s="283"/>
      <c r="G9" s="4" t="s">
        <v>427</v>
      </c>
      <c r="H9" s="316"/>
      <c r="I9" s="283"/>
      <c r="J9" s="279" t="s">
        <v>431</v>
      </c>
      <c r="M9" s="279" t="s">
        <v>441</v>
      </c>
      <c r="P9" s="28" t="s">
        <v>660</v>
      </c>
    </row>
    <row r="10" customFormat="false" ht="12.75" hidden="false" customHeight="false" outlineLevel="0" collapsed="false">
      <c r="A10" s="176" t="s">
        <v>435</v>
      </c>
      <c r="B10" s="176"/>
      <c r="C10" s="205"/>
      <c r="D10" s="312" t="s">
        <v>436</v>
      </c>
      <c r="E10" s="316"/>
      <c r="F10" s="283"/>
      <c r="G10" s="312" t="s">
        <v>436</v>
      </c>
      <c r="H10" s="316"/>
      <c r="I10" s="283"/>
      <c r="J10" s="279" t="s">
        <v>442</v>
      </c>
      <c r="M10" s="279" t="s">
        <v>450</v>
      </c>
      <c r="P10" s="28" t="s">
        <v>442</v>
      </c>
    </row>
    <row r="11" customFormat="false" ht="12.75" hidden="false" customHeight="false" outlineLevel="0" collapsed="false">
      <c r="A11" s="4" t="s">
        <v>445</v>
      </c>
      <c r="B11" s="176"/>
      <c r="C11" s="205"/>
      <c r="D11" s="312" t="s">
        <v>446</v>
      </c>
      <c r="E11" s="316"/>
      <c r="F11" s="283"/>
      <c r="G11" s="312" t="s">
        <v>446</v>
      </c>
      <c r="H11" s="316"/>
      <c r="I11" s="283"/>
      <c r="J11" s="279" t="s">
        <v>451</v>
      </c>
      <c r="P11" s="28" t="s">
        <v>451</v>
      </c>
    </row>
    <row r="12" customFormat="false" ht="12.75" hidden="false" customHeight="false" outlineLevel="0" collapsed="false">
      <c r="A12" s="323"/>
      <c r="B12" s="324"/>
      <c r="C12" s="283"/>
      <c r="D12" s="312" t="s">
        <v>661</v>
      </c>
      <c r="E12" s="297"/>
      <c r="F12" s="283"/>
      <c r="G12" s="291" t="s">
        <v>19</v>
      </c>
      <c r="H12" s="297"/>
      <c r="I12" s="283"/>
      <c r="J12" s="418" t="s">
        <v>662</v>
      </c>
      <c r="M12" s="279" t="s">
        <v>661</v>
      </c>
      <c r="P12" s="28" t="s">
        <v>663</v>
      </c>
    </row>
    <row r="13" customFormat="false" ht="12.75" hidden="false" customHeight="false" outlineLevel="0" collapsed="false">
      <c r="A13" s="328" t="s">
        <v>459</v>
      </c>
      <c r="B13" s="332" t="s">
        <v>460</v>
      </c>
      <c r="C13" s="322"/>
      <c r="D13" s="333" t="s">
        <v>461</v>
      </c>
      <c r="E13" s="329" t="s">
        <v>462</v>
      </c>
      <c r="F13" s="322"/>
      <c r="G13" s="334" t="s">
        <v>463</v>
      </c>
      <c r="H13" s="335" t="s">
        <v>462</v>
      </c>
      <c r="I13" s="322"/>
      <c r="J13" s="279" t="s">
        <v>664</v>
      </c>
      <c r="M13" s="436" t="s">
        <v>469</v>
      </c>
      <c r="N13" s="437" t="s">
        <v>372</v>
      </c>
      <c r="P13" s="28" t="s">
        <v>664</v>
      </c>
    </row>
    <row r="14" customFormat="false" ht="12.75" hidden="false" customHeight="false" outlineLevel="0" collapsed="false">
      <c r="A14" s="338" t="s">
        <v>476</v>
      </c>
      <c r="B14" s="339" t="n">
        <v>0.0439</v>
      </c>
      <c r="C14" s="331"/>
      <c r="D14" s="342" t="s">
        <v>476</v>
      </c>
      <c r="E14" s="339" t="n">
        <v>0.0088</v>
      </c>
      <c r="F14" s="331"/>
      <c r="G14" s="343" t="s">
        <v>476</v>
      </c>
      <c r="H14" s="344" t="n">
        <v>0.1895</v>
      </c>
      <c r="I14" s="331"/>
      <c r="J14" s="438" t="s">
        <v>476</v>
      </c>
      <c r="K14" s="439" t="n">
        <f aca="false">0.005+0.002</f>
        <v>0.007</v>
      </c>
      <c r="M14" s="438" t="s">
        <v>476</v>
      </c>
      <c r="N14" s="439" t="n">
        <v>0.0112</v>
      </c>
      <c r="P14" s="340" t="s">
        <v>476</v>
      </c>
      <c r="Q14" s="344" t="n">
        <f aca="false">0.004</f>
        <v>0.004</v>
      </c>
    </row>
    <row r="15" customFormat="false" ht="12.75" hidden="false" customHeight="false" outlineLevel="0" collapsed="false">
      <c r="A15" s="338" t="s">
        <v>120</v>
      </c>
      <c r="B15" s="339" t="n">
        <f aca="false">0.0022+0.007+0.0225</f>
        <v>0.0317</v>
      </c>
      <c r="C15" s="331"/>
      <c r="D15" s="342" t="s">
        <v>120</v>
      </c>
      <c r="E15" s="339" t="n">
        <f aca="false">0.0022+0.007</f>
        <v>0.0092</v>
      </c>
      <c r="F15" s="331"/>
      <c r="G15" s="343" t="s">
        <v>120</v>
      </c>
      <c r="H15" s="344" t="n">
        <f aca="false">0.0022+0.007</f>
        <v>0.0092</v>
      </c>
      <c r="I15" s="331"/>
      <c r="J15" s="438" t="s">
        <v>120</v>
      </c>
      <c r="K15" s="439" t="n">
        <f aca="false">0.0022+0.0072</f>
        <v>0.0094</v>
      </c>
      <c r="M15" s="438" t="s">
        <v>120</v>
      </c>
      <c r="N15" s="439" t="n">
        <f aca="false">0.0022+0.0072</f>
        <v>0.0094</v>
      </c>
      <c r="P15" s="340" t="s">
        <v>120</v>
      </c>
      <c r="Q15" s="344" t="n">
        <f aca="false">0.0022+0.007</f>
        <v>0.0092</v>
      </c>
    </row>
    <row r="16" customFormat="false" ht="12.75" hidden="false" customHeight="false" outlineLevel="0" collapsed="false">
      <c r="A16" s="347" t="n">
        <v>0.0089</v>
      </c>
      <c r="B16" s="352" t="n">
        <f aca="false">(B$3)/(1-A16)-B$3</f>
        <v>0.0454833013823022</v>
      </c>
      <c r="C16" s="346"/>
      <c r="D16" s="347" t="n">
        <v>0.0303</v>
      </c>
      <c r="E16" s="348" t="n">
        <f aca="false">(E$5)/(1-D16)-E$5</f>
        <v>0.154671547901413</v>
      </c>
      <c r="F16" s="346"/>
      <c r="G16" s="349" t="n">
        <v>0.0303</v>
      </c>
      <c r="H16" s="350" t="n">
        <f aca="false">(H$5)/(1-G16)-H$5</f>
        <v>0.154671547901413</v>
      </c>
      <c r="I16" s="346"/>
      <c r="J16" s="438" t="s">
        <v>665</v>
      </c>
      <c r="K16" s="440" t="n">
        <f aca="false">+K3/(1-0.0022)-K3</f>
        <v>0.0107596712768085</v>
      </c>
      <c r="M16" s="438" t="s">
        <v>666</v>
      </c>
      <c r="N16" s="440" t="n">
        <f aca="false">+N3/(1-0.0058)-N3</f>
        <v>0.0173264936632469</v>
      </c>
      <c r="P16" s="349" t="n">
        <v>0.0045</v>
      </c>
      <c r="Q16" s="350" t="n">
        <f aca="false">+Q$3/(1-P16)-Q$3</f>
        <v>0.0232571572074329</v>
      </c>
    </row>
    <row r="17" customFormat="false" ht="12.75" hidden="false" customHeight="false" outlineLevel="0" collapsed="false">
      <c r="A17" s="353"/>
      <c r="B17" s="354" t="n">
        <f aca="false">SUM(B14:B16)</f>
        <v>0.121083301382302</v>
      </c>
      <c r="C17" s="351"/>
      <c r="D17" s="342"/>
      <c r="E17" s="354" t="n">
        <f aca="false">SUM(E14:E16)</f>
        <v>0.172671547901413</v>
      </c>
      <c r="F17" s="351"/>
      <c r="G17" s="349"/>
      <c r="H17" s="350" t="n">
        <f aca="false">SUM(H14:H16)</f>
        <v>0.353371547901413</v>
      </c>
      <c r="I17" s="351"/>
      <c r="J17" s="441"/>
      <c r="K17" s="442" t="n">
        <f aca="false">SUM(K14:K16)</f>
        <v>0.0271596712768085</v>
      </c>
      <c r="M17" s="441"/>
      <c r="N17" s="442" t="n">
        <f aca="false">SUM(N14:N16)</f>
        <v>0.0379264936632469</v>
      </c>
      <c r="P17" s="356"/>
      <c r="Q17" s="355" t="n">
        <f aca="false">SUM(Q14:Q16)</f>
        <v>0.0364571572074329</v>
      </c>
    </row>
    <row r="18" customFormat="false" ht="12.75" hidden="false" customHeight="false" outlineLevel="0" collapsed="false">
      <c r="A18" s="357" t="s">
        <v>459</v>
      </c>
      <c r="B18" s="358" t="s">
        <v>486</v>
      </c>
      <c r="C18" s="322"/>
      <c r="D18" s="333" t="s">
        <v>461</v>
      </c>
      <c r="E18" s="329" t="s">
        <v>487</v>
      </c>
      <c r="F18" s="322"/>
      <c r="G18" s="334" t="s">
        <v>463</v>
      </c>
      <c r="H18" s="335" t="s">
        <v>487</v>
      </c>
      <c r="I18" s="322"/>
    </row>
    <row r="19" customFormat="false" ht="12.75" hidden="false" customHeight="false" outlineLevel="0" collapsed="false">
      <c r="A19" s="338" t="s">
        <v>476</v>
      </c>
      <c r="B19" s="339" t="n">
        <v>0.0669</v>
      </c>
      <c r="C19" s="331"/>
      <c r="D19" s="342" t="s">
        <v>476</v>
      </c>
      <c r="E19" s="339" t="n">
        <v>0.0096</v>
      </c>
      <c r="F19" s="331"/>
      <c r="G19" s="343" t="s">
        <v>476</v>
      </c>
      <c r="H19" s="344" t="n">
        <v>0.1953</v>
      </c>
      <c r="I19" s="331"/>
      <c r="J19" s="279" t="s">
        <v>667</v>
      </c>
      <c r="M19" s="436" t="s">
        <v>469</v>
      </c>
      <c r="N19" s="437" t="s">
        <v>493</v>
      </c>
      <c r="P19" s="28" t="s">
        <v>667</v>
      </c>
    </row>
    <row r="20" customFormat="false" ht="12.75" hidden="false" customHeight="false" outlineLevel="0" collapsed="false">
      <c r="A20" s="338" t="s">
        <v>120</v>
      </c>
      <c r="B20" s="339" t="n">
        <f aca="false">0.0022+0.007+0.0225</f>
        <v>0.0317</v>
      </c>
      <c r="C20" s="331"/>
      <c r="D20" s="342" t="s">
        <v>120</v>
      </c>
      <c r="E20" s="339" t="n">
        <f aca="false">0.0022</f>
        <v>0.0022</v>
      </c>
      <c r="F20" s="331"/>
      <c r="G20" s="343" t="s">
        <v>120</v>
      </c>
      <c r="H20" s="344" t="n">
        <f aca="false">0.0022+0.007</f>
        <v>0.0092</v>
      </c>
      <c r="I20" s="331"/>
      <c r="J20" s="438" t="s">
        <v>476</v>
      </c>
      <c r="K20" s="439" t="n">
        <f aca="false">0.0303+0.002</f>
        <v>0.0323</v>
      </c>
      <c r="M20" s="438" t="s">
        <v>476</v>
      </c>
      <c r="N20" s="439" t="n">
        <v>0</v>
      </c>
      <c r="P20" s="340" t="s">
        <v>476</v>
      </c>
      <c r="Q20" s="344" t="n">
        <f aca="false">0.022</f>
        <v>0.022</v>
      </c>
    </row>
    <row r="21" customFormat="false" ht="12.75" hidden="false" customHeight="false" outlineLevel="0" collapsed="false">
      <c r="A21" s="347" t="n">
        <v>0.0279</v>
      </c>
      <c r="B21" s="352" t="n">
        <f aca="false">(B$3)/(1-A21)-B$3</f>
        <v>0.145369303569592</v>
      </c>
      <c r="C21" s="346"/>
      <c r="D21" s="347" t="n">
        <v>0.0328</v>
      </c>
      <c r="E21" s="348" t="n">
        <f aca="false">(E$5)/(1-D21)-E$5</f>
        <v>0.16786600496278</v>
      </c>
      <c r="F21" s="346"/>
      <c r="G21" s="349" t="n">
        <v>0.0328</v>
      </c>
      <c r="H21" s="350" t="n">
        <f aca="false">(H$5)/(1-G21)-H$5</f>
        <v>0.16786600496278</v>
      </c>
      <c r="I21" s="346"/>
      <c r="J21" s="438" t="s">
        <v>120</v>
      </c>
      <c r="K21" s="439" t="n">
        <f aca="false">0.0072+0.0022</f>
        <v>0.0094</v>
      </c>
      <c r="M21" s="438" t="s">
        <v>120</v>
      </c>
      <c r="N21" s="439" t="n">
        <f aca="false">0.0022+0.0072</f>
        <v>0.0094</v>
      </c>
      <c r="P21" s="340" t="s">
        <v>120</v>
      </c>
      <c r="Q21" s="344" t="n">
        <f aca="false">0.007+0.0022</f>
        <v>0.0092</v>
      </c>
    </row>
    <row r="22" customFormat="false" ht="12.75" hidden="false" customHeight="false" outlineLevel="0" collapsed="false">
      <c r="A22" s="353"/>
      <c r="B22" s="354" t="n">
        <f aca="false">SUM(B19:B21)</f>
        <v>0.243969303569592</v>
      </c>
      <c r="C22" s="351"/>
      <c r="D22" s="342"/>
      <c r="E22" s="354" t="n">
        <f aca="false">SUM(E19:E21)</f>
        <v>0.17966600496278</v>
      </c>
      <c r="F22" s="351"/>
      <c r="G22" s="343"/>
      <c r="H22" s="355" t="n">
        <f aca="false">SUM(H19:H21)</f>
        <v>0.37236600496278</v>
      </c>
      <c r="I22" s="351"/>
      <c r="J22" s="438" t="s">
        <v>668</v>
      </c>
      <c r="K22" s="440" t="n">
        <f aca="false">+K3/(1-0.0268)-K3</f>
        <v>0.134385532264694</v>
      </c>
      <c r="M22" s="438" t="s">
        <v>666</v>
      </c>
      <c r="N22" s="440" t="n">
        <f aca="false">+N3/(1-0.0058)-N3</f>
        <v>0.0173264936632469</v>
      </c>
      <c r="P22" s="349" t="n">
        <v>0.0327</v>
      </c>
      <c r="Q22" s="350" t="n">
        <f aca="false">+Q$3/(1-P22)-Q$3</f>
        <v>0.173928977566422</v>
      </c>
    </row>
    <row r="23" customFormat="false" ht="12.75" hidden="false" customHeight="false" outlineLevel="0" collapsed="false">
      <c r="A23" s="357" t="s">
        <v>459</v>
      </c>
      <c r="B23" s="358" t="s">
        <v>503</v>
      </c>
      <c r="C23" s="351"/>
      <c r="D23" s="364" t="s">
        <v>461</v>
      </c>
      <c r="E23" s="365" t="s">
        <v>504</v>
      </c>
      <c r="F23" s="351"/>
      <c r="G23" s="334" t="s">
        <v>463</v>
      </c>
      <c r="H23" s="335" t="s">
        <v>504</v>
      </c>
      <c r="I23" s="351"/>
      <c r="J23" s="441"/>
      <c r="K23" s="442" t="n">
        <f aca="false">SUM(K20:K22)</f>
        <v>0.176085532264694</v>
      </c>
      <c r="M23" s="441"/>
      <c r="N23" s="442" t="n">
        <f aca="false">SUM(N20:N22)</f>
        <v>0.0267264936632469</v>
      </c>
      <c r="P23" s="356"/>
      <c r="Q23" s="355" t="n">
        <f aca="false">SUM(Q20:Q22)</f>
        <v>0.205128977566422</v>
      </c>
    </row>
    <row r="24" customFormat="false" ht="12.75" hidden="false" customHeight="false" outlineLevel="0" collapsed="false">
      <c r="A24" s="338" t="s">
        <v>476</v>
      </c>
      <c r="B24" s="339" t="n">
        <v>0.088</v>
      </c>
      <c r="C24" s="363"/>
      <c r="D24" s="342" t="s">
        <v>476</v>
      </c>
      <c r="E24" s="339" t="n">
        <v>0.014</v>
      </c>
      <c r="F24" s="363"/>
      <c r="G24" s="343" t="s">
        <v>476</v>
      </c>
      <c r="H24" s="344" t="n">
        <v>0.2297</v>
      </c>
      <c r="I24" s="363"/>
    </row>
    <row r="25" customFormat="false" ht="12.75" hidden="false" customHeight="false" outlineLevel="0" collapsed="false">
      <c r="A25" s="338" t="s">
        <v>120</v>
      </c>
      <c r="B25" s="339" t="n">
        <f aca="false">0.0022+0.007</f>
        <v>0.0092</v>
      </c>
      <c r="C25" s="363"/>
      <c r="D25" s="342" t="s">
        <v>120</v>
      </c>
      <c r="E25" s="339" t="n">
        <f aca="false">0.0022+0.007</f>
        <v>0.0092</v>
      </c>
      <c r="F25" s="363"/>
      <c r="G25" s="343" t="s">
        <v>120</v>
      </c>
      <c r="H25" s="344" t="n">
        <f aca="false">0.0022+0.007</f>
        <v>0.0092</v>
      </c>
      <c r="I25" s="363"/>
      <c r="J25" s="279" t="s">
        <v>669</v>
      </c>
      <c r="P25" s="28" t="s">
        <v>669</v>
      </c>
    </row>
    <row r="26" customFormat="false" ht="12.75" hidden="false" customHeight="false" outlineLevel="0" collapsed="false">
      <c r="A26" s="347" t="n">
        <v>0.0516</v>
      </c>
      <c r="B26" s="352" t="n">
        <f aca="false">(B$3)/(1-A26)-B$3</f>
        <v>0.275573597638127</v>
      </c>
      <c r="C26" s="346"/>
      <c r="D26" s="347" t="n">
        <v>0.046</v>
      </c>
      <c r="E26" s="348" t="n">
        <f aca="false">(E$5)/(1-D26)-E$5</f>
        <v>0.238679245283019</v>
      </c>
      <c r="F26" s="346"/>
      <c r="G26" s="349" t="n">
        <v>0.046</v>
      </c>
      <c r="H26" s="350" t="n">
        <f aca="false">(H$5)/(1-G26)-H$5</f>
        <v>0.238679245283019</v>
      </c>
      <c r="I26" s="346"/>
      <c r="J26" s="438" t="s">
        <v>476</v>
      </c>
      <c r="K26" s="439" t="n">
        <f aca="false">0.0275+0.002</f>
        <v>0.0295</v>
      </c>
      <c r="P26" s="340" t="s">
        <v>476</v>
      </c>
      <c r="Q26" s="344" t="n">
        <v>0.0202</v>
      </c>
    </row>
    <row r="27" customFormat="false" ht="12.75" hidden="false" customHeight="false" outlineLevel="0" collapsed="false">
      <c r="A27" s="353"/>
      <c r="B27" s="354" t="n">
        <f aca="false">SUM(B24:B26)</f>
        <v>0.372773597638127</v>
      </c>
      <c r="C27" s="351"/>
      <c r="D27" s="342"/>
      <c r="E27" s="354" t="n">
        <f aca="false">SUM(E24:E26)</f>
        <v>0.261879245283019</v>
      </c>
      <c r="F27" s="351"/>
      <c r="G27" s="343"/>
      <c r="H27" s="355" t="n">
        <f aca="false">SUM(H24:H26)</f>
        <v>0.477579245283019</v>
      </c>
      <c r="I27" s="351"/>
      <c r="J27" s="438" t="s">
        <v>120</v>
      </c>
      <c r="K27" s="439" t="n">
        <f aca="false">0.0072+0.0022</f>
        <v>0.0094</v>
      </c>
      <c r="P27" s="340" t="s">
        <v>120</v>
      </c>
      <c r="Q27" s="344" t="n">
        <f aca="false">0.007+0.0022</f>
        <v>0.0092</v>
      </c>
    </row>
    <row r="28" customFormat="false" ht="12.75" hidden="false" customHeight="false" outlineLevel="0" collapsed="false">
      <c r="A28" s="357" t="s">
        <v>459</v>
      </c>
      <c r="B28" s="366" t="s">
        <v>517</v>
      </c>
      <c r="C28" s="330"/>
      <c r="D28" s="333" t="s">
        <v>461</v>
      </c>
      <c r="E28" s="329" t="s">
        <v>518</v>
      </c>
      <c r="F28" s="330"/>
      <c r="G28" s="334" t="s">
        <v>463</v>
      </c>
      <c r="H28" s="335" t="s">
        <v>519</v>
      </c>
      <c r="I28" s="330"/>
      <c r="J28" s="438" t="s">
        <v>668</v>
      </c>
      <c r="K28" s="440" t="n">
        <f aca="false">+K3/(1-0.0268)-K3</f>
        <v>0.134385532264694</v>
      </c>
      <c r="P28" s="349" t="n">
        <v>0.0327</v>
      </c>
      <c r="Q28" s="350" t="n">
        <f aca="false">+Q$3/(1-P28)-Q$3</f>
        <v>0.173928977566422</v>
      </c>
    </row>
    <row r="29" customFormat="false" ht="12.75" hidden="false" customHeight="false" outlineLevel="0" collapsed="false">
      <c r="A29" s="353" t="s">
        <v>476</v>
      </c>
      <c r="B29" s="339" t="n">
        <v>0.0978</v>
      </c>
      <c r="C29" s="331"/>
      <c r="D29" s="342" t="s">
        <v>476</v>
      </c>
      <c r="E29" s="339" t="n">
        <v>0.0281</v>
      </c>
      <c r="F29" s="331"/>
      <c r="G29" s="343" t="s">
        <v>476</v>
      </c>
      <c r="H29" s="344" t="n">
        <v>0.5242</v>
      </c>
      <c r="I29" s="331"/>
      <c r="J29" s="441"/>
      <c r="K29" s="442" t="n">
        <f aca="false">SUM(K26:K28)</f>
        <v>0.173285532264694</v>
      </c>
      <c r="P29" s="356"/>
      <c r="Q29" s="355" t="n">
        <f aca="false">SUM(Q26:Q28)</f>
        <v>0.203328977566422</v>
      </c>
    </row>
    <row r="30" customFormat="false" ht="12.75" hidden="false" customHeight="false" outlineLevel="0" collapsed="false">
      <c r="A30" s="353" t="s">
        <v>120</v>
      </c>
      <c r="B30" s="339" t="n">
        <f aca="false">0.0022</f>
        <v>0.0022</v>
      </c>
      <c r="C30" s="331"/>
      <c r="D30" s="342" t="s">
        <v>120</v>
      </c>
      <c r="E30" s="339" t="n">
        <f aca="false">0.0022+0.007</f>
        <v>0.0092</v>
      </c>
      <c r="F30" s="331"/>
      <c r="G30" s="343" t="s">
        <v>120</v>
      </c>
      <c r="H30" s="344" t="n">
        <f aca="false">0.0022+0.007</f>
        <v>0.0092</v>
      </c>
      <c r="I30" s="331"/>
    </row>
    <row r="31" customFormat="false" ht="12.75" hidden="false" customHeight="false" outlineLevel="0" collapsed="false">
      <c r="A31" s="347" t="n">
        <v>0.0588</v>
      </c>
      <c r="B31" s="352" t="n">
        <f aca="false">(B$3)/(1-A31)-B$3</f>
        <v>0.316427964300893</v>
      </c>
      <c r="C31" s="346"/>
      <c r="D31" s="347" t="n">
        <v>0.0744</v>
      </c>
      <c r="E31" s="348" t="n">
        <f aca="false">(E$5)/(1-D31)-E$5</f>
        <v>0.397882454624027</v>
      </c>
      <c r="F31" s="346"/>
      <c r="G31" s="349" t="n">
        <v>0.0988</v>
      </c>
      <c r="H31" s="350" t="n">
        <f aca="false">(H$5)/(1-G31)-H$5</f>
        <v>0.542676431424767</v>
      </c>
      <c r="I31" s="346"/>
      <c r="J31" s="279" t="s">
        <v>670</v>
      </c>
      <c r="P31" s="28" t="s">
        <v>670</v>
      </c>
    </row>
    <row r="32" customFormat="false" ht="12.75" hidden="false" customHeight="false" outlineLevel="0" collapsed="false">
      <c r="A32" s="353"/>
      <c r="B32" s="354" t="n">
        <f aca="false">SUM(B29:B31)</f>
        <v>0.416427964300892</v>
      </c>
      <c r="C32" s="351"/>
      <c r="D32" s="342"/>
      <c r="E32" s="354" t="n">
        <f aca="false">SUM(E29:E31)</f>
        <v>0.435182454624027</v>
      </c>
      <c r="F32" s="351"/>
      <c r="G32" s="343"/>
      <c r="H32" s="355" t="n">
        <f aca="false">SUM(H29:H31)</f>
        <v>1.07607643142477</v>
      </c>
      <c r="I32" s="351"/>
      <c r="J32" s="438" t="s">
        <v>476</v>
      </c>
      <c r="K32" s="439" t="n">
        <f aca="false">0.0152+0.002</f>
        <v>0.0172</v>
      </c>
      <c r="P32" s="340" t="s">
        <v>476</v>
      </c>
      <c r="Q32" s="344" t="n">
        <v>0.0117</v>
      </c>
    </row>
    <row r="33" customFormat="false" ht="12.75" hidden="false" customHeight="false" outlineLevel="0" collapsed="false">
      <c r="A33" s="357" t="s">
        <v>459</v>
      </c>
      <c r="B33" s="366" t="s">
        <v>529</v>
      </c>
      <c r="C33" s="330"/>
      <c r="D33" s="333" t="s">
        <v>461</v>
      </c>
      <c r="E33" s="329" t="s">
        <v>519</v>
      </c>
      <c r="F33" s="330"/>
      <c r="G33" s="334" t="s">
        <v>463</v>
      </c>
      <c r="H33" s="335" t="s">
        <v>530</v>
      </c>
      <c r="I33" s="330"/>
      <c r="J33" s="438" t="s">
        <v>120</v>
      </c>
      <c r="K33" s="439" t="n">
        <f aca="false">0.002+0.0072+0.0022</f>
        <v>0.0114</v>
      </c>
      <c r="P33" s="340" t="s">
        <v>120</v>
      </c>
      <c r="Q33" s="344" t="n">
        <f aca="false">0.007+0.0022</f>
        <v>0.0092</v>
      </c>
    </row>
    <row r="34" customFormat="false" ht="12.75" hidden="false" customHeight="false" outlineLevel="0" collapsed="false">
      <c r="A34" s="353" t="s">
        <v>476</v>
      </c>
      <c r="B34" s="339" t="n">
        <v>0.1118</v>
      </c>
      <c r="C34" s="331"/>
      <c r="D34" s="342" t="s">
        <v>476</v>
      </c>
      <c r="E34" s="339" t="n">
        <v>0.0484</v>
      </c>
      <c r="F34" s="331"/>
      <c r="G34" s="343" t="s">
        <v>476</v>
      </c>
      <c r="H34" s="344" t="n">
        <v>0.6213</v>
      </c>
      <c r="I34" s="331"/>
      <c r="J34" s="438" t="s">
        <v>671</v>
      </c>
      <c r="K34" s="440" t="n">
        <f aca="false">+K3/(1-0.0169)-K3</f>
        <v>0.0838897365476559</v>
      </c>
      <c r="P34" s="349" t="n">
        <v>0.0203</v>
      </c>
      <c r="Q34" s="350" t="n">
        <f aca="false">+Q$3/(1-P34)-Q$3</f>
        <v>0.106607634990303</v>
      </c>
    </row>
    <row r="35" customFormat="false" ht="12.75" hidden="false" customHeight="false" outlineLevel="0" collapsed="false">
      <c r="A35" s="353" t="s">
        <v>120</v>
      </c>
      <c r="B35" s="339" t="n">
        <f aca="false">0.0022+0.007</f>
        <v>0.0092</v>
      </c>
      <c r="C35" s="331"/>
      <c r="D35" s="342" t="s">
        <v>120</v>
      </c>
      <c r="E35" s="339" t="n">
        <f aca="false">0.0022+0.007</f>
        <v>0.0092</v>
      </c>
      <c r="F35" s="331"/>
      <c r="G35" s="343" t="s">
        <v>120</v>
      </c>
      <c r="H35" s="344" t="n">
        <f aca="false">0.0022+0.007</f>
        <v>0.0092</v>
      </c>
      <c r="I35" s="331"/>
      <c r="J35" s="441"/>
      <c r="K35" s="442" t="n">
        <f aca="false">SUM(K32:K34)</f>
        <v>0.112489736547656</v>
      </c>
      <c r="P35" s="356"/>
      <c r="Q35" s="355" t="n">
        <f aca="false">SUM(Q32:Q34)</f>
        <v>0.127507634990303</v>
      </c>
    </row>
    <row r="36" customFormat="false" ht="12.75" hidden="false" customHeight="false" outlineLevel="0" collapsed="false">
      <c r="A36" s="347" t="n">
        <v>0.0679</v>
      </c>
      <c r="B36" s="352" t="n">
        <f aca="false">(B$3)/(1-A36)-B$3</f>
        <v>0.3689663126274</v>
      </c>
      <c r="C36" s="346"/>
      <c r="D36" s="347" t="n">
        <v>0.0988</v>
      </c>
      <c r="E36" s="348" t="n">
        <f aca="false">(E$5)/(1-D36)-E$5</f>
        <v>0.542676431424767</v>
      </c>
      <c r="F36" s="346"/>
      <c r="G36" s="349" t="n">
        <v>0.1148</v>
      </c>
      <c r="H36" s="350" t="n">
        <f aca="false">(H$5)/(1-G36)-H$5</f>
        <v>0.641956619972888</v>
      </c>
      <c r="I36" s="346"/>
    </row>
    <row r="37" customFormat="false" ht="12.75" hidden="false" customHeight="false" outlineLevel="0" collapsed="false">
      <c r="A37" s="353"/>
      <c r="B37" s="354" t="n">
        <f aca="false">SUM(B34:B36)</f>
        <v>0.4899663126274</v>
      </c>
      <c r="C37" s="351"/>
      <c r="D37" s="342"/>
      <c r="E37" s="354" t="n">
        <f aca="false">SUM(E34:E36)</f>
        <v>0.600276431424767</v>
      </c>
      <c r="F37" s="351"/>
      <c r="G37" s="343"/>
      <c r="H37" s="355" t="n">
        <f aca="false">SUM(H34:H36)</f>
        <v>1.27245661997289</v>
      </c>
      <c r="I37" s="351"/>
      <c r="J37" s="279" t="s">
        <v>672</v>
      </c>
      <c r="P37" s="28" t="s">
        <v>672</v>
      </c>
    </row>
    <row r="38" customFormat="false" ht="12.75" hidden="false" customHeight="false" outlineLevel="0" collapsed="false">
      <c r="A38" s="357" t="s">
        <v>459</v>
      </c>
      <c r="B38" s="366" t="s">
        <v>537</v>
      </c>
      <c r="C38" s="330"/>
      <c r="D38" s="333" t="s">
        <v>461</v>
      </c>
      <c r="E38" s="329" t="s">
        <v>530</v>
      </c>
      <c r="F38" s="330"/>
      <c r="G38" s="334" t="s">
        <v>463</v>
      </c>
      <c r="H38" s="335" t="s">
        <v>538</v>
      </c>
      <c r="I38" s="330"/>
      <c r="J38" s="438" t="s">
        <v>476</v>
      </c>
      <c r="K38" s="439" t="n">
        <f aca="false">0.0152+0.002</f>
        <v>0.0172</v>
      </c>
      <c r="P38" s="340" t="s">
        <v>476</v>
      </c>
      <c r="Q38" s="344" t="n">
        <v>0.0117</v>
      </c>
    </row>
    <row r="39" customFormat="false" ht="12.75" hidden="false" customHeight="false" outlineLevel="0" collapsed="false">
      <c r="A39" s="353" t="s">
        <v>476</v>
      </c>
      <c r="B39" s="339" t="n">
        <v>0.1231</v>
      </c>
      <c r="C39" s="331"/>
      <c r="D39" s="342" t="s">
        <v>476</v>
      </c>
      <c r="E39" s="339" t="n">
        <v>0.0623</v>
      </c>
      <c r="F39" s="331"/>
      <c r="G39" s="343" t="s">
        <v>476</v>
      </c>
      <c r="H39" s="344" t="n">
        <v>0.0658</v>
      </c>
      <c r="I39" s="331"/>
      <c r="J39" s="438" t="s">
        <v>120</v>
      </c>
      <c r="K39" s="439" t="n">
        <f aca="false">0.0072+0.0022</f>
        <v>0.0094</v>
      </c>
      <c r="P39" s="340" t="s">
        <v>120</v>
      </c>
      <c r="Q39" s="344" t="n">
        <f aca="false">0.007+0.0022</f>
        <v>0.0092</v>
      </c>
    </row>
    <row r="40" customFormat="false" ht="12.75" hidden="false" customHeight="false" outlineLevel="0" collapsed="false">
      <c r="A40" s="353" t="s">
        <v>120</v>
      </c>
      <c r="B40" s="339" t="n">
        <f aca="false">0.0022+0.007</f>
        <v>0.0092</v>
      </c>
      <c r="C40" s="331"/>
      <c r="D40" s="342" t="s">
        <v>120</v>
      </c>
      <c r="E40" s="339" t="n">
        <f aca="false">0.0022+0.007</f>
        <v>0.0092</v>
      </c>
      <c r="F40" s="331"/>
      <c r="G40" s="343" t="s">
        <v>120</v>
      </c>
      <c r="H40" s="344" t="n">
        <f aca="false">0.0022</f>
        <v>0.0022</v>
      </c>
      <c r="I40" s="331"/>
      <c r="J40" s="438" t="s">
        <v>673</v>
      </c>
      <c r="K40" s="440" t="n">
        <v>0</v>
      </c>
      <c r="P40" s="349" t="n">
        <v>0.0058</v>
      </c>
      <c r="Q40" s="350" t="n">
        <f aca="false">+Q$3/(1-P40)-Q$3</f>
        <v>0.030015087507544</v>
      </c>
    </row>
    <row r="41" customFormat="false" ht="12.75" hidden="false" customHeight="false" outlineLevel="0" collapsed="false">
      <c r="A41" s="347" t="n">
        <v>0.0788</v>
      </c>
      <c r="B41" s="352" t="n">
        <f aca="false">(B$3)/(1-A41)-B$3</f>
        <v>0.43326313504125</v>
      </c>
      <c r="C41" s="346"/>
      <c r="D41" s="347" t="n">
        <v>0.1148</v>
      </c>
      <c r="E41" s="348" t="n">
        <f aca="false">(E$5)/(1-D41)-E$5</f>
        <v>0.641956619972888</v>
      </c>
      <c r="F41" s="346"/>
      <c r="G41" s="349" t="n">
        <v>0.0212</v>
      </c>
      <c r="H41" s="350" t="n">
        <f aca="false">(H$4)/(1-G41)-H$4</f>
        <v>0.108945647731916</v>
      </c>
      <c r="I41" s="346"/>
      <c r="J41" s="441"/>
      <c r="K41" s="442" t="n">
        <f aca="false">SUM(K38:K40)</f>
        <v>0.0266</v>
      </c>
      <c r="P41" s="356"/>
      <c r="Q41" s="355" t="n">
        <f aca="false">SUM(Q38:Q40)</f>
        <v>0.050915087507544</v>
      </c>
    </row>
    <row r="42" customFormat="false" ht="12.75" hidden="false" customHeight="false" outlineLevel="0" collapsed="false">
      <c r="A42" s="353"/>
      <c r="B42" s="354" t="n">
        <f aca="false">SUM(B39:B41)</f>
        <v>0.56556313504125</v>
      </c>
      <c r="C42" s="351"/>
      <c r="D42" s="342"/>
      <c r="E42" s="354" t="n">
        <f aca="false">SUM(E39:E41)</f>
        <v>0.713456619972888</v>
      </c>
      <c r="F42" s="351"/>
      <c r="G42" s="343"/>
      <c r="H42" s="355" t="n">
        <f aca="false">SUM(H39:H41)</f>
        <v>0.176945647731916</v>
      </c>
      <c r="I42" s="351"/>
    </row>
    <row r="43" customFormat="false" ht="12.75" hidden="false" customHeight="false" outlineLevel="0" collapsed="false">
      <c r="A43" s="357" t="s">
        <v>459</v>
      </c>
      <c r="B43" s="366" t="s">
        <v>542</v>
      </c>
      <c r="C43" s="330"/>
      <c r="D43" s="333" t="s">
        <v>461</v>
      </c>
      <c r="E43" s="329" t="s">
        <v>538</v>
      </c>
      <c r="F43" s="330"/>
      <c r="G43" s="334" t="s">
        <v>463</v>
      </c>
      <c r="H43" s="335" t="s">
        <v>543</v>
      </c>
      <c r="I43" s="330"/>
    </row>
    <row r="44" customFormat="false" ht="12.75" hidden="false" customHeight="false" outlineLevel="0" collapsed="false">
      <c r="A44" s="353" t="s">
        <v>476</v>
      </c>
      <c r="B44" s="339" t="n">
        <v>0.1608</v>
      </c>
      <c r="C44" s="331"/>
      <c r="D44" s="342" t="s">
        <v>476</v>
      </c>
      <c r="E44" s="339" t="n">
        <v>0.0059</v>
      </c>
      <c r="F44" s="331"/>
      <c r="G44" s="343" t="s">
        <v>476</v>
      </c>
      <c r="H44" s="344" t="n">
        <v>0.2477</v>
      </c>
      <c r="I44" s="331"/>
    </row>
    <row r="45" customFormat="false" ht="12.75" hidden="false" customHeight="false" outlineLevel="0" collapsed="false">
      <c r="A45" s="353" t="s">
        <v>120</v>
      </c>
      <c r="B45" s="339" t="n">
        <f aca="false">0.0022+0.007</f>
        <v>0.0092</v>
      </c>
      <c r="C45" s="331"/>
      <c r="D45" s="342" t="s">
        <v>120</v>
      </c>
      <c r="E45" s="339" t="n">
        <f aca="false">0.0022</f>
        <v>0.0022</v>
      </c>
      <c r="F45" s="331"/>
      <c r="G45" s="343" t="s">
        <v>120</v>
      </c>
      <c r="H45" s="344" t="n">
        <f aca="false">0.0022+0.007</f>
        <v>0.0092</v>
      </c>
      <c r="I45" s="331"/>
    </row>
    <row r="46" customFormat="false" ht="12.75" hidden="false" customHeight="false" outlineLevel="0" collapsed="false">
      <c r="A46" s="347" t="n">
        <v>0.0871</v>
      </c>
      <c r="B46" s="352" t="n">
        <f aca="false">(B$3)/(1-A46)-B$3</f>
        <v>0.483252820681345</v>
      </c>
      <c r="C46" s="346"/>
      <c r="D46" s="347" t="n">
        <v>0.0212</v>
      </c>
      <c r="E46" s="348" t="n">
        <f aca="false">(E$4)/(1-D46)-E$4</f>
        <v>0.108945647731916</v>
      </c>
      <c r="F46" s="346"/>
      <c r="G46" s="349" t="n">
        <v>0.0631</v>
      </c>
      <c r="H46" s="350" t="n">
        <f aca="false">(H$4)/(1-G46)-H$4</f>
        <v>0.338769345714591</v>
      </c>
      <c r="I46" s="346"/>
    </row>
    <row r="47" customFormat="false" ht="12.75" hidden="false" customHeight="false" outlineLevel="0" collapsed="false">
      <c r="A47" s="353"/>
      <c r="B47" s="354" t="n">
        <f aca="false">SUM(B44:B46)</f>
        <v>0.653252820681345</v>
      </c>
      <c r="C47" s="351"/>
      <c r="D47" s="342"/>
      <c r="E47" s="354" t="n">
        <f aca="false">SUM(E44:E46)</f>
        <v>0.117045647731916</v>
      </c>
      <c r="F47" s="351"/>
      <c r="G47" s="343"/>
      <c r="H47" s="355" t="n">
        <f aca="false">SUM(H44:H46)</f>
        <v>0.595669345714591</v>
      </c>
      <c r="I47" s="351"/>
    </row>
    <row r="48" customFormat="false" ht="12.75" hidden="false" customHeight="false" outlineLevel="0" collapsed="false">
      <c r="A48" s="357" t="s">
        <v>459</v>
      </c>
      <c r="B48" s="358" t="s">
        <v>550</v>
      </c>
      <c r="C48" s="374"/>
      <c r="D48" s="333" t="s">
        <v>461</v>
      </c>
      <c r="E48" s="329" t="s">
        <v>551</v>
      </c>
      <c r="F48" s="374"/>
      <c r="G48" s="334" t="s">
        <v>463</v>
      </c>
      <c r="H48" s="335" t="s">
        <v>552</v>
      </c>
      <c r="I48" s="374"/>
    </row>
    <row r="49" customFormat="false" ht="12.75" hidden="false" customHeight="false" outlineLevel="0" collapsed="false">
      <c r="A49" s="338" t="s">
        <v>476</v>
      </c>
      <c r="B49" s="339" t="n">
        <v>0.0286</v>
      </c>
      <c r="C49" s="331"/>
      <c r="D49" s="342" t="s">
        <v>476</v>
      </c>
      <c r="E49" s="339" t="n">
        <v>0.0103</v>
      </c>
      <c r="F49" s="331"/>
      <c r="G49" s="343" t="s">
        <v>476</v>
      </c>
      <c r="H49" s="344" t="n">
        <v>0.3898</v>
      </c>
      <c r="I49" s="331"/>
    </row>
    <row r="50" customFormat="false" ht="12.75" hidden="false" customHeight="false" outlineLevel="0" collapsed="false">
      <c r="A50" s="338" t="s">
        <v>120</v>
      </c>
      <c r="B50" s="339" t="n">
        <f aca="false">0.0022+0.007+0.0225</f>
        <v>0.0317</v>
      </c>
      <c r="C50" s="331"/>
      <c r="D50" s="342" t="s">
        <v>120</v>
      </c>
      <c r="E50" s="339" t="n">
        <f aca="false">0.0022+0.007</f>
        <v>0.0092</v>
      </c>
      <c r="F50" s="331"/>
      <c r="G50" s="343" t="s">
        <v>120</v>
      </c>
      <c r="H50" s="344" t="n">
        <f aca="false">0.0022+0.007</f>
        <v>0.0092</v>
      </c>
      <c r="I50" s="331"/>
    </row>
    <row r="51" customFormat="false" ht="12.75" hidden="false" customHeight="false" outlineLevel="0" collapsed="false">
      <c r="A51" s="347" t="n">
        <v>0.0101</v>
      </c>
      <c r="B51" s="348" t="n">
        <f aca="false">(B$4)/(1-A51)-B$4</f>
        <v>0.052137589655521</v>
      </c>
      <c r="C51" s="346"/>
      <c r="D51" s="347" t="n">
        <v>0.0347</v>
      </c>
      <c r="E51" s="348" t="n">
        <f aca="false">(E$4)/(1-D51)-E$4</f>
        <v>0.180815290583238</v>
      </c>
      <c r="F51" s="346"/>
      <c r="G51" s="349" t="n">
        <v>0.0875</v>
      </c>
      <c r="H51" s="350" t="n">
        <f aca="false">(H$4)/(1-G51)-H$4</f>
        <v>0.482328767123287</v>
      </c>
      <c r="I51" s="346"/>
    </row>
    <row r="52" customFormat="false" ht="12.75" hidden="false" customHeight="false" outlineLevel="0" collapsed="false">
      <c r="A52" s="353"/>
      <c r="B52" s="354" t="n">
        <f aca="false">SUM(B49:B51)</f>
        <v>0.112437589655521</v>
      </c>
      <c r="C52" s="351"/>
      <c r="D52" s="342"/>
      <c r="E52" s="354" t="n">
        <f aca="false">SUM(E49:E51)</f>
        <v>0.200315290583238</v>
      </c>
      <c r="F52" s="351"/>
      <c r="G52" s="343"/>
      <c r="H52" s="355" t="n">
        <f aca="false">SUM(H49:H51)</f>
        <v>0.881328767123287</v>
      </c>
      <c r="I52" s="351"/>
    </row>
    <row r="53" customFormat="false" ht="12.75" hidden="false" customHeight="false" outlineLevel="0" collapsed="false">
      <c r="A53" s="357" t="s">
        <v>459</v>
      </c>
      <c r="B53" s="358" t="s">
        <v>557</v>
      </c>
      <c r="C53" s="374"/>
      <c r="D53" s="333" t="s">
        <v>461</v>
      </c>
      <c r="E53" s="329" t="s">
        <v>543</v>
      </c>
      <c r="F53" s="374"/>
      <c r="G53" s="334" t="s">
        <v>463</v>
      </c>
      <c r="H53" s="335" t="s">
        <v>558</v>
      </c>
      <c r="I53" s="374"/>
    </row>
    <row r="54" customFormat="false" ht="12.75" hidden="false" customHeight="false" outlineLevel="0" collapsed="false">
      <c r="A54" s="338" t="s">
        <v>476</v>
      </c>
      <c r="B54" s="339" t="n">
        <v>0.0572</v>
      </c>
      <c r="C54" s="331"/>
      <c r="D54" s="342" t="s">
        <v>476</v>
      </c>
      <c r="E54" s="339" t="n">
        <v>0.0244</v>
      </c>
      <c r="F54" s="331"/>
      <c r="G54" s="343" t="s">
        <v>476</v>
      </c>
      <c r="H54" s="344" t="n">
        <v>0.4869</v>
      </c>
      <c r="I54" s="331"/>
    </row>
    <row r="55" customFormat="false" ht="12.75" hidden="false" customHeight="false" outlineLevel="0" collapsed="false">
      <c r="A55" s="338" t="s">
        <v>120</v>
      </c>
      <c r="B55" s="339" t="n">
        <f aca="false">0.0022+0.007+0.0225</f>
        <v>0.0317</v>
      </c>
      <c r="C55" s="331"/>
      <c r="D55" s="342" t="s">
        <v>120</v>
      </c>
      <c r="E55" s="339" t="n">
        <f aca="false">0.0022+0.007</f>
        <v>0.0092</v>
      </c>
      <c r="F55" s="331"/>
      <c r="G55" s="343" t="s">
        <v>120</v>
      </c>
      <c r="H55" s="344" t="n">
        <f aca="false">0.0022+0.007</f>
        <v>0.0092</v>
      </c>
      <c r="I55" s="331"/>
    </row>
    <row r="56" customFormat="false" ht="12.75" hidden="false" customHeight="false" outlineLevel="0" collapsed="false">
      <c r="A56" s="347" t="n">
        <v>0.0191</v>
      </c>
      <c r="B56" s="348" t="n">
        <f aca="false">(B$4)/(1-A56)-B$4</f>
        <v>0.0995014782342745</v>
      </c>
      <c r="C56" s="346"/>
      <c r="D56" s="347" t="n">
        <v>0.0631</v>
      </c>
      <c r="E56" s="348" t="n">
        <f aca="false">(E$4)/(1-D56)-E$4</f>
        <v>0.338769345714591</v>
      </c>
      <c r="F56" s="346"/>
      <c r="G56" s="349" t="n">
        <v>0.1035</v>
      </c>
      <c r="H56" s="350" t="n">
        <f aca="false">(H$4)/(1-G56)-H$4</f>
        <v>0.580708310094813</v>
      </c>
      <c r="I56" s="346"/>
    </row>
    <row r="57" customFormat="false" ht="12.75" hidden="false" customHeight="false" outlineLevel="0" collapsed="false">
      <c r="A57" s="353"/>
      <c r="B57" s="354" t="n">
        <f aca="false">SUM(B54:B56)</f>
        <v>0.188401478234274</v>
      </c>
      <c r="C57" s="351"/>
      <c r="D57" s="342"/>
      <c r="E57" s="354" t="n">
        <f aca="false">SUM(E54:E56)</f>
        <v>0.372369345714591</v>
      </c>
      <c r="F57" s="351"/>
      <c r="G57" s="343"/>
      <c r="H57" s="355" t="n">
        <f aca="false">SUM(H54:H56)</f>
        <v>1.07680831009481</v>
      </c>
      <c r="I57" s="351"/>
    </row>
    <row r="58" customFormat="false" ht="12.75" hidden="false" customHeight="false" outlineLevel="0" collapsed="false">
      <c r="A58" s="357" t="s">
        <v>459</v>
      </c>
      <c r="B58" s="358" t="s">
        <v>561</v>
      </c>
      <c r="C58" s="330"/>
      <c r="D58" s="333" t="s">
        <v>461</v>
      </c>
      <c r="E58" s="329" t="s">
        <v>552</v>
      </c>
      <c r="F58" s="330"/>
      <c r="G58" s="334" t="s">
        <v>463</v>
      </c>
      <c r="H58" s="335" t="s">
        <v>562</v>
      </c>
      <c r="I58" s="330"/>
    </row>
    <row r="59" customFormat="false" ht="12.75" hidden="false" customHeight="false" outlineLevel="0" collapsed="false">
      <c r="A59" s="338" t="s">
        <v>476</v>
      </c>
      <c r="B59" s="339" t="n">
        <v>0.0776</v>
      </c>
      <c r="C59" s="331"/>
      <c r="D59" s="342" t="s">
        <v>476</v>
      </c>
      <c r="E59" s="339" t="n">
        <v>0.0447</v>
      </c>
      <c r="F59" s="331"/>
      <c r="G59" s="343" t="s">
        <v>476</v>
      </c>
      <c r="H59" s="344" t="n">
        <v>0.0953</v>
      </c>
      <c r="I59" s="331"/>
    </row>
    <row r="60" customFormat="false" ht="12.75" hidden="false" customHeight="false" outlineLevel="0" collapsed="false">
      <c r="A60" s="338" t="s">
        <v>120</v>
      </c>
      <c r="B60" s="339" t="n">
        <f aca="false">0.0022+0.007</f>
        <v>0.0092</v>
      </c>
      <c r="C60" s="331"/>
      <c r="D60" s="342" t="s">
        <v>120</v>
      </c>
      <c r="E60" s="339" t="n">
        <f aca="false">0.0022+0.007</f>
        <v>0.0092</v>
      </c>
      <c r="F60" s="331"/>
      <c r="G60" s="343" t="s">
        <v>120</v>
      </c>
      <c r="H60" s="344" t="n">
        <f aca="false">0.0022+0.007</f>
        <v>0.0092</v>
      </c>
      <c r="I60" s="331"/>
    </row>
    <row r="61" customFormat="false" ht="12.75" hidden="false" customHeight="false" outlineLevel="0" collapsed="false">
      <c r="A61" s="347" t="n">
        <v>0.0428</v>
      </c>
      <c r="B61" s="348" t="n">
        <f aca="false">(B$4)/(1-A61)-B$4</f>
        <v>0.228487254492268</v>
      </c>
      <c r="C61" s="346"/>
      <c r="D61" s="347" t="n">
        <v>0.0875</v>
      </c>
      <c r="E61" s="348" t="n">
        <f aca="false">(E$4)/(1-D61)-E$4</f>
        <v>0.482328767123287</v>
      </c>
      <c r="F61" s="346"/>
      <c r="G61" s="349" t="n">
        <v>0.0298</v>
      </c>
      <c r="H61" s="350" t="n">
        <f aca="false">(H$3)/(1-G61)-H$3</f>
        <v>0.154190888476603</v>
      </c>
      <c r="I61" s="346"/>
    </row>
    <row r="62" customFormat="false" ht="12.75" hidden="false" customHeight="false" outlineLevel="0" collapsed="false">
      <c r="A62" s="353"/>
      <c r="B62" s="354" t="n">
        <f aca="false">SUM(B59:B61)</f>
        <v>0.315287254492268</v>
      </c>
      <c r="C62" s="351"/>
      <c r="D62" s="342"/>
      <c r="E62" s="354" t="n">
        <f aca="false">SUM(E59:E61)</f>
        <v>0.536228767123287</v>
      </c>
      <c r="F62" s="351"/>
      <c r="G62" s="343"/>
      <c r="H62" s="355" t="n">
        <f aca="false">SUM(H59:H61)</f>
        <v>0.258690888476603</v>
      </c>
      <c r="I62" s="351"/>
    </row>
    <row r="63" customFormat="false" ht="12.75" hidden="false" customHeight="false" outlineLevel="0" collapsed="false">
      <c r="A63" s="357" t="s">
        <v>459</v>
      </c>
      <c r="B63" s="358" t="s">
        <v>565</v>
      </c>
      <c r="C63" s="330"/>
      <c r="D63" s="333" t="s">
        <v>461</v>
      </c>
      <c r="E63" s="329" t="s">
        <v>558</v>
      </c>
      <c r="F63" s="330"/>
      <c r="G63" s="334" t="s">
        <v>463</v>
      </c>
      <c r="H63" s="335" t="s">
        <v>566</v>
      </c>
      <c r="I63" s="330"/>
    </row>
    <row r="64" customFormat="false" ht="12.75" hidden="false" customHeight="false" outlineLevel="0" collapsed="false">
      <c r="A64" s="338" t="s">
        <v>476</v>
      </c>
      <c r="B64" s="339" t="n">
        <v>0.0874</v>
      </c>
      <c r="C64" s="331"/>
      <c r="D64" s="342" t="s">
        <v>476</v>
      </c>
      <c r="E64" s="339" t="n">
        <v>0.0586</v>
      </c>
      <c r="F64" s="331"/>
      <c r="G64" s="343" t="s">
        <v>476</v>
      </c>
      <c r="H64" s="344" t="n">
        <v>0.0791</v>
      </c>
      <c r="I64" s="331"/>
    </row>
    <row r="65" customFormat="false" ht="12.75" hidden="false" customHeight="false" outlineLevel="0" collapsed="false">
      <c r="A65" s="338" t="s">
        <v>120</v>
      </c>
      <c r="B65" s="339" t="n">
        <f aca="false">0.0022</f>
        <v>0.0022</v>
      </c>
      <c r="C65" s="331"/>
      <c r="D65" s="342" t="s">
        <v>120</v>
      </c>
      <c r="E65" s="339" t="n">
        <f aca="false">0.0022+0.007</f>
        <v>0.0092</v>
      </c>
      <c r="F65" s="331"/>
      <c r="G65" s="343" t="s">
        <v>120</v>
      </c>
      <c r="H65" s="344" t="n">
        <f aca="false">0.0022+0.007</f>
        <v>0.0092</v>
      </c>
      <c r="I65" s="331"/>
    </row>
    <row r="66" customFormat="false" ht="12.75" hidden="false" customHeight="false" outlineLevel="0" collapsed="false">
      <c r="A66" s="347" t="n">
        <v>0.0499</v>
      </c>
      <c r="B66" s="348" t="n">
        <f aca="false">(B$4)/(1-A66)-B$4</f>
        <v>0.268381223029155</v>
      </c>
      <c r="C66" s="346"/>
      <c r="D66" s="347" t="n">
        <v>0.1035</v>
      </c>
      <c r="E66" s="348" t="n">
        <f aca="false">(E$4)/(1-D66)-E$4</f>
        <v>0.580708310094813</v>
      </c>
      <c r="F66" s="346"/>
      <c r="G66" s="349" t="n">
        <v>0.0298</v>
      </c>
      <c r="H66" s="350" t="n">
        <f aca="false">(H$3)/(1-G66)-H$3</f>
        <v>0.154190888476603</v>
      </c>
      <c r="I66" s="346"/>
    </row>
    <row r="67" customFormat="false" ht="12.75" hidden="false" customHeight="false" outlineLevel="0" collapsed="false">
      <c r="A67" s="353"/>
      <c r="B67" s="354" t="n">
        <f aca="false">SUM(B64:B66)</f>
        <v>0.357981223029155</v>
      </c>
      <c r="C67" s="351"/>
      <c r="D67" s="342"/>
      <c r="E67" s="354" t="n">
        <f aca="false">SUM(E64:E66)</f>
        <v>0.648508310094813</v>
      </c>
      <c r="F67" s="351"/>
      <c r="G67" s="343"/>
      <c r="H67" s="355" t="n">
        <f aca="false">SUM(H64:H66)</f>
        <v>0.242490888476603</v>
      </c>
      <c r="I67" s="351"/>
    </row>
    <row r="68" customFormat="false" ht="12.75" hidden="false" customHeight="false" outlineLevel="0" collapsed="false">
      <c r="A68" s="357" t="s">
        <v>459</v>
      </c>
      <c r="B68" s="358" t="s">
        <v>569</v>
      </c>
      <c r="C68" s="322"/>
      <c r="D68" s="333" t="s">
        <v>461</v>
      </c>
      <c r="E68" s="329" t="s">
        <v>570</v>
      </c>
      <c r="F68" s="322"/>
      <c r="G68" s="334" t="s">
        <v>463</v>
      </c>
      <c r="H68" s="335" t="s">
        <v>571</v>
      </c>
      <c r="I68" s="322"/>
    </row>
    <row r="69" customFormat="false" ht="12.75" hidden="false" customHeight="false" outlineLevel="0" collapsed="false">
      <c r="A69" s="338" t="s">
        <v>476</v>
      </c>
      <c r="B69" s="339" t="n">
        <v>0.1014</v>
      </c>
      <c r="C69" s="331"/>
      <c r="D69" s="342" t="s">
        <v>476</v>
      </c>
      <c r="E69" s="339" t="n">
        <v>0.014</v>
      </c>
      <c r="F69" s="331"/>
      <c r="G69" s="343" t="s">
        <v>476</v>
      </c>
      <c r="H69" s="344" t="n">
        <v>0.2315</v>
      </c>
      <c r="I69" s="331"/>
    </row>
    <row r="70" customFormat="false" ht="12.75" hidden="false" customHeight="false" outlineLevel="0" collapsed="false">
      <c r="A70" s="338" t="s">
        <v>120</v>
      </c>
      <c r="B70" s="339" t="n">
        <f aca="false">0.0022+0.007</f>
        <v>0.0092</v>
      </c>
      <c r="C70" s="331"/>
      <c r="D70" s="342" t="s">
        <v>120</v>
      </c>
      <c r="E70" s="339" t="n">
        <f aca="false">0.0022+0.007</f>
        <v>0.0092</v>
      </c>
      <c r="F70" s="331"/>
      <c r="G70" s="343" t="s">
        <v>120</v>
      </c>
      <c r="H70" s="344" t="n">
        <f aca="false">0.0022+0.007</f>
        <v>0.0092</v>
      </c>
      <c r="I70" s="331"/>
    </row>
    <row r="71" customFormat="false" ht="12.75" hidden="false" customHeight="false" outlineLevel="0" collapsed="false">
      <c r="A71" s="347" t="n">
        <v>0.059</v>
      </c>
      <c r="B71" s="348" t="n">
        <f aca="false">(B$4)/(1-A71)-B$4</f>
        <v>0.32039319872476</v>
      </c>
      <c r="C71" s="346"/>
      <c r="D71" s="347" t="n">
        <v>0.0303</v>
      </c>
      <c r="E71" s="348" t="n">
        <f aca="false">(E$3)/(1-D71)-E$3</f>
        <v>0.15685882231618</v>
      </c>
      <c r="F71" s="346"/>
      <c r="G71" s="349" t="n">
        <v>0.0582</v>
      </c>
      <c r="H71" s="350" t="n">
        <f aca="false">(H$3)/(1-G71)-H$3</f>
        <v>0.310218730091314</v>
      </c>
      <c r="I71" s="346"/>
    </row>
    <row r="72" customFormat="false" ht="12.75" hidden="false" customHeight="false" outlineLevel="0" collapsed="false">
      <c r="A72" s="353"/>
      <c r="B72" s="354" t="n">
        <f aca="false">SUM(B69:B71)</f>
        <v>0.43099319872476</v>
      </c>
      <c r="C72" s="351"/>
      <c r="D72" s="342"/>
      <c r="E72" s="354" t="n">
        <f aca="false">SUM(E69:E71)</f>
        <v>0.18005882231618</v>
      </c>
      <c r="F72" s="351"/>
      <c r="G72" s="343"/>
      <c r="H72" s="355" t="n">
        <f aca="false">SUM(H69:H71)</f>
        <v>0.550918730091314</v>
      </c>
      <c r="I72" s="351"/>
    </row>
    <row r="73" customFormat="false" ht="12.75" hidden="false" customHeight="false" outlineLevel="0" collapsed="false">
      <c r="A73" s="357" t="s">
        <v>459</v>
      </c>
      <c r="B73" s="358" t="s">
        <v>575</v>
      </c>
      <c r="C73" s="322"/>
      <c r="D73" s="333" t="s">
        <v>461</v>
      </c>
      <c r="E73" s="329" t="s">
        <v>562</v>
      </c>
      <c r="F73" s="322"/>
      <c r="G73" s="334" t="s">
        <v>463</v>
      </c>
      <c r="H73" s="335" t="s">
        <v>576</v>
      </c>
      <c r="I73" s="322"/>
    </row>
    <row r="74" customFormat="false" ht="12.75" hidden="false" customHeight="false" outlineLevel="0" collapsed="false">
      <c r="A74" s="338" t="s">
        <v>476</v>
      </c>
      <c r="B74" s="339" t="n">
        <v>0.1126</v>
      </c>
      <c r="C74" s="331"/>
      <c r="D74" s="342" t="s">
        <v>476</v>
      </c>
      <c r="E74" s="339" t="n">
        <v>0.0103</v>
      </c>
      <c r="F74" s="331"/>
      <c r="G74" s="343" t="s">
        <v>476</v>
      </c>
      <c r="H74" s="344" t="n">
        <v>0.3736</v>
      </c>
      <c r="I74" s="331"/>
    </row>
    <row r="75" customFormat="false" ht="12.75" hidden="false" customHeight="false" outlineLevel="0" collapsed="false">
      <c r="A75" s="338" t="s">
        <v>120</v>
      </c>
      <c r="B75" s="339" t="n">
        <f aca="false">0.0022+0.007</f>
        <v>0.0092</v>
      </c>
      <c r="C75" s="331"/>
      <c r="D75" s="342" t="s">
        <v>120</v>
      </c>
      <c r="E75" s="339" t="n">
        <f aca="false">0.0022</f>
        <v>0.0022</v>
      </c>
      <c r="F75" s="331"/>
      <c r="G75" s="343" t="s">
        <v>120</v>
      </c>
      <c r="H75" s="344" t="n">
        <f aca="false">0.0022+0.007</f>
        <v>0.0092</v>
      </c>
      <c r="I75" s="331"/>
    </row>
    <row r="76" customFormat="false" ht="12.75" hidden="false" customHeight="false" outlineLevel="0" collapsed="false">
      <c r="A76" s="347" t="n">
        <v>0.0699</v>
      </c>
      <c r="B76" s="348" t="n">
        <f aca="false">(B$4)/(1-A76)-B$4</f>
        <v>0.384032899688205</v>
      </c>
      <c r="C76" s="346"/>
      <c r="D76" s="347" t="n">
        <v>0.0298</v>
      </c>
      <c r="E76" s="348" t="n">
        <f aca="false">(E$3)/(1-D76)-E$3</f>
        <v>0.154190888476603</v>
      </c>
      <c r="F76" s="346"/>
      <c r="G76" s="349" t="n">
        <v>0.0826</v>
      </c>
      <c r="H76" s="350" t="n">
        <f aca="false">(H$3)/(1-G76)-H$3</f>
        <v>0.451986047525616</v>
      </c>
      <c r="I76" s="346"/>
    </row>
    <row r="77" customFormat="false" ht="12.75" hidden="false" customHeight="false" outlineLevel="0" collapsed="false">
      <c r="A77" s="353"/>
      <c r="B77" s="354" t="n">
        <f aca="false">SUM(B74:B76)</f>
        <v>0.505832899688205</v>
      </c>
      <c r="C77" s="351"/>
      <c r="D77" s="342"/>
      <c r="E77" s="354" t="n">
        <f aca="false">SUM(E74:E76)</f>
        <v>0.166690888476603</v>
      </c>
      <c r="F77" s="351"/>
      <c r="G77" s="343"/>
      <c r="H77" s="355" t="n">
        <f aca="false">SUM(H74:H76)</f>
        <v>0.834786047525616</v>
      </c>
      <c r="I77" s="351"/>
    </row>
    <row r="78" customFormat="false" ht="12.75" hidden="false" customHeight="false" outlineLevel="0" collapsed="false">
      <c r="A78" s="357" t="s">
        <v>459</v>
      </c>
      <c r="B78" s="358" t="s">
        <v>580</v>
      </c>
      <c r="C78" s="322"/>
      <c r="D78" s="333" t="s">
        <v>461</v>
      </c>
      <c r="E78" s="329" t="s">
        <v>581</v>
      </c>
      <c r="F78" s="322"/>
      <c r="G78" s="334" t="s">
        <v>463</v>
      </c>
      <c r="H78" s="335" t="s">
        <v>582</v>
      </c>
      <c r="I78" s="322"/>
    </row>
    <row r="79" customFormat="false" ht="12.75" hidden="false" customHeight="false" outlineLevel="0" collapsed="false">
      <c r="A79" s="338" t="s">
        <v>476</v>
      </c>
      <c r="B79" s="339" t="n">
        <v>0.1503</v>
      </c>
      <c r="C79" s="331"/>
      <c r="D79" s="342" t="s">
        <v>476</v>
      </c>
      <c r="E79" s="339" t="n">
        <v>0.0087</v>
      </c>
      <c r="F79" s="331"/>
      <c r="G79" s="343" t="s">
        <v>476</v>
      </c>
      <c r="H79" s="344" t="n">
        <v>0.4707</v>
      </c>
      <c r="I79" s="331"/>
    </row>
    <row r="80" customFormat="false" ht="12.75" hidden="false" customHeight="false" outlineLevel="0" collapsed="false">
      <c r="A80" s="338" t="s">
        <v>120</v>
      </c>
      <c r="B80" s="339" t="n">
        <f aca="false">0.0022+0.007</f>
        <v>0.0092</v>
      </c>
      <c r="C80" s="331"/>
      <c r="D80" s="342" t="s">
        <v>120</v>
      </c>
      <c r="E80" s="339" t="n">
        <f aca="false">0.0022+0.007</f>
        <v>0.0092</v>
      </c>
      <c r="F80" s="331"/>
      <c r="G80" s="343" t="s">
        <v>120</v>
      </c>
      <c r="H80" s="344" t="n">
        <f aca="false">0.0022+0.007</f>
        <v>0.0092</v>
      </c>
      <c r="I80" s="331"/>
    </row>
    <row r="81" customFormat="false" ht="12.75" hidden="false" customHeight="false" outlineLevel="0" collapsed="false">
      <c r="A81" s="347" t="n">
        <v>0.0782</v>
      </c>
      <c r="B81" s="348" t="n">
        <f aca="false">(B$4)/(1-A81)-B$4</f>
        <v>0.433501844217835</v>
      </c>
      <c r="C81" s="346"/>
      <c r="D81" s="347" t="n">
        <v>0.0298</v>
      </c>
      <c r="E81" s="348" t="n">
        <f aca="false">(E$3)/(1-D81)-E$3</f>
        <v>0.154190888476603</v>
      </c>
      <c r="F81" s="346"/>
      <c r="G81" s="349" t="n">
        <v>0.0986</v>
      </c>
      <c r="H81" s="350" t="n">
        <f aca="false">(H$3)/(1-G81)-H$3</f>
        <v>0.549114710450411</v>
      </c>
      <c r="I81" s="346"/>
    </row>
    <row r="82" customFormat="false" ht="12.75" hidden="false" customHeight="false" outlineLevel="0" collapsed="false">
      <c r="A82" s="353"/>
      <c r="B82" s="354" t="n">
        <f aca="false">SUM(B79:B81)</f>
        <v>0.593001844217835</v>
      </c>
      <c r="C82" s="351"/>
      <c r="D82" s="342"/>
      <c r="E82" s="354" t="n">
        <f aca="false">SUM(E79:E81)</f>
        <v>0.172090888476603</v>
      </c>
      <c r="F82" s="351"/>
      <c r="G82" s="343"/>
      <c r="H82" s="355" t="n">
        <f aca="false">SUM(H79:H81)</f>
        <v>1.02901471045041</v>
      </c>
      <c r="I82" s="351"/>
    </row>
    <row r="83" customFormat="false" ht="12.75" hidden="false" customHeight="false" outlineLevel="0" collapsed="false">
      <c r="A83" s="357" t="s">
        <v>459</v>
      </c>
      <c r="B83" s="358" t="s">
        <v>585</v>
      </c>
      <c r="C83" s="322"/>
      <c r="D83" s="333" t="s">
        <v>461</v>
      </c>
      <c r="E83" s="329" t="s">
        <v>586</v>
      </c>
      <c r="F83" s="322"/>
      <c r="G83" s="334" t="s">
        <v>463</v>
      </c>
      <c r="H83" s="335" t="s">
        <v>587</v>
      </c>
      <c r="I83" s="322"/>
    </row>
    <row r="84" customFormat="false" ht="12.75" hidden="false" customHeight="false" outlineLevel="0" collapsed="false">
      <c r="A84" s="338" t="s">
        <v>476</v>
      </c>
      <c r="B84" s="339" t="n">
        <v>0.0783</v>
      </c>
      <c r="C84" s="331"/>
      <c r="D84" s="342" t="s">
        <v>476</v>
      </c>
      <c r="E84" s="339" t="n">
        <v>0.0087</v>
      </c>
      <c r="F84" s="331"/>
      <c r="G84" s="343" t="s">
        <v>476</v>
      </c>
      <c r="H84" s="344" t="n">
        <v>0.2945</v>
      </c>
      <c r="I84" s="331"/>
    </row>
    <row r="85" customFormat="false" ht="12.75" hidden="false" customHeight="false" outlineLevel="0" collapsed="false">
      <c r="A85" s="338" t="s">
        <v>120</v>
      </c>
      <c r="B85" s="339" t="n">
        <f aca="false">0.0022+0.007</f>
        <v>0.0092</v>
      </c>
      <c r="C85" s="331"/>
      <c r="D85" s="342" t="s">
        <v>120</v>
      </c>
      <c r="E85" s="339" t="n">
        <f aca="false">0.0022+0.007</f>
        <v>0.0092</v>
      </c>
      <c r="F85" s="331"/>
      <c r="G85" s="343" t="s">
        <v>120</v>
      </c>
      <c r="H85" s="344" t="n">
        <f aca="false">0.0022+0.007</f>
        <v>0.0092</v>
      </c>
      <c r="I85" s="331"/>
    </row>
    <row r="86" customFormat="false" ht="12.75" hidden="false" customHeight="false" outlineLevel="0" collapsed="false">
      <c r="A86" s="347" t="n">
        <v>0.0415</v>
      </c>
      <c r="B86" s="376" t="n">
        <f aca="false">(B4)/(1-A86)-B4</f>
        <v>0.221246739697444</v>
      </c>
      <c r="C86" s="346"/>
      <c r="D86" s="347" t="n">
        <v>0.0298</v>
      </c>
      <c r="E86" s="348" t="n">
        <f aca="false">(E$3)/(1-D86)-E$3</f>
        <v>0.154190888476603</v>
      </c>
      <c r="F86" s="346"/>
      <c r="G86" s="349" t="n">
        <v>0.0528</v>
      </c>
      <c r="H86" s="350" t="n">
        <f aca="false">(H$6)/(1-G86)-(H$6)</f>
        <v>0.284290540540541</v>
      </c>
      <c r="I86" s="346"/>
    </row>
    <row r="87" customFormat="false" ht="12.75" hidden="false" customHeight="false" outlineLevel="0" collapsed="false">
      <c r="A87" s="353"/>
      <c r="B87" s="354" t="n">
        <f aca="false">SUM(B84:B86)</f>
        <v>0.308746739697444</v>
      </c>
      <c r="C87" s="351"/>
      <c r="D87" s="342"/>
      <c r="E87" s="354" t="n">
        <f aca="false">SUM(E84:E86)</f>
        <v>0.172090888476603</v>
      </c>
      <c r="F87" s="351"/>
      <c r="G87" s="343"/>
      <c r="H87" s="355" t="n">
        <f aca="false">SUM(H84:H86)</f>
        <v>0.587990540540541</v>
      </c>
      <c r="I87" s="351"/>
    </row>
    <row r="88" customFormat="false" ht="12.75" hidden="false" customHeight="false" outlineLevel="0" collapsed="false">
      <c r="A88" s="357" t="s">
        <v>459</v>
      </c>
      <c r="B88" s="358" t="s">
        <v>590</v>
      </c>
      <c r="C88" s="322"/>
      <c r="D88" s="333" t="s">
        <v>461</v>
      </c>
      <c r="E88" s="329" t="s">
        <v>566</v>
      </c>
      <c r="F88" s="322"/>
      <c r="G88" s="334" t="s">
        <v>463</v>
      </c>
      <c r="H88" s="335" t="s">
        <v>591</v>
      </c>
      <c r="I88" s="322"/>
    </row>
    <row r="89" customFormat="false" ht="12.75" hidden="false" customHeight="false" outlineLevel="0" collapsed="false">
      <c r="A89" s="338" t="s">
        <v>476</v>
      </c>
      <c r="B89" s="339" t="n">
        <f aca="false">0.0511-0.0022-0.0088</f>
        <v>0.0401</v>
      </c>
      <c r="C89" s="331"/>
      <c r="D89" s="342" t="s">
        <v>476</v>
      </c>
      <c r="E89" s="339" t="n">
        <v>0.0087</v>
      </c>
      <c r="F89" s="331"/>
      <c r="G89" s="343" t="s">
        <v>476</v>
      </c>
      <c r="H89" s="344" t="n">
        <v>0.3916</v>
      </c>
      <c r="I89" s="331"/>
    </row>
    <row r="90" customFormat="false" ht="12.75" hidden="false" customHeight="false" outlineLevel="0" collapsed="false">
      <c r="A90" s="338" t="s">
        <v>120</v>
      </c>
      <c r="B90" s="339" t="n">
        <f aca="false">0.0022+0.007</f>
        <v>0.0092</v>
      </c>
      <c r="C90" s="331"/>
      <c r="D90" s="342" t="s">
        <v>120</v>
      </c>
      <c r="E90" s="339" t="n">
        <f aca="false">0.0022+0.007</f>
        <v>0.0092</v>
      </c>
      <c r="F90" s="331"/>
      <c r="G90" s="343" t="s">
        <v>120</v>
      </c>
      <c r="H90" s="344" t="n">
        <f aca="false">0.0022+0.007</f>
        <v>0.0092</v>
      </c>
      <c r="I90" s="331"/>
    </row>
    <row r="91" customFormat="false" ht="12.75" hidden="false" customHeight="false" outlineLevel="0" collapsed="false">
      <c r="A91" s="347" t="n">
        <v>0.0109</v>
      </c>
      <c r="B91" s="376" t="n">
        <f aca="false">(B5)/(1-A91)-B5</f>
        <v>0.0616024668890915</v>
      </c>
      <c r="C91" s="346"/>
      <c r="D91" s="347" t="n">
        <v>0.0298</v>
      </c>
      <c r="E91" s="348" t="n">
        <f aca="false">(E$3)/(1-D91)-E$3</f>
        <v>0.154190888476603</v>
      </c>
      <c r="F91" s="346"/>
      <c r="G91" s="349" t="n">
        <v>0.0688</v>
      </c>
      <c r="H91" s="350" t="n">
        <f aca="false">(H$6)/(1-G91)-(H$6)</f>
        <v>0.37680412371134</v>
      </c>
      <c r="I91" s="346"/>
    </row>
    <row r="92" customFormat="false" ht="12.75" hidden="false" customHeight="false" outlineLevel="0" collapsed="false">
      <c r="A92" s="353"/>
      <c r="B92" s="354" t="n">
        <f aca="false">SUM(B89:B91)</f>
        <v>0.110902466889092</v>
      </c>
      <c r="C92" s="351"/>
      <c r="D92" s="342"/>
      <c r="E92" s="354" t="n">
        <f aca="false">SUM(E89:E91)</f>
        <v>0.172090888476603</v>
      </c>
      <c r="F92" s="351"/>
      <c r="G92" s="343"/>
      <c r="H92" s="355" t="n">
        <f aca="false">SUM(H89:H91)</f>
        <v>0.77760412371134</v>
      </c>
      <c r="I92" s="351"/>
    </row>
    <row r="93" customFormat="false" ht="12.75" hidden="false" customHeight="false" outlineLevel="0" collapsed="false">
      <c r="A93" s="357" t="s">
        <v>459</v>
      </c>
      <c r="B93" s="358" t="s">
        <v>594</v>
      </c>
      <c r="C93" s="351"/>
      <c r="D93" s="333" t="s">
        <v>461</v>
      </c>
      <c r="E93" s="329" t="s">
        <v>571</v>
      </c>
      <c r="F93" s="351"/>
      <c r="G93" s="334" t="s">
        <v>463</v>
      </c>
      <c r="H93" s="355" t="s">
        <v>595</v>
      </c>
      <c r="I93" s="351"/>
    </row>
    <row r="94" customFormat="false" ht="12.75" hidden="false" customHeight="false" outlineLevel="0" collapsed="false">
      <c r="A94" s="338" t="s">
        <v>476</v>
      </c>
      <c r="B94" s="339" t="n">
        <v>0.0834</v>
      </c>
      <c r="C94" s="363"/>
      <c r="D94" s="342" t="s">
        <v>476</v>
      </c>
      <c r="E94" s="339" t="n">
        <v>0.0228</v>
      </c>
      <c r="F94" s="363"/>
      <c r="G94" s="343" t="s">
        <v>476</v>
      </c>
      <c r="H94" s="341" t="n">
        <v>0.2256</v>
      </c>
      <c r="I94" s="363"/>
    </row>
    <row r="95" customFormat="false" ht="12.75" hidden="false" customHeight="false" outlineLevel="0" collapsed="false">
      <c r="A95" s="338" t="s">
        <v>120</v>
      </c>
      <c r="B95" s="339" t="n">
        <f aca="false">0.0022+0.007</f>
        <v>0.0092</v>
      </c>
      <c r="C95" s="363" t="s">
        <v>9</v>
      </c>
      <c r="D95" s="342" t="s">
        <v>120</v>
      </c>
      <c r="E95" s="339" t="n">
        <f aca="false">0.0022+0.007</f>
        <v>0.0092</v>
      </c>
      <c r="F95" s="363"/>
      <c r="G95" s="343" t="s">
        <v>120</v>
      </c>
      <c r="H95" s="344" t="n">
        <f aca="false">0.0022+0.007</f>
        <v>0.0092</v>
      </c>
      <c r="I95" s="363"/>
    </row>
    <row r="96" customFormat="false" ht="12.75" hidden="false" customHeight="false" outlineLevel="0" collapsed="false">
      <c r="A96" s="347" t="n">
        <v>0.0217</v>
      </c>
      <c r="B96" s="376" t="n">
        <f aca="false">(B5)/(1-A96)-B5</f>
        <v>0.123993662475724</v>
      </c>
      <c r="C96" s="346"/>
      <c r="D96" s="347" t="n">
        <v>0.0582</v>
      </c>
      <c r="E96" s="348" t="n">
        <f aca="false">(E$3)/(1-D96)-E$3</f>
        <v>0.310218730091314</v>
      </c>
      <c r="F96" s="346"/>
      <c r="G96" s="349" t="n">
        <v>0.0411</v>
      </c>
      <c r="H96" s="350" t="n">
        <f aca="false">(H$6)/(1-G96)-(H$6)</f>
        <v>0.218594222546669</v>
      </c>
      <c r="I96" s="346"/>
    </row>
    <row r="97" customFormat="false" ht="12.75" hidden="false" customHeight="false" outlineLevel="0" collapsed="false">
      <c r="A97" s="353"/>
      <c r="B97" s="354" t="n">
        <f aca="false">SUM(B94:B96)</f>
        <v>0.216593662475724</v>
      </c>
      <c r="C97" s="351"/>
      <c r="D97" s="342"/>
      <c r="E97" s="354" t="n">
        <f aca="false">SUM(E94:E96)</f>
        <v>0.342218730091314</v>
      </c>
      <c r="F97" s="351"/>
      <c r="G97" s="343"/>
      <c r="H97" s="355" t="n">
        <f aca="false">SUM(H94:H96)</f>
        <v>0.453394222546669</v>
      </c>
      <c r="I97" s="351"/>
    </row>
    <row r="98" customFormat="false" ht="12.75" hidden="false" customHeight="false" outlineLevel="0" collapsed="false">
      <c r="A98" s="357" t="s">
        <v>459</v>
      </c>
      <c r="B98" s="366" t="s">
        <v>601</v>
      </c>
      <c r="C98" s="322"/>
      <c r="D98" s="333" t="s">
        <v>461</v>
      </c>
      <c r="E98" s="329" t="s">
        <v>576</v>
      </c>
      <c r="F98" s="322"/>
      <c r="G98" s="334" t="s">
        <v>463</v>
      </c>
      <c r="H98" s="355" t="s">
        <v>599</v>
      </c>
      <c r="I98" s="322"/>
    </row>
    <row r="99" customFormat="false" ht="12.75" hidden="false" customHeight="false" outlineLevel="0" collapsed="false">
      <c r="A99" s="353" t="s">
        <v>476</v>
      </c>
      <c r="B99" s="339" t="n">
        <v>0.0427</v>
      </c>
      <c r="C99" s="331"/>
      <c r="D99" s="342" t="s">
        <v>476</v>
      </c>
      <c r="E99" s="339" t="n">
        <v>0.0431</v>
      </c>
      <c r="F99" s="331"/>
      <c r="G99" s="343" t="s">
        <v>476</v>
      </c>
      <c r="H99" s="341" t="n">
        <v>0.3273</v>
      </c>
      <c r="I99" s="331"/>
    </row>
    <row r="100" customFormat="false" ht="12.75" hidden="false" customHeight="false" outlineLevel="0" collapsed="false">
      <c r="A100" s="353" t="s">
        <v>120</v>
      </c>
      <c r="B100" s="339" t="n">
        <f aca="false">0.0022+0.007</f>
        <v>0.0092</v>
      </c>
      <c r="C100" s="331"/>
      <c r="D100" s="342" t="s">
        <v>120</v>
      </c>
      <c r="E100" s="339" t="n">
        <f aca="false">0.0022+0.007</f>
        <v>0.0092</v>
      </c>
      <c r="F100" s="331"/>
      <c r="G100" s="343" t="s">
        <v>120</v>
      </c>
      <c r="H100" s="344" t="n">
        <f aca="false">0.0022+0.007</f>
        <v>0.0092</v>
      </c>
      <c r="I100" s="331"/>
    </row>
    <row r="101" customFormat="false" ht="12.75" hidden="false" customHeight="false" outlineLevel="0" collapsed="false">
      <c r="A101" s="347" t="n">
        <v>0.0128</v>
      </c>
      <c r="B101" s="352" t="n">
        <f aca="false">(+B5)/(1-A101)-B5</f>
        <v>0.0724797406807136</v>
      </c>
      <c r="C101" s="331"/>
      <c r="D101" s="347" t="n">
        <v>0.0826</v>
      </c>
      <c r="E101" s="348" t="n">
        <f aca="false">(E$3)/(1-D101)-E$3</f>
        <v>0.451986047525616</v>
      </c>
      <c r="F101" s="331"/>
      <c r="G101" s="349" t="n">
        <v>0.0575</v>
      </c>
      <c r="H101" s="350" t="n">
        <f aca="false">(H$6)/(1-G101)-(H$6)</f>
        <v>0.311140583554376</v>
      </c>
      <c r="I101" s="331"/>
    </row>
    <row r="102" customFormat="false" ht="12.75" hidden="false" customHeight="false" outlineLevel="0" collapsed="false">
      <c r="A102" s="353"/>
      <c r="B102" s="354" t="n">
        <f aca="false">SUM(B99:B101)</f>
        <v>0.124379740680714</v>
      </c>
      <c r="C102" s="346"/>
      <c r="D102" s="342"/>
      <c r="E102" s="354" t="n">
        <f aca="false">SUM(E99:E101)</f>
        <v>0.504286047525616</v>
      </c>
      <c r="F102" s="346"/>
      <c r="G102" s="343"/>
      <c r="H102" s="355" t="n">
        <f aca="false">SUM(H99:H101)</f>
        <v>0.647640583554376</v>
      </c>
      <c r="I102" s="346"/>
    </row>
    <row r="103" customFormat="false" ht="12.75" hidden="false" customHeight="false" outlineLevel="0" collapsed="false">
      <c r="A103" s="389" t="s">
        <v>604</v>
      </c>
      <c r="B103" s="366" t="s">
        <v>605</v>
      </c>
      <c r="C103" s="351"/>
      <c r="D103" s="333" t="s">
        <v>461</v>
      </c>
      <c r="E103" s="329" t="s">
        <v>582</v>
      </c>
      <c r="F103" s="351"/>
      <c r="G103" s="334" t="s">
        <v>463</v>
      </c>
      <c r="H103" s="355" t="s">
        <v>602</v>
      </c>
      <c r="I103" s="351"/>
    </row>
    <row r="104" customFormat="false" ht="12.75" hidden="false" customHeight="false" outlineLevel="0" collapsed="false">
      <c r="A104" s="353" t="s">
        <v>476</v>
      </c>
      <c r="B104" s="339" t="n">
        <v>0.0427</v>
      </c>
      <c r="D104" s="342" t="s">
        <v>476</v>
      </c>
      <c r="E104" s="339" t="n">
        <v>0.057</v>
      </c>
      <c r="G104" s="343" t="s">
        <v>476</v>
      </c>
      <c r="H104" s="341" t="n">
        <v>0.1806</v>
      </c>
    </row>
    <row r="105" customFormat="false" ht="12.75" hidden="false" customHeight="false" outlineLevel="0" collapsed="false">
      <c r="A105" s="353" t="s">
        <v>120</v>
      </c>
      <c r="B105" s="339" t="n">
        <f aca="false">0.0022+0.007</f>
        <v>0.0092</v>
      </c>
      <c r="C105" s="322"/>
      <c r="D105" s="342" t="s">
        <v>120</v>
      </c>
      <c r="E105" s="339" t="n">
        <f aca="false">0.0022+0.007</f>
        <v>0.0092</v>
      </c>
      <c r="F105" s="322"/>
      <c r="G105" s="343" t="s">
        <v>120</v>
      </c>
      <c r="H105" s="344" t="n">
        <f aca="false">0.0022+0.007</f>
        <v>0.0092</v>
      </c>
      <c r="I105" s="322"/>
    </row>
    <row r="106" customFormat="false" ht="12.75" hidden="false" customHeight="false" outlineLevel="0" collapsed="false">
      <c r="A106" s="353" t="s">
        <v>674</v>
      </c>
      <c r="B106" s="348" t="n">
        <f aca="false">(+B5)/(1-0.005)-B5</f>
        <v>0.0280904522613064</v>
      </c>
      <c r="C106" s="331"/>
      <c r="D106" s="347" t="n">
        <v>0.0986</v>
      </c>
      <c r="E106" s="348" t="n">
        <f aca="false">(E$3)/(1-D106)-E$3</f>
        <v>0.549114710450411</v>
      </c>
      <c r="F106" s="331"/>
      <c r="G106" s="349" t="n">
        <v>0.0333</v>
      </c>
      <c r="H106" s="350" t="n">
        <f aca="false">(H$7)/(1-G106)-H$7</f>
        <v>0.196176166339092</v>
      </c>
      <c r="I106" s="331"/>
    </row>
    <row r="107" customFormat="false" ht="12.75" hidden="false" customHeight="false" outlineLevel="0" collapsed="false">
      <c r="A107" s="353"/>
      <c r="B107" s="354" t="n">
        <f aca="false">SUM(B104:B106)</f>
        <v>0.0799904522613064</v>
      </c>
      <c r="C107" s="331"/>
      <c r="D107" s="342"/>
      <c r="E107" s="354" t="n">
        <f aca="false">SUM(E104:E106)</f>
        <v>0.615314710450411</v>
      </c>
      <c r="F107" s="331"/>
      <c r="G107" s="343"/>
      <c r="H107" s="355" t="n">
        <f aca="false">SUM(H104:H106)</f>
        <v>0.385976166339092</v>
      </c>
      <c r="I107" s="331"/>
    </row>
    <row r="108" customFormat="false" ht="12.75" hidden="false" customHeight="false" outlineLevel="0" collapsed="false">
      <c r="A108" s="357" t="s">
        <v>459</v>
      </c>
      <c r="B108" s="366" t="s">
        <v>608</v>
      </c>
      <c r="C108" s="346"/>
      <c r="D108" s="333" t="s">
        <v>461</v>
      </c>
      <c r="E108" s="329" t="s">
        <v>606</v>
      </c>
      <c r="F108" s="346"/>
      <c r="G108" s="390"/>
      <c r="H108" s="351"/>
      <c r="I108" s="346"/>
    </row>
    <row r="109" customFormat="false" ht="12.75" hidden="false" customHeight="false" outlineLevel="0" collapsed="false">
      <c r="A109" s="353" t="s">
        <v>476</v>
      </c>
      <c r="B109" s="339" t="n">
        <v>0.0765</v>
      </c>
      <c r="C109" s="351"/>
      <c r="D109" s="342" t="s">
        <v>476</v>
      </c>
      <c r="E109" s="339" t="n">
        <v>0.0141</v>
      </c>
      <c r="F109" s="351"/>
      <c r="G109" s="331"/>
      <c r="H109" s="363"/>
      <c r="I109" s="351"/>
    </row>
    <row r="110" customFormat="false" ht="12.75" hidden="false" customHeight="false" outlineLevel="0" collapsed="false">
      <c r="A110" s="353" t="s">
        <v>120</v>
      </c>
      <c r="B110" s="339" t="n">
        <f aca="false">0.0022+0.007</f>
        <v>0.0092</v>
      </c>
      <c r="C110" s="322"/>
      <c r="D110" s="342" t="s">
        <v>120</v>
      </c>
      <c r="E110" s="339" t="n">
        <f aca="false">0.0022+0.007</f>
        <v>0.0092</v>
      </c>
      <c r="F110" s="322"/>
      <c r="G110" s="331"/>
      <c r="H110" s="331"/>
      <c r="I110" s="322"/>
    </row>
    <row r="111" customFormat="false" ht="12.75" hidden="false" customHeight="false" outlineLevel="0" collapsed="false">
      <c r="A111" s="388" t="n">
        <v>0.0209</v>
      </c>
      <c r="B111" s="348" t="n">
        <f aca="false">(+B5)/(1-A111)-B5</f>
        <v>0.119324890205291</v>
      </c>
      <c r="C111" s="331"/>
      <c r="D111" s="347" t="n">
        <v>0.0284</v>
      </c>
      <c r="E111" s="348" t="n">
        <f aca="false">(E$6)/(1-D111)-E$6</f>
        <v>0.149073692877727</v>
      </c>
      <c r="F111" s="331"/>
      <c r="G111" s="331"/>
      <c r="H111" s="346"/>
      <c r="I111" s="331"/>
    </row>
    <row r="112" customFormat="false" ht="12.75" hidden="false" customHeight="false" outlineLevel="0" collapsed="false">
      <c r="A112" s="353"/>
      <c r="B112" s="354" t="n">
        <f aca="false">SUM(B109:B111)</f>
        <v>0.205024890205291</v>
      </c>
      <c r="C112" s="331"/>
      <c r="D112" s="342"/>
      <c r="E112" s="354" t="n">
        <f aca="false">SUM(E109:E111)</f>
        <v>0.172373692877727</v>
      </c>
      <c r="F112" s="331"/>
      <c r="G112" s="331"/>
      <c r="H112" s="351"/>
      <c r="I112" s="331"/>
    </row>
    <row r="113" customFormat="false" ht="12.75" hidden="false" customHeight="false" outlineLevel="0" collapsed="false">
      <c r="A113" s="357" t="s">
        <v>459</v>
      </c>
      <c r="B113" s="366" t="s">
        <v>610</v>
      </c>
      <c r="C113" s="346"/>
      <c r="D113" s="333" t="s">
        <v>461</v>
      </c>
      <c r="E113" s="329" t="s">
        <v>587</v>
      </c>
      <c r="F113" s="346"/>
      <c r="G113" s="331"/>
      <c r="H113" s="331"/>
      <c r="I113" s="346"/>
    </row>
    <row r="114" customFormat="false" ht="12.75" hidden="false" customHeight="false" outlineLevel="0" collapsed="false">
      <c r="A114" s="353" t="s">
        <v>476</v>
      </c>
      <c r="B114" s="339" t="n">
        <v>0.3192</v>
      </c>
      <c r="C114" s="351"/>
      <c r="D114" s="342" t="s">
        <v>476</v>
      </c>
      <c r="E114" s="339" t="n">
        <v>0.0344</v>
      </c>
      <c r="F114" s="351"/>
      <c r="G114" s="331"/>
      <c r="H114" s="331"/>
      <c r="I114" s="351"/>
    </row>
    <row r="115" customFormat="false" ht="12.75" hidden="false" customHeight="false" outlineLevel="0" collapsed="false">
      <c r="A115" s="353" t="s">
        <v>120</v>
      </c>
      <c r="B115" s="339" t="n">
        <f aca="false">0.0022+0.007</f>
        <v>0.0092</v>
      </c>
      <c r="D115" s="342" t="s">
        <v>120</v>
      </c>
      <c r="E115" s="339" t="n">
        <f aca="false">0.0022+0.007</f>
        <v>0.0092</v>
      </c>
      <c r="G115" s="346"/>
      <c r="H115" s="346"/>
    </row>
    <row r="116" customFormat="false" ht="12.75" hidden="false" customHeight="false" outlineLevel="0" collapsed="false">
      <c r="A116" s="392" t="n">
        <v>0.025</v>
      </c>
      <c r="B116" s="348" t="n">
        <f aca="false">(+B$5)/(1-A116)-B$5</f>
        <v>0.143333333333334</v>
      </c>
      <c r="D116" s="347" t="n">
        <v>0.0528</v>
      </c>
      <c r="E116" s="348" t="n">
        <f aca="false">(E$6)/(1-D116)-E$6</f>
        <v>0.284290540540541</v>
      </c>
      <c r="G116" s="351"/>
      <c r="H116" s="351"/>
    </row>
    <row r="117" customFormat="false" ht="12.75" hidden="false" customHeight="false" outlineLevel="0" collapsed="false">
      <c r="A117" s="353"/>
      <c r="B117" s="354" t="n">
        <f aca="false">SUM(B114:B116)</f>
        <v>0.471733333333334</v>
      </c>
      <c r="D117" s="342"/>
      <c r="E117" s="354" t="n">
        <f aca="false">SUM(E114:E116)</f>
        <v>0.327890540540541</v>
      </c>
      <c r="G117" s="322"/>
      <c r="H117" s="322"/>
    </row>
    <row r="118" customFormat="false" ht="12.75" hidden="false" customHeight="false" outlineLevel="0" collapsed="false">
      <c r="A118" s="357" t="s">
        <v>459</v>
      </c>
      <c r="B118" s="366" t="s">
        <v>612</v>
      </c>
      <c r="D118" s="333" t="s">
        <v>461</v>
      </c>
      <c r="E118" s="329" t="s">
        <v>591</v>
      </c>
      <c r="G118" s="331"/>
      <c r="H118" s="331"/>
    </row>
    <row r="119" customFormat="false" ht="12.75" hidden="false" customHeight="false" outlineLevel="0" collapsed="false">
      <c r="A119" s="353" t="s">
        <v>476</v>
      </c>
      <c r="B119" s="339" t="n">
        <v>0.0765</v>
      </c>
      <c r="D119" s="342" t="s">
        <v>476</v>
      </c>
      <c r="E119" s="339" t="n">
        <v>0.0483</v>
      </c>
      <c r="G119" s="331"/>
      <c r="H119" s="331"/>
    </row>
    <row r="120" customFormat="false" ht="12.75" hidden="false" customHeight="false" outlineLevel="0" collapsed="false">
      <c r="A120" s="353" t="s">
        <v>120</v>
      </c>
      <c r="B120" s="339" t="n">
        <f aca="false">0.0022+0.007</f>
        <v>0.0092</v>
      </c>
      <c r="D120" s="342" t="s">
        <v>120</v>
      </c>
      <c r="E120" s="339" t="n">
        <f aca="false">0.0022+0.007</f>
        <v>0.0092</v>
      </c>
      <c r="G120" s="346"/>
      <c r="H120" s="346"/>
    </row>
    <row r="121" customFormat="false" ht="12.75" hidden="false" customHeight="false" outlineLevel="0" collapsed="false">
      <c r="A121" s="392" t="n">
        <v>0.014</v>
      </c>
      <c r="B121" s="348" t="n">
        <f aca="false">(+B$5)/(1-A121)-B$5</f>
        <v>0.0793711967545638</v>
      </c>
      <c r="D121" s="347" t="n">
        <v>0.0688</v>
      </c>
      <c r="E121" s="348" t="n">
        <f aca="false">(E$6)/(1-D121)-E$6</f>
        <v>0.37680412371134</v>
      </c>
      <c r="G121" s="351"/>
      <c r="H121" s="351"/>
    </row>
    <row r="122" customFormat="false" ht="12.75" hidden="false" customHeight="false" outlineLevel="0" collapsed="false">
      <c r="A122" s="353"/>
      <c r="B122" s="354" t="n">
        <f aca="false">SUM(B119:B121)</f>
        <v>0.165071196754564</v>
      </c>
      <c r="D122" s="342"/>
      <c r="E122" s="354" t="n">
        <f aca="false">SUM(E119:E121)</f>
        <v>0.43430412371134</v>
      </c>
      <c r="G122" s="351"/>
      <c r="H122" s="351"/>
    </row>
    <row r="123" customFormat="false" ht="12.75" hidden="false" customHeight="false" outlineLevel="0" collapsed="false">
      <c r="A123" s="357" t="s">
        <v>459</v>
      </c>
      <c r="B123" s="366" t="s">
        <v>614</v>
      </c>
      <c r="D123" s="333" t="s">
        <v>461</v>
      </c>
      <c r="E123" s="354" t="s">
        <v>595</v>
      </c>
      <c r="G123" s="363"/>
      <c r="H123" s="363"/>
    </row>
    <row r="124" customFormat="false" ht="12.75" hidden="false" customHeight="false" outlineLevel="0" collapsed="false">
      <c r="A124" s="353" t="s">
        <v>476</v>
      </c>
      <c r="B124" s="339" t="n">
        <v>0.0642</v>
      </c>
      <c r="D124" s="342" t="s">
        <v>476</v>
      </c>
      <c r="E124" s="380" t="n">
        <v>0.0245</v>
      </c>
      <c r="G124" s="363"/>
      <c r="H124" s="363"/>
    </row>
    <row r="125" customFormat="false" ht="12.75" hidden="false" customHeight="false" outlineLevel="0" collapsed="false">
      <c r="A125" s="353" t="s">
        <v>120</v>
      </c>
      <c r="B125" s="339" t="n">
        <f aca="false">0.0022+0.007</f>
        <v>0.0092</v>
      </c>
      <c r="D125" s="342" t="s">
        <v>120</v>
      </c>
      <c r="E125" s="339" t="n">
        <f aca="false">0.0022</f>
        <v>0.0022</v>
      </c>
      <c r="G125" s="363"/>
      <c r="H125" s="363"/>
    </row>
    <row r="126" customFormat="false" ht="12.75" hidden="false" customHeight="false" outlineLevel="0" collapsed="false">
      <c r="A126" s="347" t="n">
        <v>0.0089</v>
      </c>
      <c r="B126" s="348" t="n">
        <f aca="false">(+B4)/(1-A126)-B4</f>
        <v>0.045887397840783</v>
      </c>
      <c r="D126" s="347" t="n">
        <v>0.0411</v>
      </c>
      <c r="E126" s="348" t="n">
        <f aca="false">(E$7)/(1-D126)-E$7</f>
        <v>0.244096881843779</v>
      </c>
      <c r="G126" s="346"/>
      <c r="H126" s="346"/>
    </row>
    <row r="127" customFormat="false" ht="12.75" hidden="false" customHeight="false" outlineLevel="0" collapsed="false">
      <c r="A127" s="353"/>
      <c r="B127" s="354" t="n">
        <f aca="false">SUM(B124:B126)</f>
        <v>0.119287397840783</v>
      </c>
      <c r="D127" s="342"/>
      <c r="E127" s="354" t="n">
        <f aca="false">SUM(E124:E126)</f>
        <v>0.270796881843779</v>
      </c>
      <c r="G127" s="351"/>
      <c r="H127" s="351"/>
    </row>
    <row r="128" customFormat="false" ht="12.75" hidden="false" customHeight="false" outlineLevel="0" collapsed="false">
      <c r="A128" s="357" t="s">
        <v>616</v>
      </c>
      <c r="B128" s="358"/>
      <c r="D128" s="333" t="s">
        <v>461</v>
      </c>
      <c r="E128" s="354" t="s">
        <v>599</v>
      </c>
      <c r="G128" s="322"/>
      <c r="H128" s="322"/>
    </row>
    <row r="129" customFormat="false" ht="12.75" hidden="false" customHeight="false" outlineLevel="0" collapsed="false">
      <c r="A129" s="338" t="s">
        <v>476</v>
      </c>
      <c r="B129" s="339" t="n">
        <v>0.0094</v>
      </c>
      <c r="D129" s="342" t="s">
        <v>476</v>
      </c>
      <c r="E129" s="380" t="n">
        <v>0.0385</v>
      </c>
      <c r="G129" s="331"/>
      <c r="H129" s="331"/>
    </row>
    <row r="130" customFormat="false" ht="12.75" hidden="false" customHeight="false" outlineLevel="0" collapsed="false">
      <c r="A130" s="338" t="s">
        <v>120</v>
      </c>
      <c r="B130" s="339" t="n">
        <v>0.0022</v>
      </c>
      <c r="D130" s="342" t="s">
        <v>120</v>
      </c>
      <c r="E130" s="339" t="n">
        <f aca="false">0.0022+0.007</f>
        <v>0.0092</v>
      </c>
      <c r="G130" s="331"/>
      <c r="H130" s="331"/>
    </row>
    <row r="131" customFormat="false" ht="12.75" hidden="false" customHeight="false" outlineLevel="0" collapsed="false">
      <c r="A131" s="338" t="s">
        <v>617</v>
      </c>
      <c r="B131" s="348" t="n">
        <f aca="false">(+AC3+AC17)/(1-0.0131)-(+AC3+AC17)</f>
        <v>0</v>
      </c>
      <c r="D131" s="347" t="n">
        <v>0.0575</v>
      </c>
      <c r="E131" s="348" t="n">
        <f aca="false">(E$7)/(1-D131)-E$7</f>
        <v>0.347440318302387</v>
      </c>
      <c r="G131" s="346"/>
      <c r="H131" s="346"/>
    </row>
    <row r="132" customFormat="false" ht="12.75" hidden="false" customHeight="false" outlineLevel="0" collapsed="false">
      <c r="A132" s="353"/>
      <c r="B132" s="354" t="n">
        <f aca="false">SUM(B129:B131)</f>
        <v>0.0116</v>
      </c>
      <c r="D132" s="342"/>
      <c r="E132" s="354" t="n">
        <f aca="false">SUM(E129:E131)</f>
        <v>0.395140318302387</v>
      </c>
      <c r="G132" s="351"/>
      <c r="H132" s="351"/>
    </row>
    <row r="133" customFormat="false" ht="12.75" hidden="false" customHeight="false" outlineLevel="0" collapsed="false">
      <c r="A133" s="357" t="s">
        <v>459</v>
      </c>
      <c r="B133" s="358" t="s">
        <v>598</v>
      </c>
      <c r="D133" s="333" t="s">
        <v>461</v>
      </c>
      <c r="E133" s="354" t="s">
        <v>602</v>
      </c>
    </row>
    <row r="134" customFormat="false" ht="12.75" hidden="false" customHeight="false" outlineLevel="0" collapsed="false">
      <c r="A134" s="338" t="s">
        <v>476</v>
      </c>
      <c r="B134" s="339" t="n">
        <v>0.0459</v>
      </c>
      <c r="D134" s="342" t="s">
        <v>476</v>
      </c>
      <c r="E134" s="380" t="n">
        <v>0.0182</v>
      </c>
      <c r="G134" s="322"/>
      <c r="H134" s="322"/>
    </row>
    <row r="135" customFormat="false" ht="12.75" hidden="false" customHeight="false" outlineLevel="0" collapsed="false">
      <c r="A135" s="338" t="s">
        <v>120</v>
      </c>
      <c r="B135" s="339" t="n">
        <f aca="false">0.0022+0.007</f>
        <v>0.0092</v>
      </c>
      <c r="D135" s="342" t="s">
        <v>120</v>
      </c>
      <c r="E135" s="339" t="n">
        <f aca="false">0.0022+0.007</f>
        <v>0.0092</v>
      </c>
      <c r="G135" s="331"/>
      <c r="H135" s="331"/>
    </row>
    <row r="136" customFormat="false" ht="12.75" hidden="false" customHeight="false" outlineLevel="0" collapsed="false">
      <c r="A136" s="388" t="n">
        <v>0.0116</v>
      </c>
      <c r="B136" s="348" t="n">
        <f aca="false">(+B5)/(1-A136)-B5</f>
        <v>0.0656050182112509</v>
      </c>
      <c r="D136" s="347" t="n">
        <v>0.0333</v>
      </c>
      <c r="E136" s="348" t="n">
        <f aca="false">(E$7)/(1-D136)-E$7</f>
        <v>0.196176166339092</v>
      </c>
      <c r="G136" s="331"/>
      <c r="H136" s="331"/>
    </row>
    <row r="137" customFormat="false" ht="12.75" hidden="false" customHeight="false" outlineLevel="0" collapsed="false">
      <c r="A137" s="353"/>
      <c r="B137" s="354" t="n">
        <f aca="false">SUM(B134:B136)</f>
        <v>0.120705018211251</v>
      </c>
      <c r="D137" s="342"/>
      <c r="E137" s="354" t="n">
        <f aca="false">SUM(E134:E136)</f>
        <v>0.223576166339092</v>
      </c>
      <c r="G137" s="346"/>
      <c r="H137" s="346"/>
    </row>
    <row r="138" customFormat="false" ht="12.75" hidden="false" customHeight="false" outlineLevel="0" collapsed="false">
      <c r="A138" s="359" t="s">
        <v>459</v>
      </c>
      <c r="B138" s="360" t="s">
        <v>619</v>
      </c>
      <c r="C138" s="74"/>
      <c r="D138" s="331"/>
      <c r="E138" s="331"/>
      <c r="F138" s="74"/>
      <c r="G138" s="351"/>
      <c r="H138" s="351"/>
    </row>
    <row r="139" customFormat="false" ht="12.75" hidden="false" customHeight="false" outlineLevel="0" collapsed="false">
      <c r="A139" s="340" t="s">
        <v>476</v>
      </c>
      <c r="B139" s="345" t="n">
        <f aca="false">0.1599-0.0022</f>
        <v>0.1577</v>
      </c>
      <c r="C139" s="74"/>
      <c r="D139" s="331"/>
      <c r="E139" s="363"/>
      <c r="F139" s="74"/>
      <c r="G139" s="322"/>
      <c r="H139" s="322"/>
    </row>
    <row r="140" customFormat="false" ht="12.75" hidden="false" customHeight="false" outlineLevel="0" collapsed="false">
      <c r="A140" s="340" t="s">
        <v>120</v>
      </c>
      <c r="B140" s="344" t="n">
        <f aca="false">0.0022+0+0.0225+0.007</f>
        <v>0.0317</v>
      </c>
      <c r="C140" s="74"/>
      <c r="D140" s="331"/>
      <c r="E140" s="331"/>
      <c r="F140" s="74"/>
      <c r="G140" s="331"/>
      <c r="H140" s="331"/>
    </row>
    <row r="141" customFormat="false" ht="12.75" hidden="false" customHeight="false" outlineLevel="0" collapsed="false">
      <c r="A141" s="398" t="n">
        <v>0.0101</v>
      </c>
      <c r="B141" s="399" t="n">
        <f aca="false">(B4)/(1-A141)-B4</f>
        <v>0.052137589655521</v>
      </c>
      <c r="C141" s="74"/>
      <c r="D141" s="331"/>
      <c r="E141" s="346"/>
      <c r="F141" s="74"/>
      <c r="G141" s="331"/>
      <c r="H141" s="331"/>
    </row>
    <row r="142" customFormat="false" ht="12.75" hidden="false" customHeight="false" outlineLevel="0" collapsed="false">
      <c r="A142" s="356"/>
      <c r="B142" s="355" t="n">
        <f aca="false">SUM(B139:B141)</f>
        <v>0.241537589655521</v>
      </c>
      <c r="C142" s="74"/>
      <c r="D142" s="331"/>
      <c r="E142" s="351"/>
      <c r="F142" s="74"/>
      <c r="G142" s="346"/>
      <c r="H142" s="346"/>
    </row>
    <row r="143" customFormat="false" ht="12.75" hidden="false" customHeight="false" outlineLevel="0" collapsed="false">
      <c r="A143" s="359" t="s">
        <v>459</v>
      </c>
      <c r="B143" s="360" t="s">
        <v>620</v>
      </c>
      <c r="C143" s="74"/>
      <c r="D143" s="331"/>
      <c r="E143" s="331"/>
      <c r="F143" s="74"/>
      <c r="G143" s="351"/>
      <c r="H143" s="351"/>
    </row>
    <row r="144" customFormat="false" ht="12.75" hidden="false" customHeight="false" outlineLevel="0" collapsed="false">
      <c r="A144" s="340" t="s">
        <v>476</v>
      </c>
      <c r="B144" s="345" t="n">
        <f aca="false">0.3212-0.0022</f>
        <v>0.319</v>
      </c>
      <c r="C144" s="74"/>
      <c r="D144" s="331"/>
      <c r="E144" s="331"/>
      <c r="F144" s="74"/>
    </row>
    <row r="145" customFormat="false" ht="12.75" hidden="false" customHeight="false" outlineLevel="0" collapsed="false">
      <c r="A145" s="340" t="s">
        <v>120</v>
      </c>
      <c r="B145" s="344" t="n">
        <f aca="false">0.0022+0+0.0225+0.007</f>
        <v>0.0317</v>
      </c>
      <c r="C145" s="74"/>
      <c r="D145" s="346"/>
      <c r="E145" s="346"/>
      <c r="F145" s="74"/>
    </row>
    <row r="146" customFormat="false" ht="12.75" hidden="false" customHeight="false" outlineLevel="0" collapsed="false">
      <c r="A146" s="398" t="n">
        <v>0.0279</v>
      </c>
      <c r="B146" s="350" t="n">
        <f aca="false">(B3)/(1-A146)-B3</f>
        <v>0.145369303569592</v>
      </c>
      <c r="D146" s="351"/>
      <c r="E146" s="351"/>
    </row>
    <row r="147" customFormat="false" ht="12.75" hidden="false" customHeight="false" outlineLevel="0" collapsed="false">
      <c r="A147" s="356"/>
      <c r="B147" s="355" t="n">
        <f aca="false">SUM(B144:B146)</f>
        <v>0.496069303569592</v>
      </c>
      <c r="D147" s="322"/>
      <c r="E147" s="322"/>
    </row>
    <row r="148" customFormat="false" ht="12.75" hidden="false" customHeight="false" outlineLevel="0" collapsed="false">
      <c r="A148" s="359" t="s">
        <v>459</v>
      </c>
      <c r="B148" s="360" t="s">
        <v>621</v>
      </c>
      <c r="D148" s="331"/>
      <c r="E148" s="331"/>
    </row>
    <row r="149" customFormat="false" ht="12.75" hidden="false" customHeight="false" outlineLevel="0" collapsed="false">
      <c r="A149" s="340" t="s">
        <v>476</v>
      </c>
      <c r="B149" s="345" t="n">
        <v>0.4862</v>
      </c>
      <c r="D149" s="331"/>
      <c r="E149" s="331"/>
    </row>
    <row r="150" customFormat="false" ht="12.75" hidden="false" customHeight="false" outlineLevel="0" collapsed="false">
      <c r="A150" s="340" t="s">
        <v>120</v>
      </c>
      <c r="B150" s="344" t="n">
        <f aca="false">0.0022</f>
        <v>0.0022</v>
      </c>
      <c r="D150" s="346"/>
      <c r="E150" s="346"/>
    </row>
    <row r="151" customFormat="false" ht="12.75" hidden="false" customHeight="false" outlineLevel="0" collapsed="false">
      <c r="A151" s="398" t="n">
        <v>0.0588</v>
      </c>
      <c r="B151" s="402" t="n">
        <f aca="false">(B3)/(1-A151)-B3</f>
        <v>0.316427964300893</v>
      </c>
      <c r="D151" s="351"/>
      <c r="E151" s="351"/>
    </row>
    <row r="152" customFormat="false" ht="12.75" hidden="false" customHeight="false" outlineLevel="0" collapsed="false">
      <c r="A152" s="356"/>
      <c r="B152" s="355" t="n">
        <f aca="false">SUM(B149:B151)</f>
        <v>0.804827964300892</v>
      </c>
      <c r="D152" s="351"/>
      <c r="E152" s="351"/>
    </row>
    <row r="153" customFormat="false" ht="12.75" hidden="false" customHeight="false" outlineLevel="0" collapsed="false">
      <c r="A153" s="359" t="s">
        <v>459</v>
      </c>
      <c r="B153" s="360" t="s">
        <v>622</v>
      </c>
      <c r="D153" s="363"/>
      <c r="E153" s="363"/>
    </row>
    <row r="154" customFormat="false" ht="12.75" hidden="false" customHeight="false" outlineLevel="0" collapsed="false">
      <c r="A154" s="340" t="s">
        <v>476</v>
      </c>
      <c r="B154" s="345" t="n">
        <v>0.5558</v>
      </c>
      <c r="D154" s="363"/>
      <c r="E154" s="363"/>
    </row>
    <row r="155" customFormat="false" ht="12.75" hidden="false" customHeight="false" outlineLevel="0" collapsed="false">
      <c r="A155" s="340" t="s">
        <v>120</v>
      </c>
      <c r="B155" s="344" t="n">
        <f aca="false">0.0022</f>
        <v>0.0022</v>
      </c>
      <c r="D155" s="363"/>
      <c r="E155" s="363"/>
    </row>
    <row r="156" customFormat="false" ht="12.75" hidden="false" customHeight="false" outlineLevel="0" collapsed="false">
      <c r="A156" s="398" t="n">
        <v>0.0679</v>
      </c>
      <c r="B156" s="402" t="n">
        <f aca="false">(B3)/(1-A156)-B3</f>
        <v>0.3689663126274</v>
      </c>
      <c r="D156" s="346"/>
      <c r="E156" s="346"/>
    </row>
    <row r="157" customFormat="false" ht="12.75" hidden="false" customHeight="false" outlineLevel="0" collapsed="false">
      <c r="A157" s="356"/>
      <c r="B157" s="355" t="n">
        <f aca="false">SUM(B154:B156)</f>
        <v>0.9269663126274</v>
      </c>
      <c r="D157" s="351"/>
      <c r="E157" s="351"/>
    </row>
    <row r="158" customFormat="false" ht="12.75" hidden="false" customHeight="false" outlineLevel="0" collapsed="false">
      <c r="A158" s="359" t="s">
        <v>459</v>
      </c>
      <c r="B158" s="360" t="s">
        <v>623</v>
      </c>
      <c r="D158" s="322"/>
      <c r="E158" s="322"/>
    </row>
    <row r="159" customFormat="false" ht="12.75" hidden="false" customHeight="false" outlineLevel="0" collapsed="false">
      <c r="A159" s="340" t="s">
        <v>476</v>
      </c>
      <c r="B159" s="345" t="n">
        <v>0.6285</v>
      </c>
      <c r="D159" s="331"/>
      <c r="E159" s="331"/>
    </row>
    <row r="160" customFormat="false" ht="12.75" hidden="false" customHeight="false" outlineLevel="0" collapsed="false">
      <c r="A160" s="340" t="s">
        <v>120</v>
      </c>
      <c r="B160" s="344" t="n">
        <f aca="false">0.0022+0.007</f>
        <v>0.0092</v>
      </c>
      <c r="D160" s="331"/>
      <c r="E160" s="331"/>
    </row>
    <row r="161" customFormat="false" ht="12.75" hidden="false" customHeight="false" outlineLevel="0" collapsed="false">
      <c r="A161" s="398" t="n">
        <v>0.0871</v>
      </c>
      <c r="B161" s="402" t="n">
        <f aca="false">(B3)/(1-A161)-B3</f>
        <v>0.483252820681345</v>
      </c>
      <c r="D161" s="346"/>
      <c r="E161" s="346"/>
    </row>
    <row r="162" customFormat="false" ht="12.75" hidden="false" customHeight="false" outlineLevel="0" collapsed="false">
      <c r="A162" s="356"/>
      <c r="B162" s="355" t="n">
        <f aca="false">SUM(B159:B161)</f>
        <v>1.12095282068135</v>
      </c>
      <c r="D162" s="351"/>
      <c r="E162" s="351"/>
    </row>
    <row r="163" customFormat="false" ht="12.75" hidden="false" customHeight="false" outlineLevel="0" collapsed="false">
      <c r="A163" s="359" t="s">
        <v>459</v>
      </c>
      <c r="B163" s="360" t="s">
        <v>624</v>
      </c>
    </row>
    <row r="164" customFormat="false" ht="12.75" hidden="false" customHeight="false" outlineLevel="0" collapsed="false">
      <c r="A164" s="340" t="s">
        <v>476</v>
      </c>
      <c r="B164" s="345" t="n">
        <f aca="false">0.3703-0.0022</f>
        <v>0.3681</v>
      </c>
      <c r="D164" s="322"/>
      <c r="E164" s="322"/>
    </row>
    <row r="165" customFormat="false" ht="12.75" hidden="false" customHeight="false" outlineLevel="0" collapsed="false">
      <c r="A165" s="340" t="s">
        <v>120</v>
      </c>
      <c r="B165" s="344" t="n">
        <f aca="false">0.0022+0+0.0225+0.007</f>
        <v>0.0317</v>
      </c>
      <c r="D165" s="331"/>
      <c r="E165" s="331"/>
    </row>
    <row r="166" customFormat="false" ht="12.75" hidden="false" customHeight="false" outlineLevel="0" collapsed="false">
      <c r="A166" s="398" t="n">
        <v>0.0428</v>
      </c>
      <c r="B166" s="402" t="n">
        <f aca="false">(B4)/(1-A166)-B4</f>
        <v>0.228487254492268</v>
      </c>
      <c r="D166" s="331"/>
      <c r="E166" s="331"/>
    </row>
    <row r="167" customFormat="false" ht="12.75" hidden="false" customHeight="false" outlineLevel="0" collapsed="false">
      <c r="A167" s="356"/>
      <c r="B167" s="355" t="n">
        <f aca="false">SUM(B164:B166)</f>
        <v>0.628287254492269</v>
      </c>
      <c r="D167" s="346"/>
      <c r="E167" s="346"/>
    </row>
    <row r="168" customFormat="false" ht="12.75" hidden="false" customHeight="false" outlineLevel="0" collapsed="false">
      <c r="A168" s="359" t="s">
        <v>459</v>
      </c>
      <c r="B168" s="404" t="s">
        <v>625</v>
      </c>
      <c r="D168" s="351"/>
      <c r="E168" s="351"/>
    </row>
    <row r="169" customFormat="false" ht="12.75" hidden="false" customHeight="false" outlineLevel="0" collapsed="false">
      <c r="A169" s="356" t="s">
        <v>476</v>
      </c>
      <c r="B169" s="345" t="n">
        <v>0.4281</v>
      </c>
      <c r="D169" s="322"/>
      <c r="E169" s="322"/>
    </row>
    <row r="170" customFormat="false" ht="12.75" hidden="false" customHeight="false" outlineLevel="0" collapsed="false">
      <c r="A170" s="356" t="s">
        <v>120</v>
      </c>
      <c r="B170" s="344" t="n">
        <f aca="false">0.0022</f>
        <v>0.0022</v>
      </c>
      <c r="D170" s="331"/>
      <c r="E170" s="331"/>
    </row>
    <row r="171" customFormat="false" ht="12.75" hidden="false" customHeight="false" outlineLevel="0" collapsed="false">
      <c r="A171" s="349" t="n">
        <v>0.0499</v>
      </c>
      <c r="B171" s="350" t="n">
        <f aca="false">(B4)/(1-A171)-B4</f>
        <v>0.268381223029155</v>
      </c>
      <c r="D171" s="331"/>
      <c r="E171" s="331"/>
    </row>
    <row r="172" customFormat="false" ht="12.75" hidden="false" customHeight="false" outlineLevel="0" collapsed="false">
      <c r="A172" s="356"/>
      <c r="B172" s="355" t="n">
        <f aca="false">SUM(B169:B171)</f>
        <v>0.698681223029155</v>
      </c>
      <c r="D172" s="346"/>
      <c r="E172" s="346"/>
    </row>
    <row r="173" customFormat="false" ht="12.75" hidden="false" customHeight="false" outlineLevel="0" collapsed="false">
      <c r="A173" s="359" t="s">
        <v>459</v>
      </c>
      <c r="B173" s="404" t="s">
        <v>626</v>
      </c>
      <c r="D173" s="351"/>
      <c r="E173" s="351"/>
    </row>
    <row r="174" customFormat="false" ht="12.75" hidden="false" customHeight="false" outlineLevel="0" collapsed="false">
      <c r="A174" s="356" t="s">
        <v>476</v>
      </c>
      <c r="B174" s="345" t="n">
        <v>0.4955</v>
      </c>
    </row>
    <row r="175" customFormat="false" ht="12.75" hidden="false" customHeight="false" outlineLevel="0" collapsed="false">
      <c r="A175" s="356" t="s">
        <v>120</v>
      </c>
      <c r="B175" s="344" t="n">
        <f aca="false">0.0022</f>
        <v>0.0022</v>
      </c>
    </row>
    <row r="176" customFormat="false" ht="12.75" hidden="false" customHeight="false" outlineLevel="0" collapsed="false">
      <c r="A176" s="349" t="n">
        <v>0.059</v>
      </c>
      <c r="B176" s="350" t="n">
        <f aca="false">(B4)/(1-A176)-B4</f>
        <v>0.32039319872476</v>
      </c>
    </row>
    <row r="177" customFormat="false" ht="12.75" hidden="false" customHeight="false" outlineLevel="0" collapsed="false">
      <c r="A177" s="356"/>
      <c r="B177" s="355" t="n">
        <f aca="false">SUM(B174:B176)</f>
        <v>0.81809319872476</v>
      </c>
    </row>
    <row r="178" customFormat="false" ht="12.75" hidden="false" customHeight="false" outlineLevel="0" collapsed="false">
      <c r="A178" s="359" t="s">
        <v>459</v>
      </c>
      <c r="B178" s="404" t="s">
        <v>627</v>
      </c>
    </row>
    <row r="179" customFormat="false" ht="12.75" hidden="false" customHeight="false" outlineLevel="0" collapsed="false">
      <c r="A179" s="356" t="s">
        <v>476</v>
      </c>
      <c r="B179" s="345" t="n">
        <v>0.5701</v>
      </c>
    </row>
    <row r="180" customFormat="false" ht="12.75" hidden="false" customHeight="false" outlineLevel="0" collapsed="false">
      <c r="A180" s="356" t="s">
        <v>120</v>
      </c>
      <c r="B180" s="344" t="n">
        <f aca="false">0.0022+0.007</f>
        <v>0.0092</v>
      </c>
    </row>
    <row r="181" customFormat="false" ht="12.75" hidden="false" customHeight="false" outlineLevel="0" collapsed="false">
      <c r="A181" s="349" t="n">
        <v>0.0699</v>
      </c>
      <c r="B181" s="350" t="n">
        <f aca="false">(B4)/(1-A181)-B4</f>
        <v>0.384032899688205</v>
      </c>
    </row>
    <row r="182" customFormat="false" ht="12.75" hidden="false" customHeight="false" outlineLevel="0" collapsed="false">
      <c r="A182" s="356"/>
      <c r="B182" s="355" t="n">
        <f aca="false">SUM(B179:B181)</f>
        <v>0.963332899688205</v>
      </c>
    </row>
    <row r="183" customFormat="false" ht="12.75" hidden="false" customHeight="false" outlineLevel="0" collapsed="false">
      <c r="A183" s="359" t="s">
        <v>459</v>
      </c>
      <c r="B183" s="404" t="s">
        <v>628</v>
      </c>
    </row>
    <row r="184" customFormat="false" ht="12.75" hidden="false" customHeight="false" outlineLevel="0" collapsed="false">
      <c r="A184" s="356" t="s">
        <v>476</v>
      </c>
      <c r="B184" s="345" t="n">
        <v>0.6906</v>
      </c>
    </row>
    <row r="185" customFormat="false" ht="12.75" hidden="false" customHeight="false" outlineLevel="0" collapsed="false">
      <c r="A185" s="356" t="s">
        <v>120</v>
      </c>
      <c r="B185" s="344" t="n">
        <f aca="false">0.0022+0.007</f>
        <v>0.0092</v>
      </c>
    </row>
    <row r="186" customFormat="false" ht="12.75" hidden="false" customHeight="false" outlineLevel="0" collapsed="false">
      <c r="A186" s="349" t="n">
        <v>0.0782</v>
      </c>
      <c r="B186" s="350" t="n">
        <f aca="false">(B3)/(1-A186)-B3</f>
        <v>0.429684313300066</v>
      </c>
    </row>
    <row r="187" customFormat="false" ht="12.75" hidden="false" customHeight="false" outlineLevel="0" collapsed="false">
      <c r="A187" s="356"/>
      <c r="B187" s="355" t="n">
        <f aca="false">SUM(B184:B186)</f>
        <v>1.12948431330007</v>
      </c>
      <c r="E187" s="301"/>
    </row>
    <row r="188" customFormat="false" ht="12.75" hidden="false" customHeight="false" outlineLevel="0" collapsed="false">
      <c r="A188" s="359" t="s">
        <v>459</v>
      </c>
      <c r="B188" s="404" t="s">
        <v>629</v>
      </c>
      <c r="E188" s="301"/>
    </row>
    <row r="189" customFormat="false" ht="12.75" hidden="false" customHeight="false" outlineLevel="0" collapsed="false">
      <c r="A189" s="356" t="s">
        <v>476</v>
      </c>
      <c r="B189" s="345" t="n">
        <v>0.3192</v>
      </c>
      <c r="E189" s="301"/>
    </row>
    <row r="190" customFormat="false" ht="12.75" hidden="false" customHeight="false" outlineLevel="0" collapsed="false">
      <c r="A190" s="356" t="s">
        <v>120</v>
      </c>
      <c r="B190" s="344" t="n">
        <f aca="false">0.0022+0.007</f>
        <v>0.0092</v>
      </c>
    </row>
    <row r="191" customFormat="false" ht="12.75" hidden="false" customHeight="false" outlineLevel="0" collapsed="false">
      <c r="A191" s="349" t="n">
        <v>0.0217</v>
      </c>
      <c r="B191" s="350" t="n">
        <f aca="false">(B5)/(1-A191)-B5</f>
        <v>0.123993662475724</v>
      </c>
      <c r="E191" s="301"/>
    </row>
    <row r="192" customFormat="false" ht="12.75" hidden="false" customHeight="false" outlineLevel="0" collapsed="false">
      <c r="A192" s="356"/>
      <c r="B192" s="355" t="n">
        <f aca="false">SUM(B189:B191)</f>
        <v>0.452393662475724</v>
      </c>
      <c r="E192" s="301"/>
    </row>
    <row r="193" customFormat="false" ht="12.75" hidden="false" customHeight="false" outlineLevel="0" collapsed="false">
      <c r="A193" s="359" t="s">
        <v>459</v>
      </c>
      <c r="B193" s="404" t="s">
        <v>630</v>
      </c>
      <c r="E193" s="301"/>
    </row>
    <row r="194" customFormat="false" ht="12.75" hidden="false" customHeight="false" outlineLevel="0" collapsed="false">
      <c r="A194" s="356" t="s">
        <v>476</v>
      </c>
      <c r="B194" s="345" t="n">
        <v>0.3699</v>
      </c>
    </row>
    <row r="195" customFormat="false" ht="12.75" hidden="false" customHeight="false" outlineLevel="0" collapsed="false">
      <c r="A195" s="356" t="s">
        <v>120</v>
      </c>
      <c r="B195" s="344" t="n">
        <f aca="false">0.0022+0.007</f>
        <v>0.0092</v>
      </c>
    </row>
    <row r="196" customFormat="false" ht="12.75" hidden="false" customHeight="false" outlineLevel="0" collapsed="false">
      <c r="A196" s="349" t="n">
        <v>0.0314</v>
      </c>
      <c r="B196" s="350" t="e">
        <f aca="false">(#REF!)/(1-A196)-#REF!</f>
        <v>#REF!</v>
      </c>
    </row>
    <row r="197" customFormat="false" ht="12.75" hidden="false" customHeight="false" outlineLevel="0" collapsed="false">
      <c r="A197" s="356"/>
      <c r="B197" s="355" t="e">
        <f aca="false">SUM(B194:B196)</f>
        <v>#REF!</v>
      </c>
    </row>
    <row r="198" customFormat="false" ht="12.75" hidden="false" customHeight="false" outlineLevel="0" collapsed="false">
      <c r="A198" s="359" t="s">
        <v>459</v>
      </c>
      <c r="B198" s="404" t="s">
        <v>631</v>
      </c>
    </row>
    <row r="199" customFormat="false" ht="12.75" hidden="false" customHeight="false" outlineLevel="0" collapsed="false">
      <c r="A199" s="356" t="s">
        <v>476</v>
      </c>
      <c r="B199" s="345" t="n">
        <v>0.197</v>
      </c>
    </row>
    <row r="200" customFormat="false" ht="12.75" hidden="false" customHeight="false" outlineLevel="0" collapsed="false">
      <c r="A200" s="356" t="s">
        <v>120</v>
      </c>
      <c r="B200" s="344" t="n">
        <f aca="false">0.0022+0.007</f>
        <v>0.0092</v>
      </c>
      <c r="J200" s="443"/>
      <c r="K200" s="443"/>
    </row>
    <row r="201" customFormat="false" ht="12.75" hidden="false" customHeight="false" outlineLevel="0" collapsed="false">
      <c r="A201" s="349" t="n">
        <v>0.0116</v>
      </c>
      <c r="B201" s="350" t="n">
        <f aca="false">(B5)/(1-A201)-B5</f>
        <v>0.0656050182112509</v>
      </c>
    </row>
    <row r="202" customFormat="false" ht="12.75" hidden="false" customHeight="false" outlineLevel="0" collapsed="false">
      <c r="A202" s="356"/>
      <c r="B202" s="355" t="n">
        <f aca="false">SUM(B199:B201)</f>
        <v>0.271805018211251</v>
      </c>
    </row>
    <row r="203" customFormat="false" ht="12.75" hidden="false" customHeight="false" outlineLevel="0" collapsed="false">
      <c r="A203" s="359" t="s">
        <v>459</v>
      </c>
      <c r="B203" s="404" t="s">
        <v>632</v>
      </c>
    </row>
    <row r="204" customFormat="false" ht="12.75" hidden="false" customHeight="false" outlineLevel="0" collapsed="false">
      <c r="A204" s="356" t="s">
        <v>476</v>
      </c>
      <c r="B204" s="345" t="n">
        <f aca="false">0.1786-0.0022</f>
        <v>0.1764</v>
      </c>
    </row>
    <row r="205" customFormat="false" ht="12.75" hidden="false" customHeight="false" outlineLevel="0" collapsed="false">
      <c r="A205" s="356" t="s">
        <v>120</v>
      </c>
      <c r="B205" s="344" t="n">
        <f aca="false">0.0022+0.007</f>
        <v>0.0092</v>
      </c>
    </row>
    <row r="206" customFormat="false" ht="12.75" hidden="false" customHeight="false" outlineLevel="0" collapsed="false">
      <c r="A206" s="349" t="n">
        <v>0.0128</v>
      </c>
      <c r="B206" s="350" t="n">
        <f aca="false">(B5)/(1-A206)-B5</f>
        <v>0.0724797406807136</v>
      </c>
    </row>
    <row r="207" customFormat="false" ht="12.75" hidden="false" customHeight="false" outlineLevel="0" collapsed="false">
      <c r="A207" s="356"/>
      <c r="B207" s="355" t="n">
        <f aca="false">SUM(B204:B206)</f>
        <v>0.258079740680714</v>
      </c>
    </row>
    <row r="208" customFormat="false" ht="12.75" hidden="false" customHeight="false" outlineLevel="0" collapsed="false">
      <c r="A208" s="359" t="s">
        <v>459</v>
      </c>
      <c r="B208" s="404" t="s">
        <v>633</v>
      </c>
    </row>
    <row r="209" customFormat="false" ht="12.75" hidden="false" customHeight="false" outlineLevel="0" collapsed="false">
      <c r="A209" s="356" t="s">
        <v>476</v>
      </c>
      <c r="B209" s="345" t="n">
        <v>0.2808</v>
      </c>
    </row>
    <row r="210" customFormat="false" ht="12.75" hidden="false" customHeight="false" outlineLevel="0" collapsed="false">
      <c r="A210" s="356" t="s">
        <v>120</v>
      </c>
      <c r="B210" s="344" t="n">
        <f aca="false">0.0022+0.007</f>
        <v>0.0092</v>
      </c>
    </row>
    <row r="211" customFormat="false" ht="12.75" hidden="false" customHeight="false" outlineLevel="0" collapsed="false">
      <c r="A211" s="349" t="n">
        <v>0.0209</v>
      </c>
      <c r="B211" s="350" t="n">
        <f aca="false">(B5)/(1-A211)-B5</f>
        <v>0.119324890205291</v>
      </c>
    </row>
    <row r="212" customFormat="false" ht="12.75" hidden="false" customHeight="false" outlineLevel="0" collapsed="false">
      <c r="A212" s="356"/>
      <c r="B212" s="355" t="n">
        <f aca="false">SUM(B209:B211)</f>
        <v>0.409324890205291</v>
      </c>
    </row>
    <row r="213" customFormat="false" ht="12.75" hidden="false" customHeight="false" outlineLevel="0" collapsed="false">
      <c r="A213" s="359" t="s">
        <v>459</v>
      </c>
      <c r="B213" s="404" t="s">
        <v>634</v>
      </c>
    </row>
    <row r="214" customFormat="false" ht="12.75" hidden="false" customHeight="false" outlineLevel="0" collapsed="false">
      <c r="A214" s="356" t="s">
        <v>476</v>
      </c>
      <c r="B214" s="345" t="n">
        <v>0.4898</v>
      </c>
    </row>
    <row r="215" customFormat="false" ht="12.75" hidden="false" customHeight="false" outlineLevel="0" collapsed="false">
      <c r="A215" s="356" t="s">
        <v>120</v>
      </c>
      <c r="B215" s="344" t="n">
        <f aca="false">0.0022+0.007</f>
        <v>0.0092</v>
      </c>
    </row>
    <row r="216" customFormat="false" ht="12.75" hidden="false" customHeight="false" outlineLevel="0" collapsed="false">
      <c r="A216" s="349" t="n">
        <v>0.0456</v>
      </c>
      <c r="B216" s="350" t="n">
        <f aca="false">(B5)/(1-A216)-B5</f>
        <v>0.267082984073763</v>
      </c>
    </row>
    <row r="217" customFormat="false" ht="12.75" hidden="false" customHeight="false" outlineLevel="0" collapsed="false">
      <c r="A217" s="356"/>
      <c r="B217" s="355" t="n">
        <f aca="false">SUM(B214:B216)</f>
        <v>0.766082984073763</v>
      </c>
    </row>
    <row r="218" customFormat="false" ht="12.75" hidden="false" customHeight="false" outlineLevel="0" collapsed="false">
      <c r="A218" s="359" t="s">
        <v>459</v>
      </c>
      <c r="B218" s="404" t="s">
        <v>635</v>
      </c>
    </row>
    <row r="219" customFormat="false" ht="12.75" hidden="false" customHeight="false" outlineLevel="0" collapsed="false">
      <c r="A219" s="356" t="s">
        <v>476</v>
      </c>
      <c r="B219" s="345" t="n">
        <v>0.3192</v>
      </c>
    </row>
    <row r="220" customFormat="false" ht="12.75" hidden="false" customHeight="false" outlineLevel="0" collapsed="false">
      <c r="A220" s="356" t="s">
        <v>120</v>
      </c>
      <c r="B220" s="344" t="n">
        <f aca="false">0.0022+0.007</f>
        <v>0.0092</v>
      </c>
    </row>
    <row r="221" customFormat="false" ht="12.75" hidden="false" customHeight="false" outlineLevel="0" collapsed="false">
      <c r="A221" s="349" t="n">
        <v>0.025</v>
      </c>
      <c r="B221" s="350" t="n">
        <f aca="false">(B5)/(1-A221)-B5</f>
        <v>0.143333333333334</v>
      </c>
    </row>
    <row r="222" customFormat="false" ht="12.75" hidden="false" customHeight="false" outlineLevel="0" collapsed="false">
      <c r="A222" s="356"/>
      <c r="B222" s="355" t="n">
        <f aca="false">SUM(B219:B221)</f>
        <v>0.471733333333334</v>
      </c>
    </row>
    <row r="223" customFormat="false" ht="12.75" hidden="false" customHeight="false" outlineLevel="0" collapsed="false">
      <c r="A223" s="359" t="s">
        <v>459</v>
      </c>
      <c r="B223" s="404" t="s">
        <v>636</v>
      </c>
    </row>
    <row r="224" customFormat="false" ht="12.75" hidden="false" customHeight="false" outlineLevel="0" collapsed="false">
      <c r="A224" s="356" t="s">
        <v>476</v>
      </c>
      <c r="B224" s="345" t="n">
        <v>0.2808</v>
      </c>
    </row>
    <row r="225" customFormat="false" ht="12.75" hidden="false" customHeight="false" outlineLevel="0" collapsed="false">
      <c r="A225" s="356" t="s">
        <v>120</v>
      </c>
      <c r="B225" s="344" t="n">
        <f aca="false">0.0022+0.007</f>
        <v>0.0092</v>
      </c>
    </row>
    <row r="226" customFormat="false" ht="12.75" hidden="false" customHeight="false" outlineLevel="0" collapsed="false">
      <c r="A226" s="349" t="n">
        <v>0.014</v>
      </c>
      <c r="B226" s="350" t="n">
        <f aca="false">(B5)/(1-A226)-B5</f>
        <v>0.0793711967545638</v>
      </c>
    </row>
    <row r="227" customFormat="false" ht="12.75" hidden="false" customHeight="false" outlineLevel="0" collapsed="false">
      <c r="A227" s="356"/>
      <c r="B227" s="355" t="n">
        <f aca="false">SUM(B224:B226)</f>
        <v>0.369371196754564</v>
      </c>
    </row>
    <row r="228" customFormat="false" ht="12.75" hidden="false" customHeight="false" outlineLevel="0" collapsed="false">
      <c r="A228" s="359" t="s">
        <v>459</v>
      </c>
      <c r="B228" s="404" t="s">
        <v>637</v>
      </c>
      <c r="D228" s="444" t="n">
        <f aca="false">+E228/(1-A243)</f>
        <v>20574.015019031</v>
      </c>
      <c r="E228" s="28" t="n">
        <v>20000</v>
      </c>
    </row>
    <row r="229" customFormat="false" ht="12.75" hidden="false" customHeight="false" outlineLevel="0" collapsed="false">
      <c r="A229" s="356" t="s">
        <v>476</v>
      </c>
      <c r="B229" s="345" t="n">
        <v>0.2103</v>
      </c>
    </row>
    <row r="230" customFormat="false" ht="12.75" hidden="false" customHeight="false" outlineLevel="0" collapsed="false">
      <c r="A230" s="356" t="s">
        <v>120</v>
      </c>
      <c r="B230" s="344" t="n">
        <f aca="false">0.0022+0.007</f>
        <v>0.0092</v>
      </c>
    </row>
    <row r="231" customFormat="false" ht="12.75" hidden="false" customHeight="false" outlineLevel="0" collapsed="false">
      <c r="A231" s="349" t="n">
        <v>0.0089</v>
      </c>
      <c r="B231" s="350" t="n">
        <f aca="false">(B5)/(1-A231)-B5</f>
        <v>0.0501977600645747</v>
      </c>
    </row>
    <row r="232" customFormat="false" ht="12.75" hidden="false" customHeight="false" outlineLevel="0" collapsed="false">
      <c r="A232" s="356"/>
      <c r="B232" s="355" t="n">
        <f aca="false">SUM(B229:B231)</f>
        <v>0.269697760064575</v>
      </c>
    </row>
    <row r="233" customFormat="false" ht="12.75" hidden="false" customHeight="false" outlineLevel="0" collapsed="false">
      <c r="A233" s="74" t="s">
        <v>638</v>
      </c>
      <c r="B233" s="74"/>
    </row>
    <row r="234" customFormat="false" ht="12.75" hidden="false" customHeight="false" outlineLevel="0" collapsed="false">
      <c r="A234" s="406" t="s">
        <v>459</v>
      </c>
      <c r="B234" s="407" t="s">
        <v>639</v>
      </c>
      <c r="C234" s="297"/>
    </row>
    <row r="235" customFormat="false" ht="12.75" hidden="false" customHeight="false" outlineLevel="0" collapsed="false">
      <c r="A235" s="408" t="s">
        <v>476</v>
      </c>
      <c r="B235" s="409" t="n">
        <v>0.0213</v>
      </c>
      <c r="C235" s="297"/>
    </row>
    <row r="236" customFormat="false" ht="12.75" hidden="false" customHeight="false" outlineLevel="0" collapsed="false">
      <c r="A236" s="408" t="s">
        <v>120</v>
      </c>
      <c r="B236" s="410" t="n">
        <v>0</v>
      </c>
      <c r="C236" s="297"/>
    </row>
    <row r="237" customFormat="false" ht="12.75" hidden="false" customHeight="false" outlineLevel="0" collapsed="false">
      <c r="A237" s="411" t="n">
        <v>0.0089</v>
      </c>
      <c r="B237" s="412" t="n">
        <f aca="false">(B$3)/(1-A237)-B$3</f>
        <v>0.0454833013823022</v>
      </c>
      <c r="C237" s="297"/>
    </row>
    <row r="238" customFormat="false" ht="12.75" hidden="false" customHeight="false" outlineLevel="0" collapsed="false">
      <c r="A238" s="408"/>
      <c r="B238" s="413" t="n">
        <f aca="false">SUM(B235:B237)</f>
        <v>0.0667833013823022</v>
      </c>
      <c r="C238" s="297"/>
    </row>
    <row r="239" customFormat="false" ht="12.75" hidden="false" customHeight="false" outlineLevel="0" collapsed="false">
      <c r="A239" s="414"/>
      <c r="B239" s="414"/>
      <c r="C239" s="297"/>
    </row>
    <row r="240" customFormat="false" ht="12.75" hidden="false" customHeight="false" outlineLevel="0" collapsed="false">
      <c r="A240" s="406" t="s">
        <v>459</v>
      </c>
      <c r="B240" s="407" t="s">
        <v>640</v>
      </c>
      <c r="C240" s="297"/>
      <c r="D240" s="444" t="n">
        <f aca="false">+E240/(1-A255)</f>
        <v>10624.7343816405</v>
      </c>
      <c r="E240" s="28" t="n">
        <v>10000</v>
      </c>
    </row>
    <row r="241" customFormat="false" ht="12.75" hidden="false" customHeight="false" outlineLevel="0" collapsed="false">
      <c r="A241" s="408" t="s">
        <v>476</v>
      </c>
      <c r="B241" s="409" t="n">
        <v>0.025</v>
      </c>
      <c r="C241" s="297"/>
      <c r="D241" s="369" t="n">
        <f aca="false">+B256+B3</f>
        <v>5.40642796430089</v>
      </c>
    </row>
    <row r="242" customFormat="false" ht="12.75" hidden="false" customHeight="false" outlineLevel="0" collapsed="false">
      <c r="A242" s="408" t="s">
        <v>120</v>
      </c>
      <c r="B242" s="410" t="n">
        <v>0</v>
      </c>
      <c r="C242" s="297"/>
    </row>
    <row r="243" customFormat="false" ht="12.75" hidden="false" customHeight="false" outlineLevel="0" collapsed="false">
      <c r="A243" s="411" t="n">
        <v>0.0279</v>
      </c>
      <c r="B243" s="412" t="n">
        <f aca="false">(B$3)/(1-A243)-B$3</f>
        <v>0.145369303569592</v>
      </c>
      <c r="C243" s="297"/>
    </row>
    <row r="244" customFormat="false" ht="12.75" hidden="false" customHeight="false" outlineLevel="0" collapsed="false">
      <c r="A244" s="408"/>
      <c r="B244" s="413" t="n">
        <f aca="false">SUM(B241:B243)</f>
        <v>0.170369303569592</v>
      </c>
      <c r="C244" s="297"/>
    </row>
    <row r="245" customFormat="false" ht="12.75" hidden="false" customHeight="false" outlineLevel="0" collapsed="false">
      <c r="A245" s="415"/>
      <c r="B245" s="415"/>
      <c r="C245" s="297"/>
    </row>
    <row r="246" customFormat="false" ht="12.75" hidden="false" customHeight="false" outlineLevel="0" collapsed="false">
      <c r="A246" s="406" t="s">
        <v>459</v>
      </c>
      <c r="B246" s="407" t="s">
        <v>641</v>
      </c>
      <c r="C246" s="297"/>
    </row>
    <row r="247" customFormat="false" ht="12.75" hidden="false" customHeight="false" outlineLevel="0" collapsed="false">
      <c r="A247" s="408" t="s">
        <v>476</v>
      </c>
      <c r="B247" s="409" t="n">
        <v>0.025</v>
      </c>
      <c r="C247" s="297"/>
    </row>
    <row r="248" customFormat="false" ht="12.75" hidden="false" customHeight="false" outlineLevel="0" collapsed="false">
      <c r="A248" s="408" t="s">
        <v>120</v>
      </c>
      <c r="B248" s="410" t="n">
        <v>0</v>
      </c>
      <c r="C248" s="297"/>
    </row>
    <row r="249" customFormat="false" ht="12.75" hidden="false" customHeight="false" outlineLevel="0" collapsed="false">
      <c r="A249" s="411" t="n">
        <v>0.0516</v>
      </c>
      <c r="B249" s="412" t="n">
        <f aca="false">(B$3)/(1-A249)-B$3</f>
        <v>0.275573597638127</v>
      </c>
      <c r="C249" s="297"/>
    </row>
    <row r="250" customFormat="false" ht="12.75" hidden="false" customHeight="false" outlineLevel="0" collapsed="false">
      <c r="A250" s="408"/>
      <c r="B250" s="413" t="n">
        <f aca="false">SUM(B247:B249)</f>
        <v>0.300573597638127</v>
      </c>
      <c r="C250" s="297"/>
    </row>
    <row r="251" customFormat="false" ht="12.75" hidden="false" customHeight="false" outlineLevel="0" collapsed="false">
      <c r="A251" s="415"/>
      <c r="B251" s="415"/>
      <c r="C251" s="297"/>
    </row>
    <row r="252" customFormat="false" ht="12.75" hidden="false" customHeight="false" outlineLevel="0" collapsed="false">
      <c r="A252" s="406" t="s">
        <v>459</v>
      </c>
      <c r="B252" s="407" t="s">
        <v>642</v>
      </c>
      <c r="C252" s="297"/>
    </row>
    <row r="253" customFormat="false" ht="12.75" hidden="false" customHeight="false" outlineLevel="0" collapsed="false">
      <c r="A253" s="408" t="s">
        <v>476</v>
      </c>
      <c r="B253" s="409" t="n">
        <v>0.025</v>
      </c>
      <c r="C253" s="297"/>
    </row>
    <row r="254" customFormat="false" ht="12.75" hidden="false" customHeight="false" outlineLevel="0" collapsed="false">
      <c r="A254" s="408" t="s">
        <v>120</v>
      </c>
      <c r="B254" s="410" t="n">
        <v>0</v>
      </c>
      <c r="C254" s="297"/>
    </row>
    <row r="255" customFormat="false" ht="12.75" hidden="false" customHeight="false" outlineLevel="0" collapsed="false">
      <c r="A255" s="411" t="n">
        <v>0.0588</v>
      </c>
      <c r="B255" s="412" t="n">
        <f aca="false">(B$3)/(1-A255)-B$3</f>
        <v>0.316427964300893</v>
      </c>
      <c r="C255" s="297"/>
    </row>
    <row r="256" customFormat="false" ht="12.75" hidden="false" customHeight="false" outlineLevel="0" collapsed="false">
      <c r="A256" s="408"/>
      <c r="B256" s="413" t="n">
        <f aca="false">SUM(B253:B255)</f>
        <v>0.341427964300893</v>
      </c>
      <c r="C256" s="297"/>
    </row>
    <row r="257" customFormat="false" ht="12.75" hidden="false" customHeight="false" outlineLevel="0" collapsed="false">
      <c r="A257" s="415"/>
      <c r="B257" s="415"/>
      <c r="C257" s="297"/>
    </row>
    <row r="258" customFormat="false" ht="12.75" hidden="false" customHeight="false" outlineLevel="0" collapsed="false">
      <c r="A258" s="406" t="s">
        <v>459</v>
      </c>
      <c r="B258" s="407" t="s">
        <v>643</v>
      </c>
      <c r="C258" s="297"/>
    </row>
    <row r="259" customFormat="false" ht="12.75" hidden="false" customHeight="false" outlineLevel="0" collapsed="false">
      <c r="A259" s="408" t="s">
        <v>476</v>
      </c>
      <c r="B259" s="409" t="n">
        <v>0.025</v>
      </c>
      <c r="C259" s="297"/>
    </row>
    <row r="260" customFormat="false" ht="12.75" hidden="false" customHeight="false" outlineLevel="0" collapsed="false">
      <c r="A260" s="408" t="s">
        <v>120</v>
      </c>
      <c r="B260" s="410" t="n">
        <v>0</v>
      </c>
      <c r="C260" s="297"/>
    </row>
    <row r="261" customFormat="false" ht="12.75" hidden="false" customHeight="false" outlineLevel="0" collapsed="false">
      <c r="A261" s="411" t="n">
        <v>0.0101</v>
      </c>
      <c r="B261" s="412" t="n">
        <f aca="false">(B$4)/(1-A261)-B$4</f>
        <v>0.052137589655521</v>
      </c>
      <c r="C261" s="297"/>
    </row>
    <row r="262" customFormat="false" ht="12.75" hidden="false" customHeight="false" outlineLevel="0" collapsed="false">
      <c r="A262" s="408"/>
      <c r="B262" s="413" t="n">
        <f aca="false">SUM(B259:B261)</f>
        <v>0.077137589655521</v>
      </c>
      <c r="C262" s="297"/>
    </row>
    <row r="263" customFormat="false" ht="12.75" hidden="false" customHeight="false" outlineLevel="0" collapsed="false">
      <c r="A263" s="415"/>
      <c r="B263" s="415"/>
      <c r="C263" s="297"/>
    </row>
    <row r="264" customFormat="false" ht="12.75" hidden="false" customHeight="false" outlineLevel="0" collapsed="false">
      <c r="A264" s="406" t="s">
        <v>459</v>
      </c>
      <c r="B264" s="407" t="s">
        <v>644</v>
      </c>
      <c r="C264" s="297"/>
    </row>
    <row r="265" customFormat="false" ht="12.75" hidden="false" customHeight="false" outlineLevel="0" collapsed="false">
      <c r="A265" s="408" t="s">
        <v>476</v>
      </c>
      <c r="B265" s="409" t="n">
        <v>0.025</v>
      </c>
      <c r="C265" s="297"/>
      <c r="D265" s="445" t="n">
        <f aca="false">+B280+B4</f>
        <v>5.40338122302916</v>
      </c>
    </row>
    <row r="266" customFormat="false" ht="12.75" hidden="false" customHeight="false" outlineLevel="0" collapsed="false">
      <c r="A266" s="408" t="s">
        <v>120</v>
      </c>
      <c r="B266" s="410" t="n">
        <v>0</v>
      </c>
      <c r="C266" s="297"/>
    </row>
    <row r="267" customFormat="false" ht="12.75" hidden="false" customHeight="false" outlineLevel="0" collapsed="false">
      <c r="A267" s="411" t="n">
        <v>0.0191</v>
      </c>
      <c r="B267" s="412" t="n">
        <f aca="false">(B$4)/(1-A267)-B$4</f>
        <v>0.0995014782342745</v>
      </c>
      <c r="C267" s="297"/>
    </row>
    <row r="268" customFormat="false" ht="12.75" hidden="false" customHeight="false" outlineLevel="0" collapsed="false">
      <c r="A268" s="408"/>
      <c r="B268" s="413" t="n">
        <f aca="false">SUM(B265:B267)</f>
        <v>0.124501478234274</v>
      </c>
      <c r="C268" s="297"/>
    </row>
    <row r="269" customFormat="false" ht="12.75" hidden="false" customHeight="false" outlineLevel="0" collapsed="false">
      <c r="A269" s="415"/>
      <c r="B269" s="415"/>
      <c r="C269" s="297"/>
    </row>
    <row r="270" customFormat="false" ht="12.75" hidden="false" customHeight="false" outlineLevel="0" collapsed="false">
      <c r="A270" s="406" t="s">
        <v>459</v>
      </c>
      <c r="B270" s="407" t="s">
        <v>645</v>
      </c>
      <c r="C270" s="297"/>
    </row>
    <row r="271" customFormat="false" ht="12.75" hidden="false" customHeight="false" outlineLevel="0" collapsed="false">
      <c r="A271" s="408" t="s">
        <v>476</v>
      </c>
      <c r="B271" s="409" t="n">
        <v>0.025</v>
      </c>
      <c r="C271" s="297"/>
    </row>
    <row r="272" customFormat="false" ht="12.75" hidden="false" customHeight="false" outlineLevel="0" collapsed="false">
      <c r="A272" s="408" t="s">
        <v>120</v>
      </c>
      <c r="B272" s="410" t="n">
        <v>0</v>
      </c>
      <c r="C272" s="297"/>
    </row>
    <row r="273" customFormat="false" ht="12.75" hidden="false" customHeight="false" outlineLevel="0" collapsed="false">
      <c r="A273" s="411" t="n">
        <v>0.0428</v>
      </c>
      <c r="B273" s="412" t="n">
        <f aca="false">(B$4)/(1-A273)-B$4</f>
        <v>0.228487254492268</v>
      </c>
      <c r="C273" s="297"/>
    </row>
    <row r="274" customFormat="false" ht="12.75" hidden="false" customHeight="false" outlineLevel="0" collapsed="false">
      <c r="A274" s="408"/>
      <c r="B274" s="413" t="n">
        <f aca="false">SUM(B271:B273)</f>
        <v>0.253487254492269</v>
      </c>
      <c r="C274" s="297"/>
    </row>
    <row r="275" customFormat="false" ht="12.75" hidden="false" customHeight="false" outlineLevel="0" collapsed="false">
      <c r="A275" s="415"/>
      <c r="B275" s="415"/>
      <c r="C275" s="297"/>
    </row>
    <row r="276" customFormat="false" ht="12.75" hidden="false" customHeight="false" outlineLevel="0" collapsed="false">
      <c r="A276" s="406" t="s">
        <v>459</v>
      </c>
      <c r="B276" s="407" t="s">
        <v>646</v>
      </c>
      <c r="C276" s="297"/>
    </row>
    <row r="277" customFormat="false" ht="12.75" hidden="false" customHeight="false" outlineLevel="0" collapsed="false">
      <c r="A277" s="408" t="s">
        <v>476</v>
      </c>
      <c r="B277" s="409" t="n">
        <v>0.025</v>
      </c>
      <c r="C277" s="297"/>
    </row>
    <row r="278" customFormat="false" ht="12.75" hidden="false" customHeight="false" outlineLevel="0" collapsed="false">
      <c r="A278" s="408" t="s">
        <v>120</v>
      </c>
      <c r="B278" s="410" t="n">
        <v>0</v>
      </c>
      <c r="C278" s="297"/>
    </row>
    <row r="279" customFormat="false" ht="12.75" hidden="false" customHeight="false" outlineLevel="0" collapsed="false">
      <c r="A279" s="411" t="n">
        <v>0.0499</v>
      </c>
      <c r="B279" s="412" t="n">
        <f aca="false">(B$4)/(1-A279)-B$4</f>
        <v>0.268381223029155</v>
      </c>
      <c r="C279" s="297"/>
    </row>
    <row r="280" customFormat="false" ht="12.75" hidden="false" customHeight="false" outlineLevel="0" collapsed="false">
      <c r="A280" s="408"/>
      <c r="B280" s="413" t="n">
        <f aca="false">SUM(B277:B279)</f>
        <v>0.293381223029155</v>
      </c>
      <c r="C280" s="297"/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7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85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446" t="s">
        <v>92</v>
      </c>
      <c r="C1" s="446"/>
    </row>
    <row r="3" customFormat="false" ht="12.75" hidden="false" customHeight="false" outlineLevel="0" collapsed="false">
      <c r="B3" s="0" t="s">
        <v>13</v>
      </c>
      <c r="G3" s="447"/>
    </row>
    <row r="5" customFormat="false" ht="12.75" hidden="false" customHeight="false" outlineLevel="0" collapsed="false">
      <c r="B5" s="0" t="s">
        <v>675</v>
      </c>
    </row>
    <row r="7" customFormat="false" ht="12.75" hidden="false" customHeight="false" outlineLevel="0" collapsed="false">
      <c r="C7" s="0" t="s">
        <v>676</v>
      </c>
    </row>
    <row r="8" customFormat="false" ht="12.75" hidden="false" customHeight="false" outlineLevel="0" collapsed="false">
      <c r="D8" s="0" t="s">
        <v>677</v>
      </c>
      <c r="E8" s="0" t="s">
        <v>678</v>
      </c>
      <c r="F8" s="2" t="n">
        <v>3.88</v>
      </c>
    </row>
    <row r="9" customFormat="false" ht="12.75" hidden="false" customHeight="false" outlineLevel="0" collapsed="false">
      <c r="D9" s="0" t="s">
        <v>676</v>
      </c>
      <c r="F9" s="448" t="n">
        <v>0.0333</v>
      </c>
    </row>
    <row r="10" customFormat="false" ht="12.75" hidden="false" customHeight="false" outlineLevel="0" collapsed="false">
      <c r="D10" s="0" t="s">
        <v>679</v>
      </c>
      <c r="F10" s="449" t="n">
        <v>0.0474045</v>
      </c>
      <c r="G10" s="0" t="s">
        <v>680</v>
      </c>
    </row>
    <row r="11" customFormat="false" ht="12.75" hidden="false" customHeight="false" outlineLevel="0" collapsed="false">
      <c r="D11" s="0" t="s">
        <v>681</v>
      </c>
      <c r="F11" s="361" t="n">
        <f aca="false">+F8/(1-F10)-F8</f>
        <v>0.193082436354151</v>
      </c>
    </row>
    <row r="12" customFormat="false" ht="13.5" hidden="false" customHeight="false" outlineLevel="0" collapsed="false">
      <c r="D12" s="0" t="s">
        <v>682</v>
      </c>
      <c r="F12" s="362" t="n">
        <f aca="false">+F11+F9</f>
        <v>0.226382436354151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0" t="s">
        <v>683</v>
      </c>
    </row>
    <row r="15" customFormat="false" ht="12.75" hidden="false" customHeight="false" outlineLevel="0" collapsed="false">
      <c r="D15" s="0" t="s">
        <v>677</v>
      </c>
      <c r="E15" s="0" t="s">
        <v>678</v>
      </c>
      <c r="F15" s="2" t="n">
        <v>3.88</v>
      </c>
    </row>
    <row r="16" customFormat="false" ht="12.75" hidden="false" customHeight="false" outlineLevel="0" collapsed="false">
      <c r="D16" s="0" t="s">
        <v>683</v>
      </c>
      <c r="F16" s="448" t="n">
        <v>0.0325</v>
      </c>
    </row>
    <row r="17" customFormat="false" ht="12.75" hidden="false" customHeight="false" outlineLevel="0" collapsed="false">
      <c r="D17" s="0" t="s">
        <v>684</v>
      </c>
      <c r="F17" s="449" t="n">
        <v>0</v>
      </c>
    </row>
    <row r="18" customFormat="false" ht="12.75" hidden="false" customHeight="false" outlineLevel="0" collapsed="false">
      <c r="D18" s="0" t="s">
        <v>681</v>
      </c>
      <c r="F18" s="361" t="n">
        <f aca="false">+F15/(1-F17)-F15</f>
        <v>0</v>
      </c>
    </row>
    <row r="19" customFormat="false" ht="13.5" hidden="false" customHeight="false" outlineLevel="0" collapsed="false">
      <c r="D19" s="0" t="s">
        <v>682</v>
      </c>
      <c r="F19" s="362" t="n">
        <f aca="false">+F18+F16</f>
        <v>0.0325</v>
      </c>
    </row>
    <row r="20" customFormat="false" ht="13.5" hidden="false" customHeight="false" outlineLevel="0" collapsed="false"/>
    <row r="22" customFormat="false" ht="12.75" hidden="false" customHeight="false" outlineLevel="0" collapsed="false">
      <c r="B22" s="0" t="s">
        <v>685</v>
      </c>
    </row>
    <row r="24" customFormat="false" ht="12.75" hidden="false" customHeight="false" outlineLevel="0" collapsed="false">
      <c r="C24" s="0" t="s">
        <v>676</v>
      </c>
    </row>
    <row r="25" customFormat="false" ht="12.75" hidden="false" customHeight="false" outlineLevel="0" collapsed="false">
      <c r="D25" s="0" t="s">
        <v>677</v>
      </c>
      <c r="E25" s="0" t="s">
        <v>678</v>
      </c>
      <c r="F25" s="2" t="n">
        <v>2.2</v>
      </c>
    </row>
    <row r="26" customFormat="false" ht="12.75" hidden="false" customHeight="false" outlineLevel="0" collapsed="false">
      <c r="D26" s="0" t="s">
        <v>676</v>
      </c>
      <c r="F26" s="448" t="n">
        <v>0.0054</v>
      </c>
    </row>
    <row r="27" customFormat="false" ht="12.75" hidden="false" customHeight="false" outlineLevel="0" collapsed="false">
      <c r="D27" s="0" t="s">
        <v>679</v>
      </c>
      <c r="F27" s="449" t="n">
        <v>0.0198</v>
      </c>
    </row>
    <row r="28" customFormat="false" ht="12.75" hidden="false" customHeight="false" outlineLevel="0" collapsed="false">
      <c r="D28" s="0" t="s">
        <v>681</v>
      </c>
      <c r="F28" s="361" t="n">
        <f aca="false">+F25/(1-F27)-F25</f>
        <v>0.0444399102224038</v>
      </c>
    </row>
    <row r="29" customFormat="false" ht="13.5" hidden="false" customHeight="false" outlineLevel="0" collapsed="false">
      <c r="D29" s="0" t="s">
        <v>682</v>
      </c>
      <c r="F29" s="362" t="n">
        <f aca="false">+F28+F26</f>
        <v>0.0498399102224038</v>
      </c>
    </row>
    <row r="30" customFormat="false" ht="13.5" hidden="false" customHeight="false" outlineLevel="0" collapsed="false"/>
    <row r="31" customFormat="false" ht="12.75" hidden="false" customHeight="false" outlineLevel="0" collapsed="false">
      <c r="C31" s="0" t="s">
        <v>683</v>
      </c>
    </row>
    <row r="32" customFormat="false" ht="12.75" hidden="false" customHeight="false" outlineLevel="0" collapsed="false">
      <c r="D32" s="0" t="s">
        <v>677</v>
      </c>
      <c r="E32" s="0" t="s">
        <v>678</v>
      </c>
      <c r="F32" s="2" t="n">
        <v>1.95</v>
      </c>
    </row>
    <row r="33" customFormat="false" ht="12.75" hidden="false" customHeight="false" outlineLevel="0" collapsed="false">
      <c r="D33" s="0" t="s">
        <v>683</v>
      </c>
      <c r="F33" s="448" t="n">
        <v>0.0054</v>
      </c>
    </row>
    <row r="34" customFormat="false" ht="12.75" hidden="false" customHeight="false" outlineLevel="0" collapsed="false">
      <c r="D34" s="0" t="s">
        <v>684</v>
      </c>
      <c r="F34" s="449" t="n">
        <v>0</v>
      </c>
    </row>
    <row r="35" customFormat="false" ht="12.75" hidden="false" customHeight="false" outlineLevel="0" collapsed="false">
      <c r="D35" s="0" t="s">
        <v>681</v>
      </c>
      <c r="F35" s="361" t="n">
        <f aca="false">+F32/(1-F34)-F32</f>
        <v>0</v>
      </c>
    </row>
    <row r="36" customFormat="false" ht="13.5" hidden="false" customHeight="false" outlineLevel="0" collapsed="false">
      <c r="D36" s="0" t="s">
        <v>682</v>
      </c>
      <c r="F36" s="362" t="n">
        <f aca="false">+F35+F33</f>
        <v>0.0054</v>
      </c>
    </row>
    <row r="37" customFormat="false" ht="13.5" hidden="false" customHeight="false" outlineLevel="0" collapsed="false"/>
    <row r="39" customFormat="false" ht="12.75" hidden="false" customHeight="false" outlineLevel="0" collapsed="false">
      <c r="B39" s="0" t="s">
        <v>686</v>
      </c>
    </row>
    <row r="41" customFormat="false" ht="12.75" hidden="false" customHeight="false" outlineLevel="0" collapsed="false">
      <c r="C41" s="0" t="s">
        <v>676</v>
      </c>
    </row>
    <row r="42" customFormat="false" ht="12.75" hidden="false" customHeight="false" outlineLevel="0" collapsed="false">
      <c r="D42" s="0" t="s">
        <v>677</v>
      </c>
      <c r="E42" s="0" t="s">
        <v>678</v>
      </c>
      <c r="F42" s="2" t="n">
        <v>2.2</v>
      </c>
    </row>
    <row r="43" customFormat="false" ht="12.75" hidden="false" customHeight="false" outlineLevel="0" collapsed="false">
      <c r="D43" s="0" t="s">
        <v>676</v>
      </c>
      <c r="F43" s="448" t="n">
        <v>0.0219</v>
      </c>
    </row>
    <row r="44" customFormat="false" ht="12.75" hidden="false" customHeight="false" outlineLevel="0" collapsed="false">
      <c r="D44" s="0" t="s">
        <v>679</v>
      </c>
      <c r="F44" s="449" t="n">
        <v>0.02375</v>
      </c>
      <c r="G44" s="0" t="s">
        <v>687</v>
      </c>
    </row>
    <row r="45" customFormat="false" ht="12.75" hidden="false" customHeight="false" outlineLevel="0" collapsed="false">
      <c r="D45" s="0" t="s">
        <v>681</v>
      </c>
      <c r="F45" s="361" t="n">
        <f aca="false">+F42/(1-F44)-F42</f>
        <v>0.0535211267605633</v>
      </c>
    </row>
    <row r="46" customFormat="false" ht="13.5" hidden="false" customHeight="false" outlineLevel="0" collapsed="false">
      <c r="D46" s="0" t="s">
        <v>682</v>
      </c>
      <c r="F46" s="362" t="n">
        <f aca="false">+F45+F43</f>
        <v>0.0754211267605633</v>
      </c>
    </row>
    <row r="47" customFormat="false" ht="13.5" hidden="false" customHeight="false" outlineLevel="0" collapsed="false"/>
    <row r="48" customFormat="false" ht="12.75" hidden="false" customHeight="false" outlineLevel="0" collapsed="false">
      <c r="C48" s="0" t="s">
        <v>683</v>
      </c>
    </row>
    <row r="49" customFormat="false" ht="12.75" hidden="false" customHeight="false" outlineLevel="0" collapsed="false">
      <c r="D49" s="0" t="s">
        <v>677</v>
      </c>
      <c r="E49" s="0" t="s">
        <v>678</v>
      </c>
      <c r="F49" s="2" t="n">
        <v>1.95</v>
      </c>
    </row>
    <row r="50" customFormat="false" ht="12.75" hidden="false" customHeight="false" outlineLevel="0" collapsed="false">
      <c r="D50" s="0" t="s">
        <v>683</v>
      </c>
      <c r="F50" s="448" t="n">
        <v>0.0209</v>
      </c>
    </row>
    <row r="51" customFormat="false" ht="12.75" hidden="false" customHeight="false" outlineLevel="0" collapsed="false">
      <c r="D51" s="0" t="s">
        <v>684</v>
      </c>
      <c r="F51" s="449" t="n">
        <v>0.0047</v>
      </c>
    </row>
    <row r="52" customFormat="false" ht="12.75" hidden="false" customHeight="false" outlineLevel="0" collapsed="false">
      <c r="D52" s="0" t="s">
        <v>681</v>
      </c>
      <c r="F52" s="361" t="n">
        <f aca="false">+F49/(1-F51)-F49</f>
        <v>0.00920827891088116</v>
      </c>
    </row>
    <row r="53" customFormat="false" ht="13.5" hidden="false" customHeight="false" outlineLevel="0" collapsed="false">
      <c r="D53" s="0" t="s">
        <v>682</v>
      </c>
      <c r="F53" s="362" t="n">
        <f aca="false">+F52+F50</f>
        <v>0.0301082789108812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0" t="s">
        <v>688</v>
      </c>
    </row>
    <row r="57" customFormat="false" ht="12.75" hidden="false" customHeight="false" outlineLevel="0" collapsed="false">
      <c r="C57" s="0" t="s">
        <v>676</v>
      </c>
    </row>
    <row r="58" customFormat="false" ht="12.75" hidden="false" customHeight="false" outlineLevel="0" collapsed="false">
      <c r="D58" s="0" t="s">
        <v>677</v>
      </c>
      <c r="E58" s="0" t="s">
        <v>678</v>
      </c>
      <c r="F58" s="2" t="n">
        <v>2.2</v>
      </c>
    </row>
    <row r="59" customFormat="false" ht="12.75" hidden="false" customHeight="false" outlineLevel="0" collapsed="false">
      <c r="D59" s="0" t="s">
        <v>676</v>
      </c>
      <c r="F59" s="448" t="n">
        <v>0.0334</v>
      </c>
      <c r="G59" s="0" t="s">
        <v>689</v>
      </c>
    </row>
    <row r="60" customFormat="false" ht="12.75" hidden="false" customHeight="false" outlineLevel="0" collapsed="false">
      <c r="D60" s="0" t="s">
        <v>690</v>
      </c>
      <c r="F60" s="448" t="n">
        <v>0.0727</v>
      </c>
      <c r="G60" s="0" t="s">
        <v>691</v>
      </c>
    </row>
    <row r="61" customFormat="false" ht="12.75" hidden="false" customHeight="false" outlineLevel="0" collapsed="false">
      <c r="D61" s="0" t="s">
        <v>679</v>
      </c>
      <c r="F61" s="449" t="n">
        <v>0</v>
      </c>
    </row>
    <row r="62" customFormat="false" ht="12.75" hidden="false" customHeight="false" outlineLevel="0" collapsed="false">
      <c r="D62" s="0" t="s">
        <v>681</v>
      </c>
      <c r="F62" s="361" t="n">
        <f aca="false">+F58/(1-F61)-F58</f>
        <v>0</v>
      </c>
    </row>
    <row r="63" customFormat="false" ht="13.5" hidden="false" customHeight="false" outlineLevel="0" collapsed="false">
      <c r="D63" s="0" t="s">
        <v>682</v>
      </c>
      <c r="F63" s="362" t="n">
        <f aca="false">SUM(F59:F60,F62)</f>
        <v>0.1061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C65" s="0" t="s">
        <v>683</v>
      </c>
    </row>
    <row r="66" customFormat="false" ht="12.75" hidden="false" customHeight="false" outlineLevel="0" collapsed="false">
      <c r="D66" s="0" t="s">
        <v>677</v>
      </c>
      <c r="E66" s="0" t="s">
        <v>678</v>
      </c>
      <c r="F66" s="2" t="n">
        <v>1.95</v>
      </c>
    </row>
    <row r="67" customFormat="false" ht="12.75" hidden="false" customHeight="false" outlineLevel="0" collapsed="false">
      <c r="D67" s="0" t="s">
        <v>690</v>
      </c>
      <c r="F67" s="448" t="n">
        <v>0.0727</v>
      </c>
      <c r="G67" s="0" t="s">
        <v>692</v>
      </c>
    </row>
    <row r="68" customFormat="false" ht="12.75" hidden="false" customHeight="false" outlineLevel="0" collapsed="false">
      <c r="D68" s="0" t="s">
        <v>683</v>
      </c>
      <c r="F68" s="448" t="n">
        <v>0.0264</v>
      </c>
      <c r="G68" s="0" t="s">
        <v>693</v>
      </c>
    </row>
    <row r="69" customFormat="false" ht="12.75" hidden="false" customHeight="false" outlineLevel="0" collapsed="false">
      <c r="D69" s="0" t="s">
        <v>684</v>
      </c>
      <c r="F69" s="449" t="n">
        <v>0</v>
      </c>
    </row>
    <row r="70" customFormat="false" ht="12.75" hidden="false" customHeight="false" outlineLevel="0" collapsed="false">
      <c r="D70" s="0" t="s">
        <v>681</v>
      </c>
      <c r="F70" s="361" t="n">
        <f aca="false">+F66/(1-F69)-F66</f>
        <v>0</v>
      </c>
    </row>
    <row r="71" customFormat="false" ht="13.5" hidden="false" customHeight="false" outlineLevel="0" collapsed="false">
      <c r="D71" s="0" t="s">
        <v>682</v>
      </c>
      <c r="F71" s="362" t="n">
        <f aca="false">SUM(F67:F68,F70)</f>
        <v>0.0991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B74" s="446" t="s">
        <v>694</v>
      </c>
    </row>
    <row r="76" customFormat="false" ht="12.75" hidden="false" customHeight="false" outlineLevel="0" collapsed="false">
      <c r="D76" s="0" t="s">
        <v>677</v>
      </c>
      <c r="E76" s="0" t="s">
        <v>678</v>
      </c>
      <c r="F76" s="2" t="n">
        <v>2.8</v>
      </c>
    </row>
    <row r="77" customFormat="false" ht="12.75" hidden="false" customHeight="false" outlineLevel="0" collapsed="false">
      <c r="D77" s="0" t="s">
        <v>477</v>
      </c>
      <c r="F77" s="448" t="n">
        <v>0.0057</v>
      </c>
    </row>
    <row r="78" customFormat="false" ht="12.75" hidden="false" customHeight="false" outlineLevel="0" collapsed="false">
      <c r="D78" s="0" t="s">
        <v>695</v>
      </c>
      <c r="F78" s="448" t="n">
        <f aca="false">0.0022+0.0075</f>
        <v>0.0097</v>
      </c>
      <c r="G78" s="0" t="s">
        <v>696</v>
      </c>
    </row>
    <row r="79" customFormat="false" ht="12.75" hidden="false" customHeight="false" outlineLevel="0" collapsed="false">
      <c r="D79" s="0" t="s">
        <v>340</v>
      </c>
      <c r="F79" s="449" t="n">
        <v>0.0072</v>
      </c>
    </row>
    <row r="80" customFormat="false" ht="12.75" hidden="false" customHeight="false" outlineLevel="0" collapsed="false">
      <c r="D80" s="0" t="s">
        <v>681</v>
      </c>
      <c r="F80" s="361" t="n">
        <f aca="false">+F76/(1-F79)-F76</f>
        <v>0.0203062046736502</v>
      </c>
    </row>
    <row r="81" customFormat="false" ht="13.5" hidden="false" customHeight="false" outlineLevel="0" collapsed="false">
      <c r="D81" s="0" t="s">
        <v>682</v>
      </c>
      <c r="F81" s="362" t="n">
        <f aca="false">SUM(F80,F78,F77)</f>
        <v>0.0357062046736502</v>
      </c>
    </row>
    <row r="82" customFormat="false" ht="13.5" hidden="false" customHeight="false" outlineLevel="0" collapsed="false"/>
    <row r="96" customFormat="false" ht="12.75" hidden="false" customHeight="false" outlineLevel="0" collapsed="false">
      <c r="A96" s="446" t="s">
        <v>58</v>
      </c>
    </row>
    <row r="98" customFormat="false" ht="12.75" hidden="false" customHeight="false" outlineLevel="0" collapsed="false">
      <c r="B98" s="0" t="s">
        <v>13</v>
      </c>
    </row>
    <row r="100" customFormat="false" ht="12.75" hidden="false" customHeight="false" outlineLevel="0" collapsed="false">
      <c r="B100" s="0" t="s">
        <v>697</v>
      </c>
    </row>
    <row r="101" customFormat="false" ht="12.75" hidden="false" customHeight="false" outlineLevel="0" collapsed="false">
      <c r="C101" s="0" t="s">
        <v>676</v>
      </c>
    </row>
    <row r="102" customFormat="false" ht="12.75" hidden="false" customHeight="false" outlineLevel="0" collapsed="false">
      <c r="D102" s="0" t="s">
        <v>677</v>
      </c>
      <c r="E102" s="0" t="s">
        <v>698</v>
      </c>
      <c r="F102" s="2" t="n">
        <f aca="false">0.18+2.27</f>
        <v>2.45</v>
      </c>
    </row>
    <row r="103" customFormat="false" ht="12.75" hidden="false" customHeight="false" outlineLevel="0" collapsed="false">
      <c r="D103" s="0" t="s">
        <v>676</v>
      </c>
      <c r="F103" s="448" t="n">
        <v>0.0162</v>
      </c>
    </row>
    <row r="104" customFormat="false" ht="12.75" hidden="false" customHeight="false" outlineLevel="0" collapsed="false">
      <c r="D104" s="0" t="s">
        <v>679</v>
      </c>
      <c r="F104" s="449" t="n">
        <v>0.0278</v>
      </c>
    </row>
    <row r="105" customFormat="false" ht="12.75" hidden="false" customHeight="false" outlineLevel="0" collapsed="false">
      <c r="D105" s="0" t="s">
        <v>681</v>
      </c>
      <c r="F105" s="361" t="n">
        <f aca="false">+F102/(1-F104)-F102</f>
        <v>0.0700576013166017</v>
      </c>
    </row>
    <row r="106" customFormat="false" ht="13.5" hidden="false" customHeight="false" outlineLevel="0" collapsed="false">
      <c r="D106" s="0" t="s">
        <v>682</v>
      </c>
      <c r="F106" s="362" t="n">
        <f aca="false">+F105+F103</f>
        <v>0.0862576013166017</v>
      </c>
    </row>
    <row r="107" customFormat="false" ht="13.5" hidden="false" customHeight="false" outlineLevel="0" collapsed="false"/>
    <row r="108" customFormat="false" ht="12.75" hidden="false" customHeight="false" outlineLevel="0" collapsed="false">
      <c r="C108" s="0" t="s">
        <v>683</v>
      </c>
    </row>
    <row r="109" customFormat="false" ht="12.75" hidden="false" customHeight="false" outlineLevel="0" collapsed="false">
      <c r="D109" s="0" t="s">
        <v>677</v>
      </c>
      <c r="E109" s="0" t="s">
        <v>698</v>
      </c>
      <c r="F109" s="2" t="n">
        <v>1.95</v>
      </c>
    </row>
    <row r="110" customFormat="false" ht="12.75" hidden="false" customHeight="false" outlineLevel="0" collapsed="false">
      <c r="D110" s="0" t="s">
        <v>683</v>
      </c>
      <c r="F110" s="448" t="n">
        <v>0.0147</v>
      </c>
    </row>
    <row r="111" customFormat="false" ht="12.75" hidden="false" customHeight="false" outlineLevel="0" collapsed="false">
      <c r="D111" s="0" t="s">
        <v>699</v>
      </c>
      <c r="F111" s="448" t="n">
        <v>-0.0006</v>
      </c>
    </row>
    <row r="112" customFormat="false" ht="12.75" hidden="false" customHeight="false" outlineLevel="0" collapsed="false">
      <c r="D112" s="0" t="s">
        <v>684</v>
      </c>
      <c r="F112" s="449" t="n">
        <v>0</v>
      </c>
    </row>
    <row r="113" customFormat="false" ht="12.75" hidden="false" customHeight="false" outlineLevel="0" collapsed="false">
      <c r="D113" s="0" t="s">
        <v>681</v>
      </c>
      <c r="F113" s="361" t="n">
        <f aca="false">+F109/(1-F112)-F109</f>
        <v>0</v>
      </c>
    </row>
    <row r="114" customFormat="false" ht="13.5" hidden="false" customHeight="false" outlineLevel="0" collapsed="false">
      <c r="D114" s="0" t="s">
        <v>682</v>
      </c>
      <c r="F114" s="362" t="n">
        <f aca="false">SUM(F110:F111,F113)</f>
        <v>0.0141</v>
      </c>
    </row>
    <row r="115" customFormat="false" ht="13.5" hidden="false" customHeight="false" outlineLevel="0" collapsed="false"/>
    <row r="116" customFormat="false" ht="12.75" hidden="false" customHeight="false" outlineLevel="0" collapsed="false">
      <c r="C116" s="0" t="s">
        <v>700</v>
      </c>
    </row>
    <row r="117" customFormat="false" ht="12.75" hidden="false" customHeight="false" outlineLevel="0" collapsed="false">
      <c r="C117" s="0" t="s">
        <v>701</v>
      </c>
    </row>
    <row r="121" customFormat="false" ht="12.75" hidden="false" customHeight="false" outlineLevel="0" collapsed="false">
      <c r="B121" s="446" t="s">
        <v>141</v>
      </c>
    </row>
    <row r="123" customFormat="false" ht="12.75" hidden="false" customHeight="false" outlineLevel="0" collapsed="false">
      <c r="B123" s="0" t="s">
        <v>13</v>
      </c>
    </row>
    <row r="125" customFormat="false" ht="12.75" hidden="false" customHeight="false" outlineLevel="0" collapsed="false">
      <c r="B125" s="0" t="s">
        <v>702</v>
      </c>
    </row>
    <row r="126" customFormat="false" ht="12.75" hidden="false" customHeight="false" outlineLevel="0" collapsed="false">
      <c r="C126" s="0" t="s">
        <v>676</v>
      </c>
    </row>
    <row r="127" customFormat="false" ht="12.75" hidden="false" customHeight="false" outlineLevel="0" collapsed="false">
      <c r="D127" s="0" t="s">
        <v>677</v>
      </c>
      <c r="E127" s="0" t="s">
        <v>698</v>
      </c>
      <c r="F127" s="2" t="n">
        <v>2.48</v>
      </c>
    </row>
    <row r="128" customFormat="false" ht="12.75" hidden="false" customHeight="false" outlineLevel="0" collapsed="false">
      <c r="D128" s="0" t="s">
        <v>676</v>
      </c>
      <c r="F128" s="448" t="n">
        <v>0.0089</v>
      </c>
    </row>
    <row r="129" customFormat="false" ht="12.75" hidden="false" customHeight="false" outlineLevel="0" collapsed="false">
      <c r="D129" s="0" t="s">
        <v>679</v>
      </c>
      <c r="F129" s="449" t="n">
        <v>0.0065</v>
      </c>
    </row>
    <row r="130" customFormat="false" ht="12.75" hidden="false" customHeight="false" outlineLevel="0" collapsed="false">
      <c r="D130" s="0" t="s">
        <v>681</v>
      </c>
      <c r="F130" s="361" t="n">
        <f aca="false">+F127/(1-F129)-F127</f>
        <v>0.0162254655259182</v>
      </c>
    </row>
    <row r="131" customFormat="false" ht="13.5" hidden="false" customHeight="false" outlineLevel="0" collapsed="false">
      <c r="D131" s="0" t="s">
        <v>682</v>
      </c>
      <c r="F131" s="362" t="n">
        <f aca="false">+F130+F128</f>
        <v>0.0251254655259182</v>
      </c>
    </row>
    <row r="132" customFormat="false" ht="13.5" hidden="false" customHeight="false" outlineLevel="0" collapsed="false"/>
    <row r="133" customFormat="false" ht="12.75" hidden="false" customHeight="false" outlineLevel="0" collapsed="false">
      <c r="B133" s="0" t="s">
        <v>703</v>
      </c>
    </row>
    <row r="134" customFormat="false" ht="12.75" hidden="false" customHeight="false" outlineLevel="0" collapsed="false">
      <c r="C134" s="0" t="s">
        <v>676</v>
      </c>
    </row>
    <row r="135" customFormat="false" ht="12.75" hidden="false" customHeight="false" outlineLevel="0" collapsed="false">
      <c r="D135" s="0" t="s">
        <v>677</v>
      </c>
      <c r="E135" s="0" t="s">
        <v>698</v>
      </c>
      <c r="F135" s="2" t="n">
        <v>2.48</v>
      </c>
    </row>
    <row r="136" customFormat="false" ht="12.75" hidden="false" customHeight="false" outlineLevel="0" collapsed="false">
      <c r="D136" s="0" t="s">
        <v>704</v>
      </c>
      <c r="F136" s="448" t="n">
        <v>0.0079</v>
      </c>
    </row>
    <row r="137" customFormat="false" ht="12.75" hidden="false" customHeight="false" outlineLevel="0" collapsed="false">
      <c r="D137" s="0" t="s">
        <v>478</v>
      </c>
      <c r="F137" s="448" t="n">
        <v>0.0022</v>
      </c>
    </row>
    <row r="138" customFormat="false" ht="12.75" hidden="false" customHeight="false" outlineLevel="0" collapsed="false">
      <c r="D138" s="0" t="s">
        <v>679</v>
      </c>
      <c r="F138" s="449" t="n">
        <v>0.0325</v>
      </c>
    </row>
    <row r="139" customFormat="false" ht="12.75" hidden="false" customHeight="false" outlineLevel="0" collapsed="false">
      <c r="D139" s="0" t="s">
        <v>681</v>
      </c>
      <c r="F139" s="450" t="n">
        <f aca="false">+F135/(1-F138)-F135</f>
        <v>0.0833074935400515</v>
      </c>
    </row>
    <row r="140" customFormat="false" ht="13.5" hidden="false" customHeight="false" outlineLevel="0" collapsed="false">
      <c r="D140" s="0" t="s">
        <v>682</v>
      </c>
      <c r="F140" s="362" t="n">
        <f aca="false">SUM(F136:F137,F139)</f>
        <v>0.0934074935400515</v>
      </c>
    </row>
    <row r="141" customFormat="false" ht="13.5" hidden="false" customHeight="false" outlineLevel="0" collapsed="false">
      <c r="F141" s="2"/>
    </row>
    <row r="142" customFormat="false" ht="12.75" hidden="false" customHeight="false" outlineLevel="0" collapsed="false">
      <c r="F142" s="2"/>
    </row>
    <row r="143" customFormat="false" ht="12.75" hidden="false" customHeight="false" outlineLevel="0" collapsed="false">
      <c r="B143" s="0" t="s">
        <v>702</v>
      </c>
    </row>
    <row r="144" customFormat="false" ht="12.75" hidden="false" customHeight="false" outlineLevel="0" collapsed="false">
      <c r="C144" s="0" t="s">
        <v>683</v>
      </c>
    </row>
    <row r="145" customFormat="false" ht="12.75" hidden="false" customHeight="false" outlineLevel="0" collapsed="false">
      <c r="D145" s="0" t="s">
        <v>677</v>
      </c>
      <c r="E145" s="0" t="s">
        <v>698</v>
      </c>
      <c r="F145" s="2" t="n">
        <v>1.95</v>
      </c>
    </row>
    <row r="146" customFormat="false" ht="12.75" hidden="false" customHeight="false" outlineLevel="0" collapsed="false">
      <c r="D146" s="0" t="s">
        <v>683</v>
      </c>
      <c r="F146" s="448" t="n">
        <v>0.0089</v>
      </c>
    </row>
    <row r="147" customFormat="false" ht="12.75" hidden="false" customHeight="false" outlineLevel="0" collapsed="false">
      <c r="D147" s="0" t="s">
        <v>684</v>
      </c>
      <c r="F147" s="449" t="n">
        <v>0</v>
      </c>
    </row>
    <row r="148" customFormat="false" ht="12.75" hidden="false" customHeight="false" outlineLevel="0" collapsed="false">
      <c r="D148" s="0" t="s">
        <v>681</v>
      </c>
      <c r="F148" s="361" t="n">
        <f aca="false">+F145/(1-F147)-F145</f>
        <v>0</v>
      </c>
    </row>
    <row r="149" customFormat="false" ht="13.5" hidden="false" customHeight="false" outlineLevel="0" collapsed="false">
      <c r="D149" s="0" t="s">
        <v>682</v>
      </c>
      <c r="F149" s="362" t="n">
        <f aca="false">SUM(F146,F148)</f>
        <v>0.0089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B151" s="0" t="s">
        <v>703</v>
      </c>
    </row>
    <row r="152" customFormat="false" ht="12.75" hidden="false" customHeight="false" outlineLevel="0" collapsed="false">
      <c r="C152" s="0" t="s">
        <v>683</v>
      </c>
    </row>
    <row r="153" customFormat="false" ht="12.75" hidden="false" customHeight="false" outlineLevel="0" collapsed="false">
      <c r="D153" s="0" t="s">
        <v>677</v>
      </c>
      <c r="E153" s="0" t="s">
        <v>698</v>
      </c>
      <c r="F153" s="2" t="n">
        <v>2.48</v>
      </c>
    </row>
    <row r="154" customFormat="false" ht="12.75" hidden="false" customHeight="false" outlineLevel="0" collapsed="false">
      <c r="D154" s="0" t="s">
        <v>704</v>
      </c>
      <c r="F154" s="448" t="n">
        <v>0.0079</v>
      </c>
    </row>
    <row r="155" customFormat="false" ht="12.75" hidden="false" customHeight="false" outlineLevel="0" collapsed="false">
      <c r="D155" s="0" t="s">
        <v>478</v>
      </c>
      <c r="F155" s="448" t="n">
        <v>0.0022</v>
      </c>
    </row>
    <row r="156" customFormat="false" ht="12.75" hidden="false" customHeight="false" outlineLevel="0" collapsed="false">
      <c r="D156" s="0" t="s">
        <v>684</v>
      </c>
      <c r="F156" s="449" t="n">
        <v>0</v>
      </c>
    </row>
    <row r="157" customFormat="false" ht="12.75" hidden="false" customHeight="false" outlineLevel="0" collapsed="false">
      <c r="D157" s="0" t="s">
        <v>681</v>
      </c>
      <c r="F157" s="450" t="n">
        <f aca="false">+F153/(1-F156)-F153</f>
        <v>0</v>
      </c>
    </row>
    <row r="158" customFormat="false" ht="13.5" hidden="false" customHeight="false" outlineLevel="0" collapsed="false">
      <c r="D158" s="0" t="s">
        <v>682</v>
      </c>
      <c r="F158" s="362" t="n">
        <f aca="false">SUM(F154:F155,F157)</f>
        <v>0.0101</v>
      </c>
    </row>
    <row r="159" customFormat="false" ht="13.5" hidden="false" customHeight="false" outlineLevel="0" collapsed="false"/>
    <row r="161" customFormat="false" ht="12.75" hidden="false" customHeight="false" outlineLevel="0" collapsed="false">
      <c r="C161" s="451"/>
      <c r="D161" s="451"/>
      <c r="E161" s="451"/>
      <c r="F161" s="451"/>
      <c r="G161" s="451"/>
    </row>
    <row r="162" customFormat="false" ht="12.75" hidden="false" customHeight="false" outlineLevel="0" collapsed="false">
      <c r="C162" s="451"/>
      <c r="D162" s="451"/>
      <c r="E162" s="451"/>
      <c r="F162" s="2"/>
      <c r="G162" s="451"/>
    </row>
    <row r="163" customFormat="false" ht="12.75" hidden="false" customHeight="false" outlineLevel="0" collapsed="false">
      <c r="C163" s="451"/>
      <c r="D163" s="451"/>
      <c r="E163" s="451"/>
      <c r="F163" s="448"/>
      <c r="G163" s="451"/>
    </row>
    <row r="164" customFormat="false" ht="12.75" hidden="false" customHeight="false" outlineLevel="0" collapsed="false">
      <c r="C164" s="451"/>
      <c r="D164" s="451"/>
      <c r="E164" s="451"/>
      <c r="F164" s="449"/>
      <c r="G164" s="451"/>
    </row>
    <row r="165" customFormat="false" ht="12.75" hidden="false" customHeight="false" outlineLevel="0" collapsed="false">
      <c r="C165" s="451"/>
      <c r="D165" s="451"/>
      <c r="E165" s="451"/>
      <c r="F165" s="2"/>
      <c r="G165" s="451"/>
    </row>
    <row r="166" customFormat="false" ht="12.75" hidden="false" customHeight="false" outlineLevel="0" collapsed="false">
      <c r="C166" s="451"/>
      <c r="D166" s="451"/>
      <c r="E166" s="451"/>
      <c r="F166" s="2"/>
      <c r="G166" s="451"/>
    </row>
    <row r="167" customFormat="false" ht="12.75" hidden="false" customHeight="false" outlineLevel="0" collapsed="false">
      <c r="C167" s="451"/>
      <c r="D167" s="451"/>
      <c r="E167" s="451"/>
      <c r="F167" s="451"/>
      <c r="G167" s="4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2001-03-30T11:31:32Z</cp:lastPrinted>
  <cp:revision>0</cp:revision>
  <dc:subject/>
  <dc:title/>
</cp:coreProperties>
</file>