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&amp; Pooling" sheetId="1" state="visible" r:id="rId3"/>
    <sheet name="CES IT" sheetId="2" state="visible" r:id="rId4"/>
    <sheet name="East Capacity" sheetId="3" state="visible" r:id="rId5"/>
    <sheet name="Mrkt East Capacity" sheetId="4" state="visible" r:id="rId6"/>
    <sheet name="Feb Matrix" sheetId="5" state="visible" r:id="rId7"/>
    <sheet name="Rates" sheetId="6" state="visible" r:id="rId8"/>
    <sheet name="Notes" sheetId="7" state="visible" r:id="rId9"/>
    <sheet name="Offseason Rate" sheetId="8" state="visible" r:id="rId10"/>
    <sheet name="Special Rates" sheetId="9" state="visible" r:id="rId11"/>
    <sheet name="Basis" sheetId="10" state="visible" r:id="rId12"/>
  </sheets>
  <definedNames>
    <definedName function="false" hidden="false" localSheetId="9" name="_xlnm.Print_Area" vbProcedure="false">Basis!$A$33:$I$42</definedName>
    <definedName function="false" hidden="false" localSheetId="4" name="_xlnm.Print_Area" vbProcedure="false">'Feb Matrix'!$A$3:$L$74</definedName>
    <definedName function="false" hidden="false" localSheetId="3" name="_xlnm.Print_Area" vbProcedure="false">'Mrkt East Capacity'!$11:$12</definedName>
    <definedName function="false" hidden="false" localSheetId="5" name="_xlnm.Print_Area" vbProcedure="false">Rates!$S$1:$X$72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Backhaul from Z6 to 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126</xdr:row>
                <xdr:rowOff>7</xdr:rowOff>
              </xdr:from>
              <xdr:to>
                <xdr:col>7</xdr:col>
                <xdr:colOff>43</xdr:colOff>
                <xdr:row>132</xdr:row>
                <xdr:rowOff>5</xdr:rowOff>
              </xdr:to>
            </anchor>
          </commentPr>
        </mc:Choice>
        <mc:Fallback/>
      </mc:AlternateContent>
    </comment>
    <comment ref="B133" authorId="0">
      <text>
        <r>
          <rPr>
            <b val="true"/>
            <sz val="8"/>
            <color rgb="FF000000"/>
            <rFont val="Tahoma"/>
            <family val="0"/>
          </rPr>
          <t xml:space="preserve">cgerman</t>
        </r>
        <r>
          <rPr>
            <sz val="8"/>
            <color rgb="FF000000"/>
            <rFont val="Tahoma"/>
            <family val="0"/>
          </rPr>
          <t xml:space="preserve">l 
Forward haul Z6-Z6, Backhaul Z6-Z4,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128</xdr:row>
                <xdr:rowOff>16</xdr:rowOff>
              </xdr:from>
              <xdr:to>
                <xdr:col>7</xdr:col>
                <xdr:colOff>39</xdr:colOff>
                <xdr:row>134</xdr:row>
                <xdr:rowOff>14</xdr:rowOff>
              </xdr:to>
            </anchor>
          </commentPr>
        </mc:Choice>
        <mc:Fallback/>
      </mc:AlternateContent>
    </comment>
    <comment ref="E8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Emporia Zone 5, Meter 941
Fuel includes forward hauls in Zone 5 &amp; Zone 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81</xdr:row>
                <xdr:rowOff>7</xdr:rowOff>
              </xdr:from>
              <xdr:to>
                <xdr:col>12</xdr:col>
                <xdr:colOff>25</xdr:colOff>
                <xdr:row>87</xdr:row>
                <xdr:rowOff>16</xdr:rowOff>
              </xdr:to>
            </anchor>
          </commentPr>
        </mc:Choice>
        <mc:Fallback/>
      </mc:AlternateContent>
    </comment>
    <comment ref="E8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86</xdr:row>
                <xdr:rowOff>7</xdr:rowOff>
              </xdr:from>
              <xdr:to>
                <xdr:col>12</xdr:col>
                <xdr:colOff>25</xdr:colOff>
                <xdr:row>92</xdr:row>
                <xdr:rowOff>17</xdr:rowOff>
              </xdr:to>
            </anchor>
          </commentPr>
        </mc:Choice>
        <mc:Fallback/>
      </mc:AlternateContent>
    </comment>
    <comment ref="E9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91</xdr:row>
                <xdr:rowOff>7</xdr:rowOff>
              </xdr:from>
              <xdr:to>
                <xdr:col>12</xdr:col>
                <xdr:colOff>25</xdr:colOff>
                <xdr:row>97</xdr:row>
                <xdr:rowOff>17</xdr:rowOff>
              </xdr:to>
            </anchor>
          </commentPr>
        </mc:Choice>
        <mc:Fallback/>
      </mc:AlternateContent>
    </comment>
    <comment ref="E9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FT St 210 meter 9170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96</xdr:row>
                <xdr:rowOff>7</xdr:rowOff>
              </xdr:from>
              <xdr:to>
                <xdr:col>12</xdr:col>
                <xdr:colOff>25</xdr:colOff>
                <xdr:row>102</xdr:row>
                <xdr:rowOff>17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<sst xmlns="http://schemas.openxmlformats.org/spreadsheetml/2006/main" count="3232" uniqueCount="845">
  <si>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</si>
  <si>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</si>
  <si>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</si>
  <si>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</si>
  <si>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</si>
  <si>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</si>
  <si>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</si>
  <si>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</si>
  <si>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</si>
  <si>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</si>
  <si>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</si>
  <si>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</si>
  <si>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</si>
  <si>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</si>
  <si>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</si>
  <si>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</si>
  <si>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</si>
  <si>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</si>
  <si>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</si>
  <si>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</si>
  <si>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</si>
  <si>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</si>
  <si>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</si>
  <si>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</si>
  <si>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Chandeleur</t>
  </si>
  <si>
    <t xml:space="preserve">CI-30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</si>
  <si>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</si>
  <si>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</si>
  <si>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</si>
  <si>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</si>
  <si>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</si>
  <si>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</si>
  <si>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</si>
  <si>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</si>
  <si>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</si>
  <si>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</si>
  <si>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</si>
  <si>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</si>
  <si>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</si>
  <si>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</si>
  <si>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</si>
  <si>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</si>
  <si>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</si>
  <si>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</si>
  <si>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</si>
  <si>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</si>
  <si>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</si>
  <si>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</si>
  <si>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</si>
  <si>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</si>
  <si>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</si>
  <si>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</si>
  <si>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</si>
  <si>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</si>
  <si>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8T001N</t>
  </si>
  <si>
    <t xml:space="preserve">8T001S</t>
  </si>
  <si>
    <t xml:space="preserve">8G001N</t>
  </si>
  <si>
    <t xml:space="preserve">8G001S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</si>
  <si>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</si>
  <si>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</si>
  <si>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</si>
  <si>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</si>
  <si>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</si>
  <si>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</si>
  <si>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H02262</t>
  </si>
  <si>
    <t xml:space="preserve">ISS</t>
  </si>
  <si>
    <t xml:space="preserve">Use when parking gas first then withdrawing.</t>
  </si>
  <si>
    <t xml:space="preserve">A02353</t>
  </si>
  <si>
    <t xml:space="preserve"> 312309 / 362289</t>
  </si>
  <si>
    <t xml:space="preserve">IAS</t>
  </si>
  <si>
    <t xml:space="preserve">Use when borrowing gas then paying back.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</si>
  <si>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</si>
  <si>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</si>
  <si>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</si>
  <si>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</si>
  <si>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</si>
  <si>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</si>
  <si>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</si>
  <si>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</si>
  <si>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</si>
  <si>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</si>
  <si>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</si>
  <si>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</si>
  <si>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</si>
  <si>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</si>
  <si>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</si>
  <si>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</si>
  <si>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</si>
  <si>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Egan Storage</t>
  </si>
  <si>
    <t xml:space="preserve">ENA-00001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</si>
  <si>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</si>
  <si>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</si>
  <si>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</si>
  <si>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</si>
  <si>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</si>
  <si>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</si>
  <si>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</si>
  <si>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</si>
  <si>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</si>
  <si>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</si>
  <si>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</si>
  <si>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</si>
  <si>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</si>
  <si>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</si>
  <si>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</si>
  <si>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</si>
  <si>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</si>
  <si>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</si>
  <si>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</si>
  <si>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</si>
  <si>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</si>
  <si>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</si>
  <si>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</si>
  <si>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</si>
  <si>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</si>
  <si>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</si>
  <si>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</si>
  <si>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</si>
  <si>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</si>
  <si>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</si>
  <si>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</si>
  <si>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</si>
  <si>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</si>
  <si>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</si>
  <si>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</si>
  <si>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</si>
  <si>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</si>
  <si>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</si>
  <si>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</si>
  <si>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</si>
  <si>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</si>
  <si>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</si>
  <si>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</si>
  <si>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</si>
  <si>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</si>
  <si>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</si>
  <si>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</si>
  <si>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</si>
  <si>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</si>
  <si>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East Desk Transportation Capacity for February , 2001</t>
  </si>
  <si>
    <t xml:space="preserve">Month</t>
  </si>
  <si>
    <t xml:space="preserve">New K#</t>
  </si>
  <si>
    <t xml:space="preserve">New Sitara</t>
  </si>
  <si>
    <t xml:space="preserve">ENA</t>
  </si>
  <si>
    <t xml:space="preserve">Onshore</t>
  </si>
  <si>
    <t xml:space="preserve">Mainline</t>
  </si>
  <si>
    <t xml:space="preserve">n</t>
  </si>
  <si>
    <t xml:space="preserve">Term=yr to yr, evergreen with 6 month termination notice.  ENA acquired this from Access Energy in 1993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</si>
  <si>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</si>
  <si>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</si>
  <si>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</si>
  <si>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</si>
  <si>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</si>
  <si>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</si>
  <si>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#25471, Onshore capacity - 5,395 venice capacity.</t>
  </si>
  <si>
    <t xml:space="preserve">Onshore - authorized overrun</t>
  </si>
  <si>
    <t xml:space="preserve">FGT, Trco, &amp; Lig</t>
  </si>
  <si>
    <t xml:space="preserve">Tiered- FGT-.02/LIG .015/Tran .01</t>
  </si>
  <si>
    <t xml:space="preserve">Brazos 105</t>
  </si>
  <si>
    <t xml:space="preserve">Trco St 30</t>
  </si>
  <si>
    <t xml:space="preserve">Central Texas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</si>
  <si>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</si>
  <si>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</si>
  <si>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</si>
  <si>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3/24/2000 Veronica with CGLF will try to find the contract terms for this deal.</t>
  </si>
  <si>
    <t xml:space="preserve">Leach</t>
  </si>
  <si>
    <t xml:space="preserve">ENA acquired this from Access Energy in 1993</t>
  </si>
  <si>
    <t xml:space="preserve">Mainline capacity</t>
  </si>
  <si>
    <t xml:space="preserve">#24770, Mainline capacity</t>
  </si>
  <si>
    <t xml:space="preserve">Belfry</t>
  </si>
  <si>
    <t xml:space="preserve">#29788, Belfry</t>
  </si>
  <si>
    <t xml:space="preserve">Purchased directly from the pipeline byCraig Breslau</t>
  </si>
  <si>
    <t xml:space="preserve">450091 / 450129</t>
  </si>
  <si>
    <t xml:space="preserve">Woodward</t>
  </si>
  <si>
    <t xml:space="preserve">N</t>
  </si>
  <si>
    <t xml:space="preserve">31424, released month to month</t>
  </si>
  <si>
    <t xml:space="preserve">released month to month</t>
  </si>
  <si>
    <t xml:space="preserve">Total Demand</t>
  </si>
  <si>
    <t xml:space="preserve">Reimbursements</t>
  </si>
  <si>
    <t xml:space="preserve">Net Demand</t>
  </si>
  <si>
    <t xml:space="preserve">Agency/St of FGT</t>
  </si>
  <si>
    <t xml:space="preserve">FGT</t>
  </si>
  <si>
    <t xml:space="preserve">???</t>
  </si>
  <si>
    <t xml:space="preserve">Buy  </t>
  </si>
  <si>
    <t xml:space="preserve">Est demand</t>
  </si>
  <si>
    <t xml:space="preserve">Agency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</si>
  <si>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</si>
  <si>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</si>
  <si>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</si>
  <si>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</si>
  <si>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Seasonal MDQ, Nov-Mar 85,000 dth, April 42,500 dth, May-Sep 29,750 dth, Oct 42,500 dth</t>
  </si>
  <si>
    <t xml:space="preserve">145753 / 233132</t>
  </si>
  <si>
    <t xml:space="preserve">Ormet</t>
  </si>
  <si>
    <t xml:space="preserve">Reimbursement captured on sales ticket 548711</t>
  </si>
  <si>
    <t xml:space="preserve">MidCoast</t>
  </si>
  <si>
    <t xml:space="preserve">Buy </t>
  </si>
  <si>
    <t xml:space="preserve">Sea Robin</t>
  </si>
  <si>
    <t xml:space="preserve">FSRP3</t>
  </si>
  <si>
    <t xml:space="preserve">Type</t>
  </si>
  <si>
    <t xml:space="preserve">Stingray</t>
  </si>
  <si>
    <t xml:space="preserve">tennessee</t>
  </si>
  <si>
    <t xml:space="preserve">Reliant - Entex</t>
  </si>
  <si>
    <t xml:space="preserve">zone 1</t>
  </si>
  <si>
    <t xml:space="preserve">reimbursed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</si>
  <si>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</si>
  <si>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</si>
  <si>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</si>
  <si>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</si>
  <si>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</si>
  <si>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buy</t>
  </si>
  <si>
    <t xml:space="preserve">Midwestern</t>
  </si>
  <si>
    <t xml:space="preserve">NGPL</t>
  </si>
  <si>
    <t xml:space="preserve">TENN</t>
  </si>
  <si>
    <t xml:space="preserve">zone 0</t>
  </si>
  <si>
    <t xml:space="preserve">broadrun</t>
  </si>
  <si>
    <t xml:space="preserve">  </t>
  </si>
  <si>
    <t xml:space="preserve">Tetco</t>
  </si>
  <si>
    <t xml:space="preserve">PP&amp;L</t>
  </si>
  <si>
    <t xml:space="preserve">Stx</t>
  </si>
  <si>
    <t xml:space="preserve">CDS</t>
  </si>
  <si>
    <t xml:space="preserve">#18558, PPL released to Enron Admin (#18548), Enron Admin re-released to ECT.</t>
  </si>
  <si>
    <t xml:space="preserve">FT-1</t>
  </si>
  <si>
    <t xml:space="preserve">#18557, PPL released to Enron Admin (#18547), Enron Admin re-released to ECT.</t>
  </si>
  <si>
    <t xml:space="preserve">Wla</t>
  </si>
  <si>
    <t xml:space="preserve">#18549</t>
  </si>
  <si>
    <t xml:space="preserve">#18550</t>
  </si>
  <si>
    <t xml:space="preserve">Nissequoque</t>
  </si>
  <si>
    <t xml:space="preserve">WLA</t>
  </si>
  <si>
    <t xml:space="preserve">ELA</t>
  </si>
  <si>
    <t xml:space="preserve">Ela</t>
  </si>
  <si>
    <t xml:space="preserve">Purcahsed from the pipeline</t>
  </si>
  <si>
    <t xml:space="preserve">Texas Gas</t>
  </si>
  <si>
    <t xml:space="preserve">IGS</t>
  </si>
  <si>
    <t xml:space="preserve">8107  Evangeline</t>
  </si>
  <si>
    <t xml:space="preserve">8046  mamou</t>
  </si>
  <si>
    <t xml:space="preserve">Y</t>
  </si>
  <si>
    <t xml:space="preserve">T016937</t>
  </si>
  <si>
    <t xml:space="preserve">#200010000072,  1/17/2001 - IGS recalled 4,000 per day for the Jan 18th-31st.</t>
  </si>
  <si>
    <t xml:space="preserve">T0170750000</t>
  </si>
  <si>
    <t xml:space="preserve">#2000110000068. Volumetric.</t>
  </si>
  <si>
    <t xml:space="preserve">Sl</t>
  </si>
  <si>
    <t xml:space="preserve">T017299000</t>
  </si>
  <si>
    <t xml:space="preserve">#200102000001. Volumetric.</t>
  </si>
  <si>
    <t xml:space="preserve">fuel $</t>
  </si>
  <si>
    <t xml:space="preserve">Trco</t>
  </si>
  <si>
    <t xml:space="preserve">Zone 4 Marango</t>
  </si>
  <si>
    <t xml:space="preserve">Sta 30</t>
  </si>
  <si>
    <t xml:space="preserve">Purchased from the pipeline</t>
  </si>
  <si>
    <t xml:space="preserve">St 62</t>
  </si>
  <si>
    <t xml:space="preserve">St 65</t>
  </si>
  <si>
    <t xml:space="preserve">#22687</t>
  </si>
  <si>
    <t xml:space="preserve">Total Market East Demand</t>
  </si>
  <si>
    <t xml:space="preserve">Tot Reimbursements</t>
  </si>
  <si>
    <t xml:space="preserve">Market East Desk Transportation Capacity for January, 2001</t>
  </si>
  <si>
    <t xml:space="preserve">Algo</t>
  </si>
  <si>
    <t xml:space="preserve">Indeck</t>
  </si>
  <si>
    <t xml:space="preserve">Hastings</t>
  </si>
  <si>
    <t xml:space="preserve">Silver Spring</t>
  </si>
  <si>
    <t xml:space="preserve">#14816- hendrickson buy</t>
  </si>
  <si>
    <t xml:space="preserve">#14774</t>
  </si>
  <si>
    <t xml:space="preserve">459735 / 459780</t>
  </si>
  <si>
    <t xml:space="preserve">801 - Leach</t>
  </si>
  <si>
    <t xml:space="preserve">4 BG&amp;E</t>
  </si>
  <si>
    <t xml:space="preserve">FTS</t>
  </si>
  <si>
    <t xml:space="preserve">ENA purchased from CES</t>
  </si>
  <si>
    <t xml:space="preserve">801- Leach</t>
  </si>
  <si>
    <t xml:space="preserve">EOL Sale</t>
  </si>
  <si>
    <t xml:space="preserve">801 Leach</t>
  </si>
  <si>
    <t xml:space="preserve">23n-2</t>
  </si>
  <si>
    <t xml:space="preserve">Purchased directly from pipe.</t>
  </si>
  <si>
    <t xml:space="preserve">02/31/01</t>
  </si>
  <si>
    <t xml:space="preserve">23N-7</t>
  </si>
  <si>
    <t xml:space="preserve">Cap Auction</t>
  </si>
  <si>
    <t xml:space="preserve">19E</t>
  </si>
  <si>
    <t xml:space="preserve">Constellation/BG&amp;E Release</t>
  </si>
  <si>
    <t xml:space="preserve">EES</t>
  </si>
  <si>
    <t xml:space="preserve">#030716</t>
  </si>
  <si>
    <t xml:space="preserve">CNR</t>
  </si>
  <si>
    <t xml:space="preserve">cnr02</t>
  </si>
  <si>
    <t xml:space="preserve">23-5</t>
  </si>
  <si>
    <t xml:space="preserve">A-To Pull Nelson's CNR Buy</t>
  </si>
  <si>
    <t xml:space="preserve">B-To Pull Nelson's CNR Buy</t>
  </si>
  <si>
    <t xml:space="preserve">C-To Pull Nelson's CNR Buy</t>
  </si>
  <si>
    <t xml:space="preserve">Reliant</t>
  </si>
  <si>
    <t xml:space="preserve">Stow</t>
  </si>
  <si>
    <t xml:space="preserve">3-15, 7-3, 7-4, 7-8,7-9</t>
  </si>
  <si>
    <t xml:space="preserve">To cover Miami Valley</t>
  </si>
  <si>
    <t xml:space="preserve">CALP</t>
  </si>
  <si>
    <t xml:space="preserve">Broad run</t>
  </si>
  <si>
    <t xml:space="preserve">Reimbursements/CES</t>
  </si>
  <si>
    <t xml:space="preserve">CVPT</t>
  </si>
  <si>
    <t xml:space="preserve">Cove Point</t>
  </si>
  <si>
    <t xml:space="preserve">Strg</t>
  </si>
  <si>
    <t xml:space="preserve">FPS</t>
  </si>
  <si>
    <t xml:space="preserve">FPS1024</t>
  </si>
  <si>
    <t xml:space="preserve">10 day peaking service from Cove Point, max daily withdrawal is 36,000/day.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</si>
  <si>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</si>
  <si>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</si>
  <si>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</si>
  <si>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</si>
  <si>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</si>
  <si>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</si>
  <si>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</si>
  <si>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</si>
  <si>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Act demand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</si>
  <si>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</si>
  <si>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</si>
  <si>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</si>
  <si>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</si>
  <si>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</si>
  <si>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</si>
  <si>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B00693-033141</t>
  </si>
  <si>
    <t xml:space="preserve">Demand charge billed on receipt volume</t>
  </si>
  <si>
    <t xml:space="preserve">Z5 - Wright</t>
  </si>
  <si>
    <t xml:space="preserve">Z6 - Various</t>
  </si>
  <si>
    <t xml:space="preserve">y</t>
  </si>
  <si>
    <t xml:space="preserve">13.36, see deal 224102</t>
  </si>
  <si>
    <t xml:space="preserve">93036/229817</t>
  </si>
  <si>
    <t xml:space="preserve">Energynorth</t>
  </si>
  <si>
    <t xml:space="preserve">TGP</t>
  </si>
  <si>
    <t xml:space="preserve">Fuel Waiver</t>
  </si>
  <si>
    <t xml:space="preserve">#12479 - Cook School</t>
  </si>
  <si>
    <t xml:space="preserve">Z4 Cambridge #020064, and Dungannon #020060</t>
  </si>
  <si>
    <t xml:space="preserve">Fuel discounted to .5%</t>
  </si>
  <si>
    <t xml:space="preserve">#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</si>
  <si>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</si>
  <si>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</si>
  <si>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</si>
  <si>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</si>
  <si>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</si>
  <si>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</si>
  <si>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Tenn Net 284</t>
  </si>
  <si>
    <t xml:space="preserve">INCLUDES GRI ($0.0072) and Great Plains Surcharge ($0.0131)</t>
  </si>
  <si>
    <t xml:space="preserve">Iroq -GRI</t>
  </si>
  <si>
    <t xml:space="preserve">   TETCO </t>
  </si>
  <si>
    <t xml:space="preserve">to:  St. 65</t>
  </si>
  <si>
    <t xml:space="preserve">STX</t>
  </si>
  <si>
    <t xml:space="preserve">Tenn +GRI</t>
  </si>
  <si>
    <t xml:space="preserve">Zn 3 - 65</t>
  </si>
  <si>
    <t xml:space="preserve">    "ELA Rate Assumes $0.0622 'IT'"</t>
  </si>
  <si>
    <t xml:space="preserve">Total</t>
  </si>
  <si>
    <t xml:space="preserve">TRCO IT Rates</t>
  </si>
  <si>
    <t xml:space="preserve">Note:  2-2, 2-3, and 3-3 rates do not include surcharges.</t>
  </si>
  <si>
    <t xml:space="preserve">Tenn FT Commodity</t>
  </si>
  <si>
    <t xml:space="preserve">Toca/Patt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</si>
  <si>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</si>
  <si>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</si>
  <si>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</si>
  <si>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</si>
  <si>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</si>
  <si>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</si>
  <si>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</si>
  <si>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</si>
  <si>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3</t>
  </si>
  <si>
    <t xml:space="preserve">Zone 4</t>
  </si>
  <si>
    <t xml:space="preserve">Zone 5</t>
  </si>
  <si>
    <t xml:space="preserve">Zone 6</t>
  </si>
  <si>
    <t xml:space="preserve">0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</si>
  <si>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</si>
  <si>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</si>
  <si>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</si>
  <si>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</si>
  <si>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</si>
  <si>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</si>
  <si>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</si>
  <si>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</si>
  <si>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</si>
  <si>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</si>
  <si>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</si>
  <si>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</si>
  <si>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It to M2</t>
  </si>
  <si>
    <t xml:space="preserve">It to M3</t>
  </si>
  <si>
    <t xml:space="preserve">ETX</t>
  </si>
  <si>
    <t xml:space="preserve">M1</t>
  </si>
  <si>
    <t xml:space="preserve">M2</t>
  </si>
  <si>
    <t xml:space="preserve">M3</t>
  </si>
  <si>
    <t xml:space="preserve">             Texas Gas FT Commodity</t>
  </si>
  <si>
    <t xml:space="preserve">Sonat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</si>
  <si>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</si>
  <si>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</si>
  <si>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</si>
  <si>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</si>
  <si>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</si>
  <si>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</si>
  <si>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</si>
  <si>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</si>
  <si>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</si>
  <si>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Gulf Onshore IT-Mainline FT</t>
  </si>
  <si>
    <t xml:space="preserve">           Algonquin</t>
  </si>
  <si>
    <t xml:space="preserve">NFG</t>
  </si>
  <si>
    <t xml:space="preserve">Niagara Zone 3</t>
  </si>
  <si>
    <t xml:space="preserve">Off</t>
  </si>
  <si>
    <t xml:space="preserve">On</t>
  </si>
  <si>
    <t xml:space="preserve">    Commodity and Fuel</t>
  </si>
  <si>
    <t xml:space="preserve">AFT-1</t>
  </si>
  <si>
    <t xml:space="preserve">FEBRUARY, 2001</t>
  </si>
  <si>
    <t xml:space="preserve">ML</t>
  </si>
  <si>
    <t xml:space="preserve">TENNESSEE GAS PIPELINE: SPECIAL TRANS. RATES</t>
  </si>
  <si>
    <t xml:space="preserve">Offshore and Onshore are IT rates</t>
  </si>
  <si>
    <t xml:space="preserve">Transport expense using Prices shown below</t>
  </si>
  <si>
    <t xml:space="preserve">Trco Z1</t>
  </si>
  <si>
    <t xml:space="preserve">CGLF On</t>
  </si>
  <si>
    <t xml:space="preserve">Trco Z2</t>
  </si>
  <si>
    <t xml:space="preserve">M/L</t>
  </si>
  <si>
    <t xml:space="preserve">Trco Z3</t>
  </si>
  <si>
    <t xml:space="preserve">TGT Sl</t>
  </si>
  <si>
    <t xml:space="preserve">Trco Z4</t>
  </si>
  <si>
    <t xml:space="preserve">Tenn 800</t>
  </si>
  <si>
    <t xml:space="preserve">Trco Z6</t>
  </si>
  <si>
    <t xml:space="preserve">TGP/NFG Niagara</t>
  </si>
  <si>
    <t xml:space="preserve">CNG SP</t>
  </si>
  <si>
    <t xml:space="preserve">Henry Hub</t>
  </si>
  <si>
    <t xml:space="preserve">                                                                                                                                               </t>
  </si>
  <si>
    <t xml:space="preserve">Gas Daily </t>
  </si>
  <si>
    <t xml:space="preserve">-.07</t>
  </si>
  <si>
    <t xml:space="preserve">formulas</t>
  </si>
  <si>
    <t xml:space="preserve">Formula</t>
  </si>
  <si>
    <t xml:space="preserve">IROQ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</si>
  <si>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</si>
  <si>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</si>
  <si>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</si>
  <si>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</si>
  <si>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</si>
  <si>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Dominion SP</t>
  </si>
  <si>
    <t xml:space="preserve">TGT</t>
  </si>
  <si>
    <t xml:space="preserve">Wadd</t>
  </si>
  <si>
    <t xml:space="preserve">Tenn Z0</t>
  </si>
  <si>
    <t xml:space="preserve">st 65</t>
  </si>
  <si>
    <t xml:space="preserve">zn 1 800</t>
  </si>
  <si>
    <t xml:space="preserve">wla</t>
  </si>
  <si>
    <t xml:space="preserve">m/l ITS2</t>
  </si>
  <si>
    <t xml:space="preserve">Winter</t>
  </si>
  <si>
    <t xml:space="preserve">Summer</t>
  </si>
  <si>
    <t xml:space="preserve">st 45</t>
  </si>
  <si>
    <t xml:space="preserve">stx</t>
  </si>
  <si>
    <t xml:space="preserve">Leach FT1</t>
  </si>
  <si>
    <t xml:space="preserve">st 30</t>
  </si>
  <si>
    <t xml:space="preserve">m1</t>
  </si>
  <si>
    <t xml:space="preserve">Ft/It combo</t>
  </si>
  <si>
    <t xml:space="preserve">Z6 NY</t>
  </si>
  <si>
    <t xml:space="preserve">Rates No 37.02</t>
  </si>
  <si>
    <t xml:space="preserve">Winter Fuel Nov-Mar</t>
  </si>
  <si>
    <t xml:space="preserve">Winter Fuel Dec-Mar</t>
  </si>
  <si>
    <t xml:space="preserve">Rates 18 &amp; 19</t>
  </si>
  <si>
    <t xml:space="preserve">Rates 25 &amp; 28</t>
  </si>
  <si>
    <t xml:space="preserve">Rates 32</t>
  </si>
  <si>
    <t xml:space="preserve">Summer Fuel</t>
  </si>
  <si>
    <t xml:space="preserve">Winter Fuel</t>
  </si>
  <si>
    <t xml:space="preserve">Rates No 4</t>
  </si>
  <si>
    <t xml:space="preserve">Rates No 5</t>
  </si>
  <si>
    <t xml:space="preserve">Rates No 8</t>
  </si>
  <si>
    <t xml:space="preserve">Fuel No 44</t>
  </si>
  <si>
    <t xml:space="preserve">Rates No 23A &amp; 22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</si>
  <si>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</si>
  <si>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</si>
  <si>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</si>
  <si>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</si>
  <si>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Fuel 44</t>
  </si>
  <si>
    <t xml:space="preserve">Nov 1 - Mar 31</t>
  </si>
  <si>
    <t xml:space="preserve">Fuel changes each month</t>
  </si>
  <si>
    <t xml:space="preserve">Fuel No. 10</t>
  </si>
  <si>
    <t xml:space="preserve">Fuel No.8,</t>
  </si>
  <si>
    <t xml:space="preserve">Fuel No 29</t>
  </si>
  <si>
    <t xml:space="preserve">Fuel No 127,128, &amp; 129</t>
  </si>
  <si>
    <t xml:space="preserve">Fuel No 15</t>
  </si>
  <si>
    <t xml:space="preserve">EFFECTIVE 4/1/99</t>
  </si>
  <si>
    <t xml:space="preserve">PENDING Rates &amp; Fuel</t>
  </si>
  <si>
    <t xml:space="preserve">Updated 12/1/2001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</si>
  <si>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</si>
  <si>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</si>
  <si>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</si>
  <si>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</si>
  <si>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Rates Eff 7/1/00</t>
  </si>
  <si>
    <t xml:space="preserve">Updtd Rates 2/1/2001</t>
  </si>
  <si>
    <t xml:space="preserve">Updtd Rates 3/1/00</t>
  </si>
  <si>
    <t xml:space="preserve">Eff 4/1/99</t>
  </si>
  <si>
    <t xml:space="preserve">Fuel No 40</t>
  </si>
  <si>
    <t xml:space="preserve">Fuel 14</t>
  </si>
  <si>
    <t xml:space="preserve">All Fuel is 0.02%</t>
  </si>
  <si>
    <t xml:space="preserve">Updtd Fuel 12/1/1999</t>
  </si>
  <si>
    <t xml:space="preserve">Need to check GSR &amp; SCRM</t>
  </si>
  <si>
    <t xml:space="preserve">Updated eff 3/1/2000</t>
  </si>
  <si>
    <t xml:space="preserve">Fuel Rev 8/1/99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</si>
  <si>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</si>
  <si>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</si>
  <si>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</si>
  <si>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</si>
  <si>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</si>
  <si>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</si>
  <si>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</si>
  <si>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TETCO IT</t>
  </si>
  <si>
    <t xml:space="preserve">(0-0)FT</t>
  </si>
  <si>
    <t xml:space="preserve">Gulf</t>
  </si>
  <si>
    <t xml:space="preserve">(off-off)fts2</t>
  </si>
  <si>
    <t xml:space="preserve">TCO</t>
  </si>
  <si>
    <t xml:space="preserve">(fts)</t>
  </si>
  <si>
    <t xml:space="preserve">ft</t>
  </si>
  <si>
    <t xml:space="preserve">tgt sl-sl</t>
  </si>
  <si>
    <t xml:space="preserve">FT 1-1</t>
  </si>
  <si>
    <t xml:space="preserve">EQTR</t>
  </si>
  <si>
    <t xml:space="preserve">ITS</t>
  </si>
  <si>
    <t xml:space="preserve">UTOS</t>
  </si>
  <si>
    <t xml:space="preserve">NFGS</t>
  </si>
  <si>
    <t xml:space="preserve">FT-Niag to Leidy</t>
  </si>
  <si>
    <t xml:space="preserve">Generic</t>
  </si>
  <si>
    <t xml:space="preserve">comm</t>
  </si>
  <si>
    <t xml:space="preserve">Comm</t>
  </si>
  <si>
    <t xml:space="preserve">ACA</t>
  </si>
  <si>
    <t xml:space="preserve">fuel(.35)</t>
  </si>
  <si>
    <t xml:space="preserve">fuel(1.50)</t>
  </si>
  <si>
    <t xml:space="preserve">fuel(.489)</t>
  </si>
  <si>
    <t xml:space="preserve">fuel(0.0)</t>
  </si>
  <si>
    <t xml:space="preserve">fuel(2.00)</t>
  </si>
  <si>
    <t xml:space="preserve">GRI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</si>
  <si>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</si>
  <si>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</si>
  <si>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</si>
  <si>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</si>
  <si>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</si>
  <si>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</si>
  <si>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</si>
  <si>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</si>
  <si>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</si>
  <si>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</si>
  <si>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</si>
  <si>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tgt sl-4</t>
  </si>
  <si>
    <t xml:space="preserve">FT 1-2</t>
  </si>
  <si>
    <t xml:space="preserve">Zn 1</t>
  </si>
  <si>
    <t xml:space="preserve">Variable</t>
  </si>
  <si>
    <t xml:space="preserve">Delivered</t>
  </si>
  <si>
    <t xml:space="preserve">.</t>
  </si>
  <si>
    <t xml:space="preserve">fuel(.81)</t>
  </si>
  <si>
    <t xml:space="preserve">fuel(.603)</t>
  </si>
  <si>
    <t xml:space="preserve">(1-3)</t>
  </si>
  <si>
    <t xml:space="preserve">(1-3)IT</t>
  </si>
  <si>
    <t xml:space="preserve">(0-2) FT</t>
  </si>
  <si>
    <t xml:space="preserve">(stx-ela)</t>
  </si>
  <si>
    <t xml:space="preserve">(0-2)FT</t>
  </si>
  <si>
    <t xml:space="preserve">(ml-ml)fts1</t>
  </si>
  <si>
    <t xml:space="preserve">(winter)it</t>
  </si>
  <si>
    <t xml:space="preserve">Disc It</t>
  </si>
  <si>
    <t xml:space="preserve">tgt 1-4</t>
  </si>
  <si>
    <t xml:space="preserve">IT 1-2</t>
  </si>
  <si>
    <t xml:space="preserve">Zn 2</t>
  </si>
  <si>
    <t xml:space="preserve">fuel(1.26)</t>
  </si>
  <si>
    <t xml:space="preserve">fuel(2.30)</t>
  </si>
  <si>
    <t xml:space="preserve">fuel(2.82)</t>
  </si>
  <si>
    <t xml:space="preserve">Apr - Nov</t>
  </si>
  <si>
    <t xml:space="preserve">(1-4)</t>
  </si>
  <si>
    <t xml:space="preserve">(1-4) it</t>
  </si>
  <si>
    <t xml:space="preserve">(0-3) FT</t>
  </si>
  <si>
    <t xml:space="preserve">(stx-m1)</t>
  </si>
  <si>
    <t xml:space="preserve">(stx-m2)</t>
  </si>
  <si>
    <t xml:space="preserve">(0-3)FT</t>
  </si>
  <si>
    <t xml:space="preserve">(off-off)its2</t>
  </si>
  <si>
    <t xml:space="preserve">(gath)it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</si>
  <si>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</si>
  <si>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fuel(3.16)</t>
  </si>
  <si>
    <t xml:space="preserve">fuel(2.60)</t>
  </si>
  <si>
    <t xml:space="preserve">tgt SL-1</t>
  </si>
  <si>
    <t xml:space="preserve">Disc 1-2</t>
  </si>
  <si>
    <t xml:space="preserve">Zn 3</t>
  </si>
  <si>
    <t xml:space="preserve">(1-5)</t>
  </si>
  <si>
    <t xml:space="preserve">(2-2) it</t>
  </si>
  <si>
    <t xml:space="preserve">(0-4) FT</t>
  </si>
  <si>
    <t xml:space="preserve">(stx-m3)</t>
  </si>
  <si>
    <t xml:space="preserve">(on-on)its2</t>
  </si>
  <si>
    <t xml:space="preserve">Disc IT</t>
  </si>
  <si>
    <t xml:space="preserve">fuel(4.69)</t>
  </si>
  <si>
    <t xml:space="preserve">fuel(.46)</t>
  </si>
  <si>
    <t xml:space="preserve">tgt 1-SL (Backhaul)</t>
  </si>
  <si>
    <t xml:space="preserve">Disc 1-1</t>
  </si>
  <si>
    <t xml:space="preserve">(1-6)</t>
  </si>
  <si>
    <t xml:space="preserve">(2-3)IT</t>
  </si>
  <si>
    <t xml:space="preserve">(0-5) FT</t>
  </si>
  <si>
    <t xml:space="preserve">(wla-wla)</t>
  </si>
  <si>
    <t xml:space="preserve">(ml-ml)its1</t>
  </si>
  <si>
    <t xml:space="preserve">fuel(5.53)</t>
  </si>
  <si>
    <t xml:space="preserve">fuel(0.91)</t>
  </si>
  <si>
    <t xml:space="preserve">(2-2)</t>
  </si>
  <si>
    <t xml:space="preserve">(2-4) it</t>
  </si>
  <si>
    <t xml:space="preserve">(0-6) FT</t>
  </si>
  <si>
    <t xml:space="preserve">(wla-m1)</t>
  </si>
  <si>
    <t xml:space="preserve">Iroq Fuel</t>
  </si>
  <si>
    <t xml:space="preserve">(on-on)DISC</t>
  </si>
  <si>
    <t xml:space="preserve">fuel(2.81)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</si>
  <si>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</si>
  <si>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</si>
  <si>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</si>
  <si>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</si>
  <si>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</si>
  <si>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</si>
  <si>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(wla-m2)</t>
  </si>
  <si>
    <t xml:space="preserve">Z2 - Z2</t>
  </si>
  <si>
    <t xml:space="preserve">(rn-lch)Disc</t>
  </si>
  <si>
    <t xml:space="preserve">fuel(.91)</t>
  </si>
  <si>
    <t xml:space="preserve">fuel(0.45)</t>
  </si>
  <si>
    <t xml:space="preserve">(2-4)</t>
  </si>
  <si>
    <t xml:space="preserve">(3-4) it</t>
  </si>
  <si>
    <t xml:space="preserve">(1-1) FT</t>
  </si>
  <si>
    <t xml:space="preserve">(wla-m3)</t>
  </si>
  <si>
    <t xml:space="preserve">fuel(2.35)</t>
  </si>
  <si>
    <t xml:space="preserve">(2-5)</t>
  </si>
  <si>
    <t xml:space="preserve">(3-6) it</t>
  </si>
  <si>
    <t xml:space="preserve">(1-2) FT</t>
  </si>
  <si>
    <t xml:space="preserve">(etx-wla)</t>
  </si>
  <si>
    <t xml:space="preserve">fuel(4.34)</t>
  </si>
  <si>
    <t xml:space="preserve">fuel(4.72)</t>
  </si>
  <si>
    <t xml:space="preserve">(2-6)</t>
  </si>
  <si>
    <t xml:space="preserve">(4-4) it</t>
  </si>
  <si>
    <t xml:space="preserve">(1-3) FT</t>
  </si>
  <si>
    <t xml:space="preserve">(ela-ela)</t>
  </si>
  <si>
    <t xml:space="preserve">fuel(5.18)</t>
  </si>
  <si>
    <t xml:space="preserve">fuel(1.90)</t>
  </si>
  <si>
    <t xml:space="preserve">(3-3)</t>
  </si>
  <si>
    <t xml:space="preserve">(4-5) it</t>
  </si>
  <si>
    <t xml:space="preserve">(1-4) FT</t>
  </si>
  <si>
    <t xml:space="preserve">(etx-stx)</t>
  </si>
  <si>
    <t xml:space="preserve">(ela-m1)</t>
  </si>
  <si>
    <t xml:space="preserve">fuel (.45)</t>
  </si>
  <si>
    <t xml:space="preserve">(3-4) </t>
  </si>
  <si>
    <t xml:space="preserve">Transco  </t>
  </si>
  <si>
    <t xml:space="preserve">(4a-4a) it</t>
  </si>
  <si>
    <t xml:space="preserve">(1-5) FT</t>
  </si>
  <si>
    <t xml:space="preserve">(ela-m2)</t>
  </si>
  <si>
    <t xml:space="preserve">fuel(0.59)</t>
  </si>
  <si>
    <t xml:space="preserve">(3-5)</t>
  </si>
  <si>
    <t xml:space="preserve">Transco it</t>
  </si>
  <si>
    <t xml:space="preserve">(6-6) it</t>
  </si>
  <si>
    <t xml:space="preserve">(1-6) FT</t>
  </si>
  <si>
    <t xml:space="preserve">(etx-etx)</t>
  </si>
  <si>
    <t xml:space="preserve">(ela-m3)</t>
  </si>
  <si>
    <t xml:space="preserve">fuel(3.88)</t>
  </si>
  <si>
    <t xml:space="preserve">fuel(0.84)</t>
  </si>
  <si>
    <t xml:space="preserve">(3-6)</t>
  </si>
  <si>
    <t xml:space="preserve">Leidy-Emporia</t>
  </si>
  <si>
    <t xml:space="preserve">(2-5) FT</t>
  </si>
  <si>
    <t xml:space="preserve">(etx-ela )</t>
  </si>
  <si>
    <t xml:space="preserve">(m1-m2)</t>
  </si>
  <si>
    <t xml:space="preserve">(4-4) </t>
  </si>
  <si>
    <t xml:space="preserve">Leidy-AGL</t>
  </si>
  <si>
    <t xml:space="preserve">(4-4) FT</t>
  </si>
  <si>
    <t xml:space="preserve">(etx-M1 )</t>
  </si>
  <si>
    <t xml:space="preserve">(m1-m3)</t>
  </si>
  <si>
    <t xml:space="preserve">(4-5) </t>
  </si>
  <si>
    <t xml:space="preserve">Leidy-Doyle</t>
  </si>
  <si>
    <t xml:space="preserve">(4-6) FT</t>
  </si>
  <si>
    <t xml:space="preserve">(etx-M2 )</t>
  </si>
  <si>
    <t xml:space="preserve">(m2-m2)</t>
  </si>
  <si>
    <t xml:space="preserve">fuel(3.43)</t>
  </si>
  <si>
    <t xml:space="preserve">(4-6) </t>
  </si>
  <si>
    <t xml:space="preserve">St 210-Doyle</t>
  </si>
  <si>
    <t xml:space="preserve">(5-5) FT</t>
  </si>
  <si>
    <t xml:space="preserve">(etx-M3 )</t>
  </si>
  <si>
    <t xml:space="preserve">(m2-m3)</t>
  </si>
  <si>
    <t xml:space="preserve">fuel(4.27)</t>
  </si>
  <si>
    <t xml:space="preserve">(4a-4a)</t>
  </si>
  <si>
    <t xml:space="preserve">TGP Backhaul</t>
  </si>
  <si>
    <t xml:space="preserve">      (5-5) FT</t>
  </si>
  <si>
    <t xml:space="preserve">(m3-m3)</t>
  </si>
  <si>
    <t xml:space="preserve">fuel(0.005)</t>
  </si>
  <si>
    <t xml:space="preserve">(5-5)</t>
  </si>
  <si>
    <t xml:space="preserve">(5-6)  FT</t>
  </si>
  <si>
    <t xml:space="preserve">fuel(1.53)</t>
  </si>
  <si>
    <t xml:space="preserve">(5-6)</t>
  </si>
  <si>
    <t xml:space="preserve">(6-4)  FT</t>
  </si>
  <si>
    <t xml:space="preserve">fuel(2.37)</t>
  </si>
  <si>
    <t xml:space="preserve">(6-6)</t>
  </si>
  <si>
    <t xml:space="preserve">(6-5)  FT</t>
  </si>
  <si>
    <t xml:space="preserve">Leidy to Emporia</t>
  </si>
  <si>
    <t xml:space="preserve">(6-6)  FT</t>
  </si>
  <si>
    <t xml:space="preserve">(m1-m1)</t>
  </si>
  <si>
    <t xml:space="preserve">St 210 to Doyle</t>
  </si>
  <si>
    <t xml:space="preserve">Tenn NET 284</t>
  </si>
  <si>
    <t xml:space="preserve">fuel(1.31)</t>
  </si>
  <si>
    <t xml:space="preserve">Leidy to Doyle</t>
  </si>
  <si>
    <t xml:space="preserve">(5-4) FT</t>
  </si>
  <si>
    <t xml:space="preserve">Leidy to AGL</t>
  </si>
  <si>
    <t xml:space="preserve">(L-L)  IT</t>
  </si>
  <si>
    <t xml:space="preserve">(0-l)  IT</t>
  </si>
  <si>
    <t xml:space="preserve">(0-3)  IT</t>
  </si>
  <si>
    <t xml:space="preserve">(0-4)  IT</t>
  </si>
  <si>
    <t xml:space="preserve">(0-6)  IT</t>
  </si>
  <si>
    <t xml:space="preserve">(l-2)  IT</t>
  </si>
  <si>
    <t xml:space="preserve">(1-3) IT</t>
  </si>
  <si>
    <t xml:space="preserve">(1-4) IT</t>
  </si>
  <si>
    <t xml:space="preserve">(1-5) IT</t>
  </si>
  <si>
    <t xml:space="preserve">(1-6) IT</t>
  </si>
  <si>
    <t xml:space="preserve">(4-6) IT</t>
  </si>
  <si>
    <t xml:space="preserve">(5-3) IT</t>
  </si>
  <si>
    <t xml:space="preserve">(5-4) IT</t>
  </si>
  <si>
    <t xml:space="preserve">(5-5) IT</t>
  </si>
  <si>
    <t xml:space="preserve">(5-6) IT</t>
  </si>
  <si>
    <t xml:space="preserve">(6-3) IT</t>
  </si>
  <si>
    <t xml:space="preserve">(6-4) IT</t>
  </si>
  <si>
    <t xml:space="preserve">(6-5) IT</t>
  </si>
  <si>
    <t xml:space="preserve">(6-6) IT</t>
  </si>
  <si>
    <t xml:space="preserve">special rates per victoria versen</t>
  </si>
  <si>
    <t xml:space="preserve">(0-0) FT special</t>
  </si>
  <si>
    <t xml:space="preserve">(0-1) FT special</t>
  </si>
  <si>
    <t xml:space="preserve">(0-2) FT special</t>
  </si>
  <si>
    <t xml:space="preserve">(0-3) FT special</t>
  </si>
  <si>
    <t xml:space="preserve">(L-L) FT special</t>
  </si>
  <si>
    <t xml:space="preserve">(1-1) FT special</t>
  </si>
  <si>
    <t xml:space="preserve">(1-2) FT special</t>
  </si>
  <si>
    <t xml:space="preserve">(1-3) FT special</t>
  </si>
  <si>
    <t xml:space="preserve">Note:</t>
  </si>
  <si>
    <t xml:space="preserve">Effective 2/1/01</t>
  </si>
  <si>
    <t xml:space="preserve">Tenn contract with all receipts and deliveries in Zones 0, 1, &amp; 2.  Only deliveries to Broad Run allowed in Zone 3</t>
  </si>
  <si>
    <t xml:space="preserve">MDQ= 144,000 dt.</t>
  </si>
  <si>
    <t xml:space="preserve">See deal 595311</t>
  </si>
  <si>
    <t xml:space="preserve">2/1/2001   Transco fuels change effective 4/1/2001</t>
  </si>
  <si>
    <t xml:space="preserve">Delivery</t>
  </si>
  <si>
    <t xml:space="preserve">Receipt</t>
  </si>
  <si>
    <t xml:space="preserve">Zone 4A to Zone 4A = .59%</t>
  </si>
  <si>
    <t xml:space="preserve">Spring Fuel Apr - Oct</t>
  </si>
  <si>
    <t xml:space="preserve">Summer Apr-Nov</t>
  </si>
  <si>
    <t xml:space="preserve">Rates No 23A</t>
  </si>
  <si>
    <t xml:space="preserve">Apr 1 - Oct 31</t>
  </si>
  <si>
    <t xml:space="preserve">Updtd Rates 8/1/00</t>
  </si>
  <si>
    <t xml:space="preserve">IT Rates No 22</t>
  </si>
  <si>
    <t xml:space="preserve">CDS and FT-1</t>
  </si>
  <si>
    <t xml:space="preserve">Updtd Fuel 12/1/2000</t>
  </si>
  <si>
    <t xml:space="preserve">fuel(9.26)</t>
  </si>
  <si>
    <t xml:space="preserve">fuel(.22)</t>
  </si>
  <si>
    <t xml:space="preserve">fuel(.58)</t>
  </si>
  <si>
    <t xml:space="preserve">fuel(2.44)</t>
  </si>
  <si>
    <t xml:space="preserve">fuel(10.89)</t>
  </si>
  <si>
    <t xml:space="preserve">fuel(2.68)</t>
  </si>
  <si>
    <t xml:space="preserve">fuel(4.43)</t>
  </si>
  <si>
    <t xml:space="preserve">fuel(8.12)</t>
  </si>
  <si>
    <t xml:space="preserve">fuel(5.04)</t>
  </si>
  <si>
    <t xml:space="preserve">fuel(9.75)</t>
  </si>
  <si>
    <t xml:space="preserve">fuel(1.69)</t>
  </si>
  <si>
    <t xml:space="preserve">fuel(5.8)</t>
  </si>
  <si>
    <t xml:space="preserve">fuel(7.61)</t>
  </si>
  <si>
    <t xml:space="preserve">fuel(6.72)</t>
  </si>
  <si>
    <t xml:space="preserve">fuel(9.24)</t>
  </si>
  <si>
    <t xml:space="preserve">fuel(7.42)</t>
  </si>
  <si>
    <t xml:space="preserve">fuel(4.98)</t>
  </si>
  <si>
    <t xml:space="preserve">fuel(.95)</t>
  </si>
  <si>
    <t xml:space="preserve">fuel(6.61)</t>
  </si>
  <si>
    <t xml:space="preserve">fuel(1.70)</t>
  </si>
  <si>
    <t xml:space="preserve">fuel(5.45)</t>
  </si>
  <si>
    <t xml:space="preserve">fuel(3.69)</t>
  </si>
  <si>
    <t xml:space="preserve">fuel(2.99)</t>
  </si>
  <si>
    <t xml:space="preserve">fuel(4.29)</t>
  </si>
  <si>
    <t xml:space="preserve">fuel(5.06)</t>
  </si>
  <si>
    <t xml:space="preserve">fuel(5.97)</t>
  </si>
  <si>
    <t xml:space="preserve">fuel(6.67)</t>
  </si>
  <si>
    <t xml:space="preserve">fuel(3.58)</t>
  </si>
  <si>
    <t xml:space="preserve">fuel(1.01)</t>
  </si>
  <si>
    <t xml:space="preserve">fuel(1.92)</t>
  </si>
  <si>
    <t xml:space="preserve">fuel(1.17)</t>
  </si>
  <si>
    <t xml:space="preserve">fuel(1.86)</t>
  </si>
  <si>
    <t xml:space="preserve">fuel(1.27%)</t>
  </si>
  <si>
    <t xml:space="preserve">fuel(0.85)</t>
  </si>
  <si>
    <t xml:space="preserve">fuel(1.07)</t>
  </si>
  <si>
    <t xml:space="preserve">Storage GSS Sheet 27</t>
  </si>
  <si>
    <t xml:space="preserve">Injection</t>
  </si>
  <si>
    <t xml:space="preserve">Index</t>
  </si>
  <si>
    <t xml:space="preserve">Z6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</si>
  <si>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</si>
  <si>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</si>
  <si>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</si>
  <si>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</si>
  <si>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</si>
  <si>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</si>
  <si>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</si>
  <si>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</si>
  <si>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</si>
  <si>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</si>
  <si>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</si>
  <si>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</si>
  <si>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</si>
  <si>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</si>
  <si>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</si>
  <si>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</si>
  <si>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</si>
  <si>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</si>
  <si>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</si>
  <si>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</si>
  <si>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</si>
  <si>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</si>
  <si>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</si>
  <si>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</si>
  <si>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</si>
  <si>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Commodity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</si>
  <si>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</si>
  <si>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</si>
  <si>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</si>
  <si>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</si>
  <si>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</si>
  <si>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</si>
  <si>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</si>
  <si>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</si>
  <si>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</si>
  <si>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</si>
  <si>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</si>
  <si>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</si>
  <si>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</si>
  <si>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</si>
  <si>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</si>
  <si>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</si>
  <si>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</si>
  <si>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</si>
  <si>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</si>
  <si>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</si>
  <si>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</si>
  <si>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</si>
  <si>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</si>
  <si>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</si>
  <si>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</si>
  <si>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</si>
  <si>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</si>
  <si>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</si>
  <si>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</si>
  <si>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</si>
  <si>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</si>
  <si>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Rate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</si>
  <si>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</si>
  <si>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</si>
  <si>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</si>
  <si>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</si>
  <si>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</si>
  <si>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</si>
  <si>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</si>
  <si>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STX - ELA</t>
  </si>
  <si>
    <t xml:space="preserve">ELA BID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</si>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</sst>
</file>

<file path=xl/styles.xml><?xml version="1.0" encoding="utf-8"?>
<styleSheet xmlns="http://schemas.openxmlformats.org/spreadsheetml/2006/main">
  <numFmts count="38">
    <numFmt numFmtId="164" formatCode="General"/>
    <numFmt numFmtId="165" formatCode="[$-409]#,##0_);[RED]\(#,##0\)"/>
    <numFmt numFmtId="166" formatCode="[$-409]m/d/yyyy"/>
    <numFmt numFmtId="167" formatCode="@"/>
    <numFmt numFmtId="168" formatCode="[$-409]d\-mmm"/>
    <numFmt numFmtId="169" formatCode="#,##0.00000"/>
    <numFmt numFmtId="170" formatCode="\$#,##0.0000_);[RED]&quot;($&quot;#,##0.0000\)"/>
    <numFmt numFmtId="171" formatCode="0.000%"/>
    <numFmt numFmtId="172" formatCode="0"/>
    <numFmt numFmtId="173" formatCode="#,##0"/>
    <numFmt numFmtId="174" formatCode="_(\$* #,##0.00_);_(\$* \(#,##0.00\);_(\$* \-??_);_(@_)"/>
    <numFmt numFmtId="175" formatCode="_(\$* #,##0.000_);_(\$* \(#,##0.000\);_(\$* \-??_);_(@_)"/>
    <numFmt numFmtId="176" formatCode="0.00%"/>
    <numFmt numFmtId="177" formatCode="_(\$* #,##0_);_(\$* \(#,##0\);_(\$* \-??_);_(@_)"/>
    <numFmt numFmtId="178" formatCode="#,##0.000"/>
    <numFmt numFmtId="179" formatCode="0.0000"/>
    <numFmt numFmtId="180" formatCode="_(\$* #,##0.0000_);_(\$* \(#,##0.0000\);_(\$* \-??_);_(@_)"/>
    <numFmt numFmtId="181" formatCode="\$#,##0.00_);[RED]&quot;($&quot;#,##0.00\)"/>
    <numFmt numFmtId="182" formatCode="0.000"/>
    <numFmt numFmtId="183" formatCode="# ?/?"/>
    <numFmt numFmtId="184" formatCode="#,##0.00"/>
    <numFmt numFmtId="185" formatCode="_(* #,##0.00_);_(* \(#,##0.00\);_(* \-??_);_(@_)"/>
    <numFmt numFmtId="186" formatCode="_(* #,##0.000_);_(* \(#,##0.000\);_(* \-??_);_(@_)"/>
    <numFmt numFmtId="187" formatCode="_(* #,##0_);_(* \(#,##0\);_(* \-??_);_(@_)"/>
    <numFmt numFmtId="188" formatCode="_(* #,##0.0000_);_(* \(#,##0.0000\);_(* \-??_);_(@_)"/>
    <numFmt numFmtId="189" formatCode="[$-409]d\-mmm\-yy"/>
    <numFmt numFmtId="190" formatCode="\$#,##0.000"/>
    <numFmt numFmtId="191" formatCode="\$#,##0.0000_);&quot;($&quot;#,##0.0000\)"/>
    <numFmt numFmtId="192" formatCode="\$#,##0.00_);&quot;($&quot;#,##0.00\)"/>
    <numFmt numFmtId="193" formatCode="\$#,##0.000_);[RED]&quot;($&quot;#,##0.000\)"/>
    <numFmt numFmtId="194" formatCode="0%"/>
    <numFmt numFmtId="195" formatCode="0.0000%"/>
    <numFmt numFmtId="196" formatCode="0.00000"/>
    <numFmt numFmtId="197" formatCode="[$-409]mmm\-yy"/>
    <numFmt numFmtId="198" formatCode="\$#,##0.00000_);[RED]&quot;($&quot;#,##0.00000\)"/>
    <numFmt numFmtId="199" formatCode="0.00"/>
    <numFmt numFmtId="200" formatCode="_(\$* #,##0.00000_);_(\$* \(#,##0.00000\);_(\$* \-??_);_(@_)"/>
    <numFmt numFmtId="201" formatCode="\$#,##0.000_);&quot;($&quot;#,##0.00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u val="single"/>
      <sz val="8"/>
      <name val="Arial"/>
      <family val="2"/>
    </font>
    <font>
      <sz val="8"/>
      <color rgb="FF000000"/>
      <name val="Arial"/>
      <family val="2"/>
    </font>
    <font>
      <b val="true"/>
      <u val="single"/>
      <sz val="8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name val="Arial"/>
      <family val="0"/>
    </font>
    <font>
      <b val="true"/>
      <sz val="10"/>
      <color rgb="FF00800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u val="single"/>
      <sz val="10"/>
      <name val="Arial"/>
      <family val="0"/>
    </font>
    <font>
      <b val="true"/>
      <sz val="9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69FFFF"/>
        <bgColor rgb="FFA6CAF0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A6CAF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94" fontId="0" fillId="0" borderId="0" applyFont="true" applyBorder="false" applyAlignment="false" applyProtection="false"/>
  </cellStyleXfs>
  <cellXfs count="5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7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4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4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2" fontId="13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2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2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7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7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2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1" fontId="2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CCC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99"/>
    <col collapsed="false" customWidth="true" hidden="false" outlineLevel="0" max="3" min="3" style="2" width="17.14"/>
    <col collapsed="false" customWidth="true" hidden="false" outlineLevel="0" max="4" min="4" style="3" width="14.41"/>
    <col collapsed="false" customWidth="true" hidden="false" outlineLevel="0" max="5" min="5" style="3" width="3.7"/>
    <col collapsed="false" customWidth="true" hidden="false" outlineLevel="0" max="6" min="6" style="1" width="11.28"/>
    <col collapsed="false" customWidth="true" hidden="false" outlineLevel="0" max="7" min="7" style="4" width="15.56"/>
    <col collapsed="false" customWidth="true" hidden="false" outlineLevel="0" max="8" min="8" style="4" width="13.99"/>
    <col collapsed="false" customWidth="false" hidden="false" outlineLevel="0" max="9" min="9" style="1" width="9.14"/>
    <col collapsed="false" customWidth="true" hidden="false" outlineLevel="0" max="10" min="10" style="1" width="13.7"/>
    <col collapsed="false" customWidth="false" hidden="false" outlineLevel="0" max="11" min="11" style="1" width="9.14"/>
    <col collapsed="false" customWidth="true" hidden="false" outlineLevel="0" max="12" min="12" style="1" width="12.42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5" t="s">
        <v>0</v>
      </c>
      <c r="D1" s="2"/>
      <c r="E1" s="2"/>
      <c r="F1" s="6"/>
      <c r="G1" s="5"/>
      <c r="H1" s="5"/>
      <c r="I1" s="7"/>
      <c r="J1" s="8"/>
    </row>
    <row r="2" customFormat="false" ht="12.75" hidden="false" customHeight="false" outlineLevel="0" collapsed="false">
      <c r="A2" s="5"/>
      <c r="D2" s="9"/>
      <c r="E2" s="9"/>
      <c r="F2" s="6"/>
      <c r="G2" s="5"/>
      <c r="H2" s="5"/>
      <c r="I2" s="7"/>
      <c r="J2" s="8"/>
    </row>
    <row r="3" customFormat="false" ht="12.75" hidden="false" customHeight="false" outlineLevel="0" collapsed="false">
      <c r="A3" s="5"/>
      <c r="D3" s="9"/>
      <c r="E3" s="9"/>
      <c r="F3" s="6"/>
      <c r="G3" s="5" t="s">
        <v>1</v>
      </c>
      <c r="H3" s="5" t="s">
        <v>1</v>
      </c>
      <c r="I3" s="7"/>
      <c r="J3" s="8"/>
    </row>
    <row r="4" customFormat="false" ht="12.75" hidden="false" customHeight="false" outlineLevel="0" collapsed="false">
      <c r="A4" s="7"/>
      <c r="D4" s="2"/>
      <c r="E4" s="2"/>
      <c r="F4" s="6"/>
      <c r="G4" s="10"/>
      <c r="H4" s="5"/>
      <c r="I4" s="7"/>
      <c r="J4" s="8"/>
    </row>
    <row r="5" customFormat="false" ht="12.75" hidden="false" customHeight="false" outlineLevel="0" collapsed="false">
      <c r="A5" s="11" t="s">
        <v>2</v>
      </c>
      <c r="B5" s="12" t="s">
        <v>3</v>
      </c>
      <c r="C5" s="12" t="s">
        <v>4</v>
      </c>
      <c r="D5" s="12" t="s">
        <v>5</v>
      </c>
      <c r="E5" s="12"/>
      <c r="F5" s="13" t="s">
        <v>6</v>
      </c>
      <c r="G5" s="14" t="s">
        <v>7</v>
      </c>
      <c r="H5" s="14" t="s">
        <v>8</v>
      </c>
      <c r="I5" s="11" t="s">
        <v>6</v>
      </c>
      <c r="J5" s="14" t="s">
        <v>9</v>
      </c>
    </row>
    <row r="6" customFormat="false" ht="12.75" hidden="false" customHeight="false" outlineLevel="0" collapsed="false">
      <c r="A6" s="7" t="s">
        <v>10</v>
      </c>
      <c r="B6" s="2" t="n">
        <v>0.3051</v>
      </c>
      <c r="C6" s="2" t="n">
        <v>77177</v>
      </c>
      <c r="D6" s="2" t="s">
        <v>11</v>
      </c>
      <c r="E6" s="2"/>
      <c r="F6" s="6"/>
      <c r="G6" s="5" t="s">
        <v>12</v>
      </c>
      <c r="H6" s="5" t="s">
        <v>12</v>
      </c>
      <c r="I6" s="7" t="s">
        <v>13</v>
      </c>
      <c r="J6" s="5" t="s">
        <v>14</v>
      </c>
    </row>
    <row r="7" customFormat="false" ht="12.75" hidden="false" customHeight="false" outlineLevel="0" collapsed="false">
      <c r="A7" s="7" t="s">
        <v>10</v>
      </c>
      <c r="B7" s="2" t="n">
        <v>0.4983</v>
      </c>
      <c r="C7" s="2" t="n">
        <v>77169</v>
      </c>
      <c r="D7" s="2" t="s">
        <v>11</v>
      </c>
      <c r="E7" s="2"/>
      <c r="F7" s="6"/>
      <c r="G7" s="5" t="s">
        <v>12</v>
      </c>
      <c r="H7" s="5" t="s">
        <v>12</v>
      </c>
      <c r="I7" s="7" t="s">
        <v>13</v>
      </c>
      <c r="J7" s="5" t="s">
        <v>15</v>
      </c>
    </row>
    <row r="8" customFormat="false" ht="12.75" hidden="false" customHeight="false" outlineLevel="0" collapsed="false">
      <c r="A8" s="7" t="s">
        <v>10</v>
      </c>
      <c r="B8" s="2" t="n">
        <v>0.2999</v>
      </c>
      <c r="D8" s="2" t="s">
        <v>11</v>
      </c>
      <c r="E8" s="2"/>
      <c r="F8" s="6"/>
      <c r="G8" s="5" t="s">
        <v>12</v>
      </c>
      <c r="H8" s="5" t="s">
        <v>12</v>
      </c>
      <c r="I8" s="7" t="s">
        <v>13</v>
      </c>
      <c r="J8" s="5" t="s">
        <v>15</v>
      </c>
    </row>
    <row r="9" customFormat="false" ht="12.75" hidden="false" customHeight="false" outlineLevel="0" collapsed="false">
      <c r="A9" s="7" t="s">
        <v>10</v>
      </c>
      <c r="B9" s="2" t="n">
        <v>0.2774</v>
      </c>
      <c r="C9" s="2" t="n">
        <v>77175</v>
      </c>
      <c r="D9" s="2" t="s">
        <v>11</v>
      </c>
      <c r="E9" s="2"/>
      <c r="F9" s="6"/>
      <c r="G9" s="5" t="s">
        <v>12</v>
      </c>
      <c r="H9" s="5" t="s">
        <v>12</v>
      </c>
      <c r="I9" s="7" t="s">
        <v>13</v>
      </c>
      <c r="J9" s="5" t="s">
        <v>15</v>
      </c>
    </row>
    <row r="10" customFormat="false" ht="12.75" hidden="false" customHeight="false" outlineLevel="0" collapsed="false">
      <c r="A10" s="7" t="s">
        <v>10</v>
      </c>
      <c r="B10" s="2" t="n">
        <v>0.7537</v>
      </c>
      <c r="C10" s="2" t="n">
        <v>82420</v>
      </c>
      <c r="D10" s="2" t="s">
        <v>16</v>
      </c>
      <c r="E10" s="2"/>
      <c r="F10" s="6"/>
      <c r="G10" s="5" t="s">
        <v>12</v>
      </c>
      <c r="H10" s="5" t="s">
        <v>12</v>
      </c>
      <c r="I10" s="7" t="s">
        <v>13</v>
      </c>
      <c r="J10" s="5" t="s">
        <v>17</v>
      </c>
    </row>
    <row r="11" customFormat="false" ht="12.75" hidden="false" customHeight="false" outlineLevel="0" collapsed="false">
      <c r="A11" s="7" t="s">
        <v>10</v>
      </c>
      <c r="B11" s="2" t="n">
        <v>3.073</v>
      </c>
      <c r="C11" s="2" t="n">
        <v>96503</v>
      </c>
      <c r="D11" s="2" t="s">
        <v>18</v>
      </c>
      <c r="E11" s="2"/>
      <c r="F11" s="6"/>
      <c r="G11" s="5" t="s">
        <v>12</v>
      </c>
      <c r="H11" s="5" t="s">
        <v>12</v>
      </c>
      <c r="I11" s="7" t="s">
        <v>13</v>
      </c>
      <c r="J11" s="5" t="s">
        <v>19</v>
      </c>
    </row>
    <row r="12" customFormat="false" ht="12.75" hidden="false" customHeight="false" outlineLevel="0" collapsed="false">
      <c r="A12" s="7" t="s">
        <v>10</v>
      </c>
      <c r="B12" s="2" t="n">
        <v>1.8793</v>
      </c>
      <c r="C12" s="2" t="n">
        <v>104783</v>
      </c>
      <c r="D12" s="2" t="s">
        <v>20</v>
      </c>
      <c r="E12" s="2"/>
      <c r="F12" s="6"/>
      <c r="G12" s="5" t="s">
        <v>12</v>
      </c>
      <c r="H12" s="5" t="s">
        <v>12</v>
      </c>
      <c r="I12" s="7" t="s">
        <v>13</v>
      </c>
      <c r="J12" s="5" t="s">
        <v>21</v>
      </c>
    </row>
    <row r="13" customFormat="false" ht="12.75" hidden="false" customHeight="false" outlineLevel="0" collapsed="false">
      <c r="A13" s="7" t="s">
        <v>10</v>
      </c>
      <c r="B13" s="2" t="n">
        <v>0.9047</v>
      </c>
      <c r="C13" s="2" t="n">
        <v>168466</v>
      </c>
      <c r="D13" s="2" t="s">
        <v>22</v>
      </c>
      <c r="E13" s="2"/>
      <c r="F13" s="6"/>
      <c r="G13" s="5" t="s">
        <v>12</v>
      </c>
      <c r="H13" s="5" t="s">
        <v>12</v>
      </c>
      <c r="I13" s="7" t="s">
        <v>13</v>
      </c>
      <c r="J13" s="5" t="s">
        <v>23</v>
      </c>
    </row>
    <row r="15" customFormat="false" ht="12.75" hidden="false" customHeight="false" outlineLevel="0" collapsed="false">
      <c r="A15" s="1" t="s">
        <v>24</v>
      </c>
      <c r="B15" s="2" t="s">
        <v>25</v>
      </c>
    </row>
    <row r="17" customFormat="false" ht="12.75" hidden="false" customHeight="false" outlineLevel="0" collapsed="false">
      <c r="A17" s="1" t="s">
        <v>26</v>
      </c>
      <c r="B17" s="2" t="n">
        <v>2891</v>
      </c>
      <c r="D17" s="3" t="s">
        <v>11</v>
      </c>
      <c r="G17" s="4" t="s">
        <v>12</v>
      </c>
      <c r="H17" s="4" t="s">
        <v>12</v>
      </c>
    </row>
    <row r="18" customFormat="false" ht="12.75" hidden="false" customHeight="false" outlineLevel="0" collapsed="false">
      <c r="A18" s="1" t="s">
        <v>26</v>
      </c>
      <c r="B18" s="2" t="n">
        <v>80045</v>
      </c>
      <c r="D18" s="3" t="s">
        <v>13</v>
      </c>
    </row>
    <row r="20" customFormat="false" ht="12.75" hidden="false" customHeight="false" outlineLevel="0" collapsed="false">
      <c r="A20" s="1" t="s">
        <v>27</v>
      </c>
      <c r="B20" s="2" t="s">
        <v>28</v>
      </c>
      <c r="C20" s="2" t="n">
        <v>98243</v>
      </c>
      <c r="D20" s="3" t="s">
        <v>29</v>
      </c>
      <c r="G20" s="4" t="s">
        <v>12</v>
      </c>
      <c r="H20" s="4" t="s">
        <v>12</v>
      </c>
      <c r="J20" s="1" t="s">
        <v>30</v>
      </c>
    </row>
    <row r="21" customFormat="false" ht="12.75" hidden="false" customHeight="false" outlineLevel="0" collapsed="false">
      <c r="A21" s="1" t="s">
        <v>27</v>
      </c>
      <c r="B21" s="2" t="s">
        <v>28</v>
      </c>
      <c r="C21" s="2" t="n">
        <v>98567</v>
      </c>
      <c r="D21" s="3" t="s">
        <v>31</v>
      </c>
      <c r="G21" s="4" t="s">
        <v>12</v>
      </c>
      <c r="H21" s="4" t="s">
        <v>12</v>
      </c>
      <c r="J21" s="1" t="s">
        <v>32</v>
      </c>
    </row>
    <row r="22" customFormat="false" ht="12.75" hidden="false" customHeight="false" outlineLevel="0" collapsed="false">
      <c r="A22" s="1" t="s">
        <v>27</v>
      </c>
      <c r="B22" s="2" t="n">
        <v>600228</v>
      </c>
      <c r="C22" s="2" t="n">
        <v>77009</v>
      </c>
      <c r="D22" s="3" t="s">
        <v>33</v>
      </c>
      <c r="G22" s="4" t="s">
        <v>12</v>
      </c>
      <c r="H22" s="4" t="s">
        <v>12</v>
      </c>
      <c r="J22" s="1" t="s">
        <v>34</v>
      </c>
    </row>
    <row r="24" customFormat="false" ht="12.75" hidden="false" customHeight="false" outlineLevel="0" collapsed="false">
      <c r="A24" s="1" t="s">
        <v>35</v>
      </c>
      <c r="B24" s="2" t="s">
        <v>36</v>
      </c>
      <c r="C24" s="2" t="n">
        <v>168569</v>
      </c>
      <c r="D24" s="3" t="s">
        <v>37</v>
      </c>
      <c r="G24" s="4" t="s">
        <v>12</v>
      </c>
      <c r="H24" s="4" t="s">
        <v>12</v>
      </c>
      <c r="J24" s="1" t="s">
        <v>38</v>
      </c>
    </row>
    <row r="26" customFormat="false" ht="12.75" hidden="false" customHeight="false" outlineLevel="0" collapsed="false">
      <c r="A26" s="1" t="s">
        <v>39</v>
      </c>
      <c r="B26" s="2" t="n">
        <v>9310010</v>
      </c>
      <c r="D26" s="3" t="s">
        <v>40</v>
      </c>
    </row>
    <row r="28" customFormat="false" ht="12.75" hidden="false" customHeight="false" outlineLevel="0" collapsed="false">
      <c r="A28" s="1" t="s">
        <v>41</v>
      </c>
      <c r="B28" s="2" t="n">
        <v>38641</v>
      </c>
      <c r="C28" s="2" t="n">
        <v>93039</v>
      </c>
      <c r="D28" s="3" t="s">
        <v>42</v>
      </c>
      <c r="J28" s="1" t="s">
        <v>43</v>
      </c>
    </row>
    <row r="29" customFormat="false" ht="12.75" hidden="false" customHeight="false" outlineLevel="0" collapsed="false">
      <c r="A29" s="1" t="s">
        <v>41</v>
      </c>
      <c r="B29" s="2" t="n">
        <v>37556</v>
      </c>
      <c r="C29" s="2" t="n">
        <v>93037</v>
      </c>
      <c r="D29" s="3" t="s">
        <v>44</v>
      </c>
      <c r="J29" s="1" t="s">
        <v>45</v>
      </c>
    </row>
    <row r="30" customFormat="false" ht="12.75" hidden="false" customHeight="false" outlineLevel="0" collapsed="false">
      <c r="A30" s="1" t="s">
        <v>41</v>
      </c>
      <c r="B30" s="2" t="n">
        <v>39229</v>
      </c>
      <c r="C30" s="2" t="n">
        <v>93030</v>
      </c>
      <c r="D30" s="3" t="s">
        <v>46</v>
      </c>
      <c r="J30" s="1" t="s">
        <v>47</v>
      </c>
    </row>
    <row r="33" customFormat="false" ht="12.75" hidden="false" customHeight="false" outlineLevel="0" collapsed="false">
      <c r="A33" s="1" t="s">
        <v>48</v>
      </c>
      <c r="B33" s="2" t="n">
        <v>40998</v>
      </c>
      <c r="D33" s="3" t="s">
        <v>11</v>
      </c>
    </row>
    <row r="34" customFormat="false" ht="12.75" hidden="false" customHeight="false" outlineLevel="0" collapsed="false">
      <c r="A34" s="1" t="s">
        <v>48</v>
      </c>
      <c r="B34" s="2" t="n">
        <v>38021</v>
      </c>
      <c r="C34" s="2" t="n">
        <v>166118</v>
      </c>
      <c r="D34" s="3" t="s">
        <v>49</v>
      </c>
      <c r="G34" s="4" t="s">
        <v>12</v>
      </c>
      <c r="H34" s="4" t="s">
        <v>12</v>
      </c>
      <c r="J34" s="1" t="s">
        <v>38</v>
      </c>
    </row>
    <row r="36" customFormat="false" ht="12.75" hidden="false" customHeight="false" outlineLevel="0" collapsed="false">
      <c r="A36" s="1" t="s">
        <v>50</v>
      </c>
      <c r="B36" s="2" t="s">
        <v>51</v>
      </c>
      <c r="C36" s="2" t="n">
        <v>102637</v>
      </c>
      <c r="D36" s="3" t="s">
        <v>52</v>
      </c>
      <c r="F36" s="1" t="n">
        <v>60000</v>
      </c>
      <c r="J36" s="1" t="s">
        <v>53</v>
      </c>
    </row>
    <row r="37" customFormat="false" ht="12.75" hidden="false" customHeight="false" outlineLevel="0" collapsed="false">
      <c r="A37" s="1" t="s">
        <v>50</v>
      </c>
      <c r="B37" s="2" t="s">
        <v>54</v>
      </c>
      <c r="C37" s="2" t="n">
        <v>549343</v>
      </c>
    </row>
    <row r="38" customFormat="false" ht="12.75" hidden="false" customHeight="false" outlineLevel="0" collapsed="false">
      <c r="A38" s="1" t="s">
        <v>50</v>
      </c>
      <c r="B38" s="2" t="s">
        <v>55</v>
      </c>
      <c r="C38" s="2" t="n">
        <v>549352</v>
      </c>
    </row>
    <row r="39" customFormat="false" ht="12.75" hidden="false" customHeight="false" outlineLevel="0" collapsed="false">
      <c r="A39" s="1" t="s">
        <v>50</v>
      </c>
      <c r="B39" s="2" t="s">
        <v>56</v>
      </c>
      <c r="C39" s="2" t="n">
        <v>549353</v>
      </c>
    </row>
    <row r="40" customFormat="false" ht="12.75" hidden="false" customHeight="false" outlineLevel="0" collapsed="false">
      <c r="A40" s="1" t="s">
        <v>50</v>
      </c>
      <c r="B40" s="2" t="s">
        <v>57</v>
      </c>
      <c r="C40" s="2" t="n">
        <v>549354</v>
      </c>
    </row>
    <row r="43" customFormat="false" ht="12.75" hidden="false" customHeight="false" outlineLevel="0" collapsed="false">
      <c r="A43" s="1" t="s">
        <v>58</v>
      </c>
      <c r="B43" s="2" t="s">
        <v>59</v>
      </c>
      <c r="C43" s="2" t="n">
        <v>104749</v>
      </c>
      <c r="D43" s="3" t="s">
        <v>60</v>
      </c>
      <c r="G43" s="4" t="s">
        <v>61</v>
      </c>
      <c r="J43" s="1" t="s">
        <v>62</v>
      </c>
    </row>
    <row r="44" customFormat="false" ht="12.75" hidden="false" customHeight="false" outlineLevel="0" collapsed="false">
      <c r="A44" s="1" t="s">
        <v>58</v>
      </c>
      <c r="B44" s="2" t="s">
        <v>63</v>
      </c>
      <c r="C44" s="2" t="n">
        <v>82026</v>
      </c>
      <c r="D44" s="3" t="s">
        <v>11</v>
      </c>
      <c r="G44" s="4" t="s">
        <v>12</v>
      </c>
      <c r="H44" s="4" t="s">
        <v>12</v>
      </c>
    </row>
    <row r="45" customFormat="false" ht="12.75" hidden="false" customHeight="false" outlineLevel="0" collapsed="false">
      <c r="A45" s="1" t="s">
        <v>58</v>
      </c>
      <c r="B45" s="2" t="s">
        <v>64</v>
      </c>
      <c r="C45" s="2" t="n">
        <v>312407</v>
      </c>
      <c r="D45" s="3" t="s">
        <v>65</v>
      </c>
      <c r="G45" s="4" t="s">
        <v>12</v>
      </c>
      <c r="H45" s="4" t="s">
        <v>12</v>
      </c>
      <c r="J45" s="1" t="s">
        <v>66</v>
      </c>
    </row>
    <row r="46" customFormat="false" ht="12.75" hidden="false" customHeight="false" outlineLevel="0" collapsed="false">
      <c r="A46" s="1" t="s">
        <v>58</v>
      </c>
      <c r="B46" s="2" t="s">
        <v>67</v>
      </c>
      <c r="C46" s="2" t="s">
        <v>68</v>
      </c>
      <c r="D46" s="3" t="s">
        <v>69</v>
      </c>
      <c r="G46" s="4" t="s">
        <v>12</v>
      </c>
      <c r="H46" s="4" t="s">
        <v>12</v>
      </c>
      <c r="J46" s="1" t="s">
        <v>70</v>
      </c>
    </row>
    <row r="48" customFormat="false" ht="12.75" hidden="false" customHeight="false" outlineLevel="0" collapsed="false">
      <c r="A48" s="1" t="s">
        <v>71</v>
      </c>
      <c r="B48" s="2" t="s">
        <v>72</v>
      </c>
      <c r="C48" s="2" t="n">
        <v>117510</v>
      </c>
      <c r="D48" s="3" t="s">
        <v>11</v>
      </c>
      <c r="J48" s="1" t="s">
        <v>73</v>
      </c>
    </row>
    <row r="50" customFormat="false" ht="12.75" hidden="false" customHeight="false" outlineLevel="0" collapsed="false">
      <c r="A50" s="1" t="s">
        <v>74</v>
      </c>
      <c r="B50" s="2" t="n">
        <v>15</v>
      </c>
      <c r="C50" s="2" t="n">
        <v>125711</v>
      </c>
      <c r="D50" s="3" t="s">
        <v>11</v>
      </c>
    </row>
    <row r="52" customFormat="false" ht="12.75" hidden="false" customHeight="false" outlineLevel="0" collapsed="false">
      <c r="A52" s="1" t="s">
        <v>75</v>
      </c>
      <c r="B52" s="2" t="s">
        <v>76</v>
      </c>
      <c r="C52" s="2" t="n">
        <v>124109</v>
      </c>
      <c r="D52" s="3" t="s">
        <v>77</v>
      </c>
    </row>
    <row r="53" customFormat="false" ht="12.75" hidden="false" customHeight="false" outlineLevel="0" collapsed="false">
      <c r="A53" s="1" t="s">
        <v>75</v>
      </c>
      <c r="B53" s="2" t="s">
        <v>78</v>
      </c>
      <c r="C53" s="2" t="n">
        <v>77753</v>
      </c>
      <c r="D53" s="3" t="s">
        <v>11</v>
      </c>
    </row>
    <row r="55" customFormat="false" ht="12.75" hidden="false" customHeight="false" outlineLevel="0" collapsed="false">
      <c r="A55" s="1" t="s">
        <v>79</v>
      </c>
      <c r="B55" s="2" t="s">
        <v>80</v>
      </c>
      <c r="C55" s="2" t="n">
        <v>220796</v>
      </c>
      <c r="D55" s="3" t="s">
        <v>11</v>
      </c>
      <c r="F55" s="1" t="s">
        <v>81</v>
      </c>
      <c r="J55" s="1" t="s">
        <v>82</v>
      </c>
    </row>
    <row r="58" customFormat="false" ht="12.75" hidden="false" customHeight="false" outlineLevel="0" collapsed="false">
      <c r="A58" s="15" t="s">
        <v>83</v>
      </c>
      <c r="B58" s="16" t="s">
        <v>84</v>
      </c>
      <c r="C58" s="16" t="s">
        <v>84</v>
      </c>
      <c r="D58" s="17" t="s">
        <v>81</v>
      </c>
      <c r="E58" s="17" t="s">
        <v>81</v>
      </c>
      <c r="F58" s="15" t="s">
        <v>85</v>
      </c>
      <c r="G58" s="15" t="s">
        <v>85</v>
      </c>
      <c r="H58" s="16" t="s">
        <v>11</v>
      </c>
      <c r="I58" s="18" t="n">
        <v>0</v>
      </c>
      <c r="J58" s="19" t="n">
        <v>0</v>
      </c>
      <c r="K58" s="19" t="n">
        <v>0.0022</v>
      </c>
      <c r="L58" s="19" t="n">
        <v>0.0072</v>
      </c>
      <c r="M58" s="19" t="n">
        <v>0.0131</v>
      </c>
      <c r="N58" s="20" t="n">
        <v>0</v>
      </c>
      <c r="O58" s="19" t="n">
        <f aca="false">SUM(I58:M58)</f>
        <v>0.0225</v>
      </c>
      <c r="P58" s="21" t="s">
        <v>86</v>
      </c>
      <c r="Q58" s="21" t="s">
        <v>86</v>
      </c>
      <c r="R58" s="16" t="n">
        <v>0</v>
      </c>
      <c r="S58" s="15" t="s">
        <v>87</v>
      </c>
      <c r="T58" s="22" t="n">
        <f aca="false">I58*I$1*R58</f>
        <v>0</v>
      </c>
      <c r="U58" s="22"/>
      <c r="V58" s="23"/>
      <c r="W58" s="23" t="n">
        <v>145336</v>
      </c>
      <c r="X58" s="24"/>
      <c r="Y58" s="24"/>
    </row>
    <row r="60" customFormat="false" ht="12.75" hidden="false" customHeight="false" outlineLevel="0" collapsed="false">
      <c r="A60" s="1" t="s">
        <v>88</v>
      </c>
      <c r="B60" s="2" t="s">
        <v>89</v>
      </c>
      <c r="C60" s="2" t="n">
        <v>220903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I39" activeCellId="0" sqref="I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14" min="12" style="480" width="9.14"/>
  </cols>
  <sheetData>
    <row r="1" customFormat="false" ht="12.75" hidden="false" customHeight="false" outlineLevel="0" collapsed="false">
      <c r="A1" s="481"/>
      <c r="B1" s="481"/>
      <c r="C1" s="481"/>
      <c r="D1" s="481"/>
      <c r="E1" s="481"/>
      <c r="F1" s="481"/>
      <c r="G1" s="481"/>
      <c r="H1" s="481"/>
      <c r="I1" s="481"/>
      <c r="J1" s="481"/>
    </row>
    <row r="2" customFormat="false" ht="12.75" hidden="false" customHeight="false" outlineLevel="0" collapsed="false">
      <c r="A2" s="481"/>
      <c r="B2" s="481"/>
      <c r="C2" s="481"/>
      <c r="D2" s="481"/>
      <c r="E2" s="481"/>
      <c r="F2" s="481"/>
      <c r="G2" s="481"/>
      <c r="H2" s="481"/>
      <c r="I2" s="481"/>
      <c r="J2" s="481"/>
    </row>
    <row r="3" customFormat="false" ht="12.75" hidden="false" customHeight="false" outlineLevel="0" collapsed="false">
      <c r="A3" s="481"/>
      <c r="B3" s="481"/>
      <c r="C3" s="481"/>
      <c r="D3" s="481"/>
      <c r="E3" s="481"/>
      <c r="F3" s="481"/>
      <c r="G3" s="481"/>
      <c r="H3" s="481"/>
      <c r="I3" s="481"/>
      <c r="J3" s="481"/>
    </row>
    <row r="4" customFormat="false" ht="12.75" hidden="false" customHeight="false" outlineLevel="0" collapsed="false">
      <c r="A4" s="481"/>
      <c r="B4" s="481"/>
      <c r="C4" s="481"/>
      <c r="D4" s="481"/>
      <c r="E4" s="481"/>
      <c r="F4" s="481"/>
      <c r="G4" s="481"/>
      <c r="H4" s="481"/>
      <c r="I4" s="481"/>
      <c r="J4" s="481"/>
    </row>
    <row r="5" customFormat="false" ht="12.75" hidden="false" customHeight="false" outlineLevel="0" collapsed="false">
      <c r="A5" s="481"/>
      <c r="B5" s="481"/>
      <c r="C5" s="481"/>
      <c r="D5" s="481"/>
      <c r="E5" s="481"/>
      <c r="F5" s="481"/>
      <c r="G5" s="481"/>
      <c r="H5" s="481"/>
      <c r="I5" s="481"/>
      <c r="J5" s="481"/>
    </row>
    <row r="6" customFormat="false" ht="12.75" hidden="false" customHeight="false" outlineLevel="0" collapsed="false">
      <c r="A6" s="481"/>
      <c r="B6" s="481"/>
      <c r="C6" s="481"/>
      <c r="D6" s="481"/>
      <c r="E6" s="481"/>
      <c r="F6" s="481"/>
      <c r="G6" s="481"/>
      <c r="H6" s="481"/>
      <c r="I6" s="481"/>
      <c r="J6" s="481"/>
    </row>
    <row r="7" customFormat="false" ht="12.75" hidden="false" customHeight="false" outlineLevel="0" collapsed="false">
      <c r="A7" s="481"/>
      <c r="B7" s="481"/>
      <c r="C7" s="481"/>
      <c r="D7" s="481"/>
      <c r="E7" s="481"/>
      <c r="F7" s="481"/>
      <c r="G7" s="481"/>
      <c r="H7" s="481"/>
      <c r="I7" s="481"/>
      <c r="J7" s="481"/>
    </row>
    <row r="8" customFormat="false" ht="12.75" hidden="false" customHeight="false" outlineLevel="0" collapsed="false">
      <c r="A8" s="481"/>
      <c r="B8" s="481"/>
      <c r="C8" s="481"/>
      <c r="D8" s="481"/>
      <c r="E8" s="481"/>
      <c r="F8" s="481"/>
      <c r="G8" s="481"/>
      <c r="H8" s="481"/>
      <c r="I8" s="481"/>
      <c r="J8" s="481"/>
    </row>
    <row r="9" customFormat="false" ht="12.75" hidden="false" customHeight="false" outlineLevel="0" collapsed="false">
      <c r="A9" s="481"/>
      <c r="B9" s="481" t="s">
        <v>27</v>
      </c>
      <c r="C9" s="481"/>
      <c r="D9" s="481"/>
      <c r="E9" s="481"/>
      <c r="F9" s="481"/>
      <c r="G9" s="481"/>
      <c r="H9" s="481"/>
      <c r="I9" s="481"/>
      <c r="J9" s="481"/>
    </row>
    <row r="10" customFormat="false" ht="12.75" hidden="false" customHeight="false" outlineLevel="0" collapsed="false">
      <c r="A10" s="481"/>
      <c r="B10" s="481"/>
      <c r="C10" s="481"/>
      <c r="D10" s="481"/>
      <c r="E10" s="481" t="s">
        <v>788</v>
      </c>
      <c r="F10" s="481" t="s">
        <v>789</v>
      </c>
      <c r="G10" s="481"/>
      <c r="H10" s="481" t="s">
        <v>789</v>
      </c>
      <c r="I10" s="481"/>
      <c r="J10" s="481"/>
    </row>
    <row r="11" customFormat="false" ht="12.75" hidden="false" customHeight="false" outlineLevel="0" collapsed="false">
      <c r="A11" s="481"/>
      <c r="B11" s="482" t="s">
        <v>790</v>
      </c>
      <c r="C11" s="482" t="s">
        <v>791</v>
      </c>
      <c r="D11" s="482" t="s">
        <v>792</v>
      </c>
      <c r="E11" s="482" t="s">
        <v>793</v>
      </c>
      <c r="F11" s="482" t="s">
        <v>794</v>
      </c>
      <c r="G11" s="482" t="s">
        <v>795</v>
      </c>
      <c r="H11" s="482" t="s">
        <v>795</v>
      </c>
      <c r="I11" s="482" t="s">
        <v>796</v>
      </c>
      <c r="J11" s="481"/>
    </row>
    <row r="12" customFormat="false" ht="12.75" hidden="false" customHeight="false" outlineLevel="0" collapsed="false">
      <c r="A12" s="481"/>
      <c r="B12" s="483" t="s">
        <v>797</v>
      </c>
      <c r="C12" s="484" t="n">
        <v>5000</v>
      </c>
      <c r="D12" s="485" t="n">
        <f aca="false">+C12/C17</f>
        <v>0.333333333333333</v>
      </c>
      <c r="E12" s="485" t="n">
        <f aca="false">+'Offseason Rate'!E42</f>
        <v>0.661772023341937</v>
      </c>
      <c r="F12" s="485" t="n">
        <f aca="false">+D12*E12</f>
        <v>0.220590674447312</v>
      </c>
      <c r="G12" s="485" t="n">
        <v>-0.0825</v>
      </c>
      <c r="H12" s="485" t="n">
        <f aca="false">+G12*D12</f>
        <v>-0.0275</v>
      </c>
      <c r="I12" s="485" t="n">
        <f aca="false">+F12+H12</f>
        <v>0.193090674447312</v>
      </c>
      <c r="J12" s="481"/>
    </row>
    <row r="13" customFormat="false" ht="12.75" hidden="false" customHeight="false" outlineLevel="0" collapsed="false">
      <c r="A13" s="481"/>
      <c r="B13" s="483" t="s">
        <v>798</v>
      </c>
      <c r="C13" s="484" t="n">
        <v>5000</v>
      </c>
      <c r="D13" s="485" t="n">
        <f aca="false">+C13/C17</f>
        <v>0.333333333333333</v>
      </c>
      <c r="E13" s="485" t="n">
        <f aca="false">+'Offseason Rate'!E67</f>
        <v>0.597549584487535</v>
      </c>
      <c r="F13" s="485" t="n">
        <f aca="false">+D13*E13</f>
        <v>0.199183194829178</v>
      </c>
      <c r="G13" s="485" t="n">
        <v>-0.0575</v>
      </c>
      <c r="H13" s="485" t="n">
        <f aca="false">+G13*D13</f>
        <v>-0.0191666666666667</v>
      </c>
      <c r="I13" s="485" t="n">
        <f aca="false">+F13+H13</f>
        <v>0.180016528162512</v>
      </c>
      <c r="J13" s="481"/>
    </row>
    <row r="14" customFormat="false" ht="12.75" hidden="false" customHeight="false" outlineLevel="0" collapsed="false">
      <c r="A14" s="481"/>
      <c r="B14" s="483" t="s">
        <v>799</v>
      </c>
      <c r="C14" s="484" t="n">
        <v>5000</v>
      </c>
      <c r="D14" s="485" t="n">
        <f aca="false">+C14/C17</f>
        <v>0.333333333333333</v>
      </c>
      <c r="E14" s="485" t="n">
        <f aca="false">+'Offseason Rate'!E107</f>
        <v>0.57078554429264</v>
      </c>
      <c r="F14" s="485" t="n">
        <f aca="false">+D14*E14</f>
        <v>0.190261848097547</v>
      </c>
      <c r="G14" s="485" t="n">
        <v>-0.045</v>
      </c>
      <c r="H14" s="485" t="n">
        <f aca="false">+G14*D14</f>
        <v>-0.015</v>
      </c>
      <c r="I14" s="485" t="n">
        <f aca="false">+F14+H14</f>
        <v>0.175261848097547</v>
      </c>
      <c r="J14" s="481"/>
    </row>
    <row r="15" customFormat="false" ht="12.75" hidden="false" customHeight="false" outlineLevel="0" collapsed="false">
      <c r="A15" s="481"/>
      <c r="B15" s="483" t="s">
        <v>800</v>
      </c>
      <c r="C15" s="484" t="n">
        <v>0</v>
      </c>
      <c r="D15" s="485" t="n">
        <f aca="false">+C15/C17</f>
        <v>0</v>
      </c>
      <c r="E15" s="485" t="n">
        <f aca="false">+'Offseason Rate'!E122</f>
        <v>0.275923985437413</v>
      </c>
      <c r="F15" s="485" t="n">
        <f aca="false">+D15*E15</f>
        <v>0</v>
      </c>
      <c r="G15" s="485" t="n">
        <v>0</v>
      </c>
      <c r="H15" s="485" t="n">
        <f aca="false">+G15*D15</f>
        <v>0</v>
      </c>
      <c r="I15" s="485" t="n">
        <f aca="false">+F15+H15</f>
        <v>0</v>
      </c>
      <c r="J15" s="481"/>
    </row>
    <row r="16" customFormat="false" ht="12.75" hidden="false" customHeight="false" outlineLevel="0" collapsed="false">
      <c r="A16" s="481"/>
      <c r="B16" s="483" t="s">
        <v>801</v>
      </c>
      <c r="C16" s="486" t="n">
        <v>0</v>
      </c>
      <c r="D16" s="487" t="n">
        <f aca="false">+C16/C17</f>
        <v>0</v>
      </c>
      <c r="E16" s="485" t="n">
        <f aca="false">+'Offseason Rate'!E107</f>
        <v>0.57078554429264</v>
      </c>
      <c r="F16" s="487" t="n">
        <f aca="false">+D16*E16</f>
        <v>0</v>
      </c>
      <c r="G16" s="485" t="n">
        <v>0</v>
      </c>
      <c r="H16" s="485" t="n">
        <f aca="false">+G16*D16</f>
        <v>0</v>
      </c>
      <c r="I16" s="487" t="n">
        <f aca="false">+F16+H16</f>
        <v>0</v>
      </c>
      <c r="J16" s="481"/>
    </row>
    <row r="17" customFormat="false" ht="12.75" hidden="false" customHeight="false" outlineLevel="0" collapsed="false">
      <c r="A17" s="481"/>
      <c r="B17" s="481"/>
      <c r="C17" s="484" t="n">
        <f aca="false">SUM(C12:C16)</f>
        <v>15000</v>
      </c>
      <c r="D17" s="485" t="n">
        <f aca="false">SUM(D12:D16)</f>
        <v>1</v>
      </c>
      <c r="E17" s="481"/>
      <c r="F17" s="485" t="n">
        <f aca="false">SUM(F12:F16)</f>
        <v>0.610035717374037</v>
      </c>
      <c r="G17" s="481"/>
      <c r="H17" s="481"/>
      <c r="I17" s="488" t="n">
        <f aca="false">SUM(I12:I16)</f>
        <v>0.54836905070737</v>
      </c>
      <c r="J17" s="481"/>
    </row>
    <row r="18" customFormat="false" ht="12.75" hidden="false" customHeight="false" outlineLevel="0" collapsed="false">
      <c r="A18" s="481"/>
      <c r="B18" s="481"/>
      <c r="C18" s="481"/>
      <c r="D18" s="481"/>
      <c r="E18" s="481"/>
      <c r="F18" s="481"/>
      <c r="G18" s="481"/>
      <c r="H18" s="481" t="s">
        <v>802</v>
      </c>
      <c r="I18" s="489" t="n">
        <v>0.215</v>
      </c>
      <c r="J18" s="481"/>
    </row>
    <row r="19" customFormat="false" ht="13.5" hidden="false" customHeight="false" outlineLevel="0" collapsed="false">
      <c r="A19" s="481"/>
      <c r="B19" s="481"/>
      <c r="C19" s="481"/>
      <c r="D19" s="481"/>
      <c r="E19" s="481"/>
      <c r="F19" s="481"/>
      <c r="G19" s="481"/>
      <c r="H19" s="490" t="s">
        <v>803</v>
      </c>
      <c r="I19" s="491" t="n">
        <f aca="false">+I18-I17</f>
        <v>-0.33336905070737</v>
      </c>
      <c r="J19" s="481"/>
    </row>
    <row r="20" customFormat="false" ht="13.5" hidden="false" customHeight="false" outlineLevel="0" collapsed="false">
      <c r="A20" s="481"/>
      <c r="B20" s="481"/>
      <c r="C20" s="481"/>
      <c r="D20" s="481"/>
      <c r="E20" s="481"/>
      <c r="F20" s="481"/>
      <c r="G20" s="481"/>
      <c r="H20" s="481"/>
      <c r="I20" s="485"/>
      <c r="J20" s="481"/>
    </row>
    <row r="21" customFormat="false" ht="12.75" hidden="false" customHeight="false" outlineLevel="0" collapsed="false">
      <c r="A21" s="481"/>
      <c r="B21" s="481"/>
      <c r="C21" s="481"/>
      <c r="D21" s="481"/>
      <c r="E21" s="481"/>
      <c r="F21" s="481"/>
      <c r="G21" s="481"/>
      <c r="H21" s="481"/>
      <c r="I21" s="481"/>
      <c r="J21" s="481"/>
    </row>
    <row r="22" customFormat="false" ht="12.75" hidden="false" customHeight="false" outlineLevel="0" collapsed="false">
      <c r="A22" s="481"/>
      <c r="B22" s="481"/>
      <c r="C22" s="481"/>
      <c r="D22" s="481"/>
      <c r="E22" s="481"/>
      <c r="F22" s="481"/>
      <c r="G22" s="481"/>
      <c r="H22" s="481"/>
      <c r="I22" s="481"/>
      <c r="J22" s="481"/>
    </row>
    <row r="23" customFormat="false" ht="12.75" hidden="false" customHeight="false" outlineLevel="0" collapsed="false">
      <c r="A23" s="481"/>
      <c r="B23" s="481"/>
      <c r="C23" s="481"/>
      <c r="D23" s="481"/>
      <c r="E23" s="481"/>
      <c r="F23" s="481" t="s">
        <v>789</v>
      </c>
      <c r="G23" s="481"/>
      <c r="H23" s="481" t="s">
        <v>789</v>
      </c>
      <c r="I23" s="481"/>
      <c r="J23" s="481"/>
    </row>
    <row r="24" customFormat="false" ht="12.75" hidden="false" customHeight="false" outlineLevel="0" collapsed="false">
      <c r="A24" s="481"/>
      <c r="B24" s="482" t="s">
        <v>790</v>
      </c>
      <c r="C24" s="482" t="s">
        <v>791</v>
      </c>
      <c r="D24" s="482" t="s">
        <v>792</v>
      </c>
      <c r="E24" s="482" t="s">
        <v>793</v>
      </c>
      <c r="F24" s="482" t="s">
        <v>794</v>
      </c>
      <c r="G24" s="482" t="s">
        <v>795</v>
      </c>
      <c r="H24" s="482" t="s">
        <v>795</v>
      </c>
      <c r="I24" s="482" t="s">
        <v>796</v>
      </c>
      <c r="J24" s="481"/>
    </row>
    <row r="25" customFormat="false" ht="12.75" hidden="false" customHeight="false" outlineLevel="0" collapsed="false">
      <c r="A25" s="481"/>
      <c r="B25" s="483" t="s">
        <v>804</v>
      </c>
      <c r="C25" s="484" t="n">
        <v>0</v>
      </c>
      <c r="D25" s="485" t="n">
        <f aca="false">+C25/C30</f>
        <v>0</v>
      </c>
      <c r="E25" s="485" t="e">
        <f aca="false">+#REF!</f>
        <v>#REF!</v>
      </c>
      <c r="F25" s="485" t="e">
        <f aca="false">+D25*E25</f>
        <v>#REF!</v>
      </c>
      <c r="G25" s="485" t="n">
        <v>-0.07</v>
      </c>
      <c r="H25" s="485" t="n">
        <f aca="false">+G25*D25</f>
        <v>-0</v>
      </c>
      <c r="I25" s="485" t="e">
        <f aca="false">+F25+H25</f>
        <v>#REF!</v>
      </c>
      <c r="J25" s="481"/>
    </row>
    <row r="26" customFormat="false" ht="12.75" hidden="false" customHeight="false" outlineLevel="0" collapsed="false">
      <c r="A26" s="481"/>
      <c r="B26" s="483" t="s">
        <v>805</v>
      </c>
      <c r="C26" s="484" t="n">
        <v>0</v>
      </c>
      <c r="D26" s="485" t="n">
        <f aca="false">+C26/C30</f>
        <v>0</v>
      </c>
      <c r="E26" s="485" t="e">
        <f aca="false">+#REF!</f>
        <v>#REF!</v>
      </c>
      <c r="F26" s="485" t="e">
        <f aca="false">+D26*E26</f>
        <v>#REF!</v>
      </c>
      <c r="G26" s="485" t="n">
        <v>-0.05</v>
      </c>
      <c r="H26" s="485" t="n">
        <f aca="false">+G26*D26</f>
        <v>-0</v>
      </c>
      <c r="I26" s="485" t="e">
        <f aca="false">+F26+H26</f>
        <v>#REF!</v>
      </c>
      <c r="J26" s="481"/>
    </row>
    <row r="27" customFormat="false" ht="12.75" hidden="false" customHeight="false" outlineLevel="0" collapsed="false">
      <c r="A27" s="481"/>
      <c r="B27" s="483" t="s">
        <v>806</v>
      </c>
      <c r="C27" s="484" t="n">
        <v>5000</v>
      </c>
      <c r="D27" s="485" t="n">
        <f aca="false">+C27/C30</f>
        <v>1</v>
      </c>
      <c r="E27" s="485" t="e">
        <f aca="false">+#REF!</f>
        <v>#REF!</v>
      </c>
      <c r="F27" s="485" t="e">
        <f aca="false">+D27*E27</f>
        <v>#REF!</v>
      </c>
      <c r="G27" s="485" t="n">
        <v>-0.035</v>
      </c>
      <c r="H27" s="485" t="n">
        <f aca="false">+G27*D27</f>
        <v>-0.035</v>
      </c>
      <c r="I27" s="485" t="e">
        <f aca="false">+F27+H27</f>
        <v>#REF!</v>
      </c>
      <c r="J27" s="481"/>
    </row>
    <row r="28" customFormat="false" ht="12.75" hidden="false" customHeight="false" outlineLevel="0" collapsed="false">
      <c r="A28" s="481"/>
      <c r="B28" s="483" t="s">
        <v>807</v>
      </c>
      <c r="C28" s="484" t="n">
        <v>0</v>
      </c>
      <c r="D28" s="485" t="n">
        <f aca="false">+C28/C30</f>
        <v>0</v>
      </c>
      <c r="E28" s="485" t="n">
        <v>0</v>
      </c>
      <c r="F28" s="485" t="n">
        <f aca="false">+D28*E28</f>
        <v>0</v>
      </c>
      <c r="G28" s="485" t="n">
        <v>-0.01</v>
      </c>
      <c r="H28" s="485" t="n">
        <f aca="false">+G28*D28</f>
        <v>-0</v>
      </c>
      <c r="I28" s="485" t="n">
        <f aca="false">+F28+H28</f>
        <v>0</v>
      </c>
      <c r="J28" s="481"/>
    </row>
    <row r="29" customFormat="false" ht="12.75" hidden="false" customHeight="false" outlineLevel="0" collapsed="false">
      <c r="A29" s="481"/>
      <c r="B29" s="483" t="s">
        <v>808</v>
      </c>
      <c r="C29" s="486" t="n">
        <v>0</v>
      </c>
      <c r="D29" s="487" t="n">
        <f aca="false">+C29/C30</f>
        <v>0</v>
      </c>
      <c r="E29" s="485" t="e">
        <f aca="false">+#REF!</f>
        <v>#REF!</v>
      </c>
      <c r="F29" s="487" t="e">
        <f aca="false">+D29*E29</f>
        <v>#REF!</v>
      </c>
      <c r="G29" s="485" t="n">
        <v>-0.0725</v>
      </c>
      <c r="H29" s="485" t="n">
        <f aca="false">+G29*D29</f>
        <v>-0</v>
      </c>
      <c r="I29" s="487" t="e">
        <f aca="false">+F29+H29</f>
        <v>#REF!</v>
      </c>
      <c r="J29" s="481"/>
    </row>
    <row r="30" customFormat="false" ht="12.75" hidden="false" customHeight="false" outlineLevel="0" collapsed="false">
      <c r="A30" s="481"/>
      <c r="B30" s="481"/>
      <c r="C30" s="484" t="n">
        <f aca="false">SUM(C25:C29)</f>
        <v>5000</v>
      </c>
      <c r="D30" s="485" t="n">
        <f aca="false">SUM(D25:D29)</f>
        <v>1</v>
      </c>
      <c r="E30" s="481"/>
      <c r="F30" s="485" t="e">
        <f aca="false">SUM(F25:F29)</f>
        <v>#REF!</v>
      </c>
      <c r="G30" s="481"/>
      <c r="H30" s="481"/>
      <c r="I30" s="488" t="e">
        <f aca="false">SUM(I25:I29)</f>
        <v>#REF!</v>
      </c>
      <c r="J30" s="481"/>
    </row>
    <row r="31" customFormat="false" ht="12.75" hidden="false" customHeight="false" outlineLevel="0" collapsed="false">
      <c r="A31" s="481"/>
      <c r="B31" s="481"/>
      <c r="C31" s="481"/>
      <c r="D31" s="481"/>
      <c r="E31" s="481"/>
      <c r="F31" s="481"/>
      <c r="G31" s="481"/>
      <c r="H31" s="492" t="s">
        <v>809</v>
      </c>
      <c r="I31" s="489" t="n">
        <v>0.1525</v>
      </c>
      <c r="J31" s="481"/>
    </row>
    <row r="32" customFormat="false" ht="13.5" hidden="false" customHeight="false" outlineLevel="0" collapsed="false">
      <c r="A32" s="481"/>
      <c r="B32" s="481"/>
      <c r="C32" s="481"/>
      <c r="D32" s="481"/>
      <c r="E32" s="481"/>
      <c r="F32" s="481"/>
      <c r="G32" s="481"/>
      <c r="H32" s="490" t="s">
        <v>803</v>
      </c>
      <c r="I32" s="493" t="e">
        <f aca="false">+I31-I30</f>
        <v>#REF!</v>
      </c>
      <c r="J32" s="481"/>
    </row>
    <row r="33" customFormat="false" ht="13.5" hidden="false" customHeight="false" outlineLevel="0" collapsed="false">
      <c r="A33" s="481"/>
      <c r="B33" s="481"/>
      <c r="C33" s="481"/>
      <c r="D33" s="481"/>
      <c r="E33" s="481"/>
      <c r="F33" s="481"/>
      <c r="G33" s="481"/>
      <c r="H33" s="481"/>
      <c r="I33" s="485"/>
      <c r="J33" s="481"/>
    </row>
    <row r="34" customFormat="false" ht="12.75" hidden="false" customHeight="false" outlineLevel="0" collapsed="false">
      <c r="A34" s="481"/>
      <c r="B34" s="490" t="s">
        <v>84</v>
      </c>
      <c r="C34" s="481"/>
      <c r="D34" s="481"/>
      <c r="E34" s="481"/>
      <c r="F34" s="481" t="s">
        <v>789</v>
      </c>
      <c r="G34" s="481"/>
      <c r="H34" s="481" t="s">
        <v>789</v>
      </c>
      <c r="I34" s="481"/>
      <c r="J34" s="481"/>
    </row>
    <row r="35" customFormat="false" ht="12.75" hidden="false" customHeight="false" outlineLevel="0" collapsed="false">
      <c r="A35" s="481"/>
      <c r="B35" s="482" t="s">
        <v>790</v>
      </c>
      <c r="C35" s="482" t="s">
        <v>791</v>
      </c>
      <c r="D35" s="482" t="s">
        <v>792</v>
      </c>
      <c r="E35" s="482" t="s">
        <v>793</v>
      </c>
      <c r="F35" s="482" t="s">
        <v>794</v>
      </c>
      <c r="G35" s="482" t="s">
        <v>795</v>
      </c>
      <c r="H35" s="482" t="s">
        <v>795</v>
      </c>
      <c r="I35" s="482" t="s">
        <v>796</v>
      </c>
      <c r="J35" s="481"/>
    </row>
    <row r="36" customFormat="false" ht="12.75" hidden="false" customHeight="false" outlineLevel="0" collapsed="false">
      <c r="A36" s="481"/>
      <c r="B36" s="481" t="s">
        <v>810</v>
      </c>
      <c r="C36" s="484" t="n">
        <v>17</v>
      </c>
      <c r="D36" s="485" t="n">
        <f aca="false">+C36/C39</f>
        <v>0.17</v>
      </c>
      <c r="E36" s="485" t="n">
        <f aca="false">+Rates!B42</f>
        <v>0.38543953636075</v>
      </c>
      <c r="F36" s="485" t="n">
        <f aca="false">+D36*E36</f>
        <v>0.0655247211813275</v>
      </c>
      <c r="G36" s="485" t="n">
        <v>-0.065</v>
      </c>
      <c r="H36" s="485" t="n">
        <f aca="false">+G36*D36</f>
        <v>-0.01105</v>
      </c>
      <c r="I36" s="485" t="n">
        <f aca="false">+F36+H36</f>
        <v>0.0544747211813275</v>
      </c>
      <c r="J36" s="481"/>
    </row>
    <row r="37" customFormat="false" ht="12.75" hidden="false" customHeight="false" outlineLevel="0" collapsed="false">
      <c r="A37" s="481"/>
      <c r="B37" s="481" t="s">
        <v>811</v>
      </c>
      <c r="C37" s="484" t="n">
        <v>25</v>
      </c>
      <c r="D37" s="485" t="n">
        <f aca="false">+C37/C39</f>
        <v>0.25</v>
      </c>
      <c r="E37" s="485" t="n">
        <f aca="false">+Rates!B67</f>
        <v>0.363021493355832</v>
      </c>
      <c r="F37" s="485" t="n">
        <f aca="false">+D37*E37</f>
        <v>0.090755373338958</v>
      </c>
      <c r="G37" s="485" t="n">
        <v>-0.04</v>
      </c>
      <c r="H37" s="485" t="n">
        <f aca="false">+G37*D37</f>
        <v>-0.01</v>
      </c>
      <c r="I37" s="485" t="n">
        <f aca="false">+F37+H37</f>
        <v>0.080755373338958</v>
      </c>
      <c r="J37" s="481"/>
    </row>
    <row r="38" customFormat="false" ht="12.75" hidden="false" customHeight="false" outlineLevel="0" collapsed="false">
      <c r="A38" s="481"/>
      <c r="B38" s="481" t="s">
        <v>812</v>
      </c>
      <c r="C38" s="486" t="n">
        <v>58</v>
      </c>
      <c r="D38" s="487" t="n">
        <f aca="false">+C38/C39</f>
        <v>0.58</v>
      </c>
      <c r="E38" s="485" t="n">
        <f aca="false">+Rates!B87</f>
        <v>0.339813853904282</v>
      </c>
      <c r="F38" s="487" t="n">
        <f aca="false">+D38*E38</f>
        <v>0.197092035264484</v>
      </c>
      <c r="G38" s="485" t="n">
        <v>0.015</v>
      </c>
      <c r="H38" s="485" t="n">
        <f aca="false">+G38*D38</f>
        <v>0.0087</v>
      </c>
      <c r="I38" s="485" t="n">
        <f aca="false">+F38+H38</f>
        <v>0.205792035264484</v>
      </c>
      <c r="J38" s="481"/>
    </row>
    <row r="39" customFormat="false" ht="12.75" hidden="false" customHeight="false" outlineLevel="0" collapsed="false">
      <c r="A39" s="481"/>
      <c r="B39" s="481"/>
      <c r="C39" s="484" t="n">
        <f aca="false">SUM(C36:C38)</f>
        <v>100</v>
      </c>
      <c r="D39" s="485" t="n">
        <f aca="false">SUM(D36:D38)</f>
        <v>1</v>
      </c>
      <c r="E39" s="481"/>
      <c r="F39" s="485" t="n">
        <f aca="false">SUM(F36:F38)</f>
        <v>0.353372129784769</v>
      </c>
      <c r="G39" s="481"/>
      <c r="H39" s="485" t="n">
        <f aca="false">SUM(H36:H38)</f>
        <v>-0.01235</v>
      </c>
      <c r="I39" s="488" t="n">
        <f aca="false">SUM(I36:I38)</f>
        <v>0.341022129784769</v>
      </c>
      <c r="J39" s="481"/>
    </row>
    <row r="40" customFormat="false" ht="12.75" hidden="false" customHeight="false" outlineLevel="0" collapsed="false">
      <c r="A40" s="481"/>
      <c r="B40" s="481"/>
      <c r="C40" s="481"/>
      <c r="D40" s="481"/>
      <c r="E40" s="481"/>
      <c r="F40" s="481"/>
      <c r="G40" s="481"/>
      <c r="H40" s="481" t="s">
        <v>813</v>
      </c>
      <c r="I40" s="489" t="n">
        <v>0.7575</v>
      </c>
      <c r="J40" s="481"/>
    </row>
    <row r="41" customFormat="false" ht="13.5" hidden="false" customHeight="false" outlineLevel="0" collapsed="false">
      <c r="A41" s="481"/>
      <c r="B41" s="481"/>
      <c r="C41" s="481"/>
      <c r="D41" s="481"/>
      <c r="E41" s="481"/>
      <c r="F41" s="481"/>
      <c r="G41" s="481"/>
      <c r="H41" s="490" t="s">
        <v>803</v>
      </c>
      <c r="I41" s="491" t="n">
        <f aca="false">+I40-I39</f>
        <v>0.416477870215231</v>
      </c>
      <c r="J41" s="481"/>
      <c r="K41" s="494"/>
    </row>
    <row r="42" customFormat="false" ht="13.5" hidden="false" customHeight="false" outlineLevel="0" collapsed="false">
      <c r="A42" s="481"/>
      <c r="B42" s="481"/>
      <c r="C42" s="481"/>
      <c r="D42" s="481"/>
      <c r="E42" s="481"/>
      <c r="F42" s="481"/>
      <c r="G42" s="481"/>
      <c r="H42" s="481"/>
      <c r="I42" s="481"/>
      <c r="J42" s="481"/>
      <c r="K42" s="494"/>
    </row>
    <row r="43" customFormat="false" ht="12.75" hidden="false" customHeight="false" outlineLevel="0" collapsed="false">
      <c r="A43" s="481"/>
      <c r="B43" s="481"/>
      <c r="C43" s="481"/>
      <c r="D43" s="481"/>
      <c r="E43" s="481"/>
      <c r="F43" s="481"/>
      <c r="G43" s="481"/>
      <c r="H43" s="481"/>
      <c r="I43" s="481"/>
      <c r="J43" s="481"/>
      <c r="K43" s="495"/>
    </row>
    <row r="44" customFormat="false" ht="12.75" hidden="false" customHeight="false" outlineLevel="0" collapsed="false">
      <c r="A44" s="481"/>
      <c r="B44" s="490" t="s">
        <v>41</v>
      </c>
      <c r="C44" s="481" t="s">
        <v>144</v>
      </c>
      <c r="D44" s="481" t="s">
        <v>403</v>
      </c>
      <c r="E44" s="481" t="s">
        <v>340</v>
      </c>
      <c r="F44" s="481" t="s">
        <v>814</v>
      </c>
      <c r="G44" s="481" t="s">
        <v>815</v>
      </c>
      <c r="H44" s="481" t="s">
        <v>816</v>
      </c>
      <c r="I44" s="490" t="s">
        <v>803</v>
      </c>
      <c r="J44" s="481"/>
    </row>
    <row r="45" customFormat="false" ht="12.75" hidden="false" customHeight="false" outlineLevel="0" collapsed="false">
      <c r="A45" s="481"/>
      <c r="B45" s="481" t="s">
        <v>817</v>
      </c>
      <c r="C45" s="489" t="e">
        <f aca="false">+#REF!</f>
        <v>#REF!</v>
      </c>
      <c r="D45" s="489" t="e">
        <f aca="false">+#REF!</f>
        <v>#REF!</v>
      </c>
      <c r="E45" s="489" t="e">
        <f aca="false">+D45+C45</f>
        <v>#REF!</v>
      </c>
      <c r="F45" s="489" t="n">
        <v>0</v>
      </c>
      <c r="G45" s="489" t="n">
        <v>-0.0225</v>
      </c>
      <c r="H45" s="489" t="n">
        <v>0.1325</v>
      </c>
      <c r="I45" s="489" t="e">
        <f aca="false">+H45-G45-F45-E45</f>
        <v>#REF!</v>
      </c>
      <c r="J45" s="481"/>
    </row>
    <row r="46" customFormat="false" ht="12.75" hidden="false" customHeight="false" outlineLevel="0" collapsed="false">
      <c r="A46" s="481"/>
      <c r="B46" s="481" t="s">
        <v>818</v>
      </c>
      <c r="C46" s="489" t="e">
        <f aca="false">+#REF!</f>
        <v>#REF!</v>
      </c>
      <c r="D46" s="489" t="e">
        <f aca="false">+#REF!</f>
        <v>#REF!</v>
      </c>
      <c r="E46" s="489" t="e">
        <f aca="false">+D46+C46</f>
        <v>#REF!</v>
      </c>
      <c r="F46" s="489" t="n">
        <v>0</v>
      </c>
      <c r="G46" s="489" t="n">
        <v>-0.0225</v>
      </c>
      <c r="H46" s="489" t="n">
        <v>0.1325</v>
      </c>
      <c r="I46" s="496" t="e">
        <f aca="false">+H46-G46-F46-E46</f>
        <v>#REF!</v>
      </c>
      <c r="J46" s="481"/>
    </row>
    <row r="47" customFormat="false" ht="12.75" hidden="false" customHeight="false" outlineLevel="0" collapsed="false">
      <c r="A47" s="481"/>
      <c r="B47" s="481"/>
      <c r="C47" s="481"/>
      <c r="D47" s="481"/>
      <c r="E47" s="481"/>
      <c r="F47" s="481"/>
      <c r="G47" s="481"/>
      <c r="H47" s="481"/>
      <c r="I47" s="481"/>
      <c r="J47" s="481"/>
    </row>
    <row r="48" customFormat="false" ht="12.75" hidden="false" customHeight="false" outlineLevel="0" collapsed="false">
      <c r="A48" s="481"/>
      <c r="B48" s="481"/>
      <c r="C48" s="481"/>
      <c r="D48" s="481"/>
      <c r="E48" s="481"/>
      <c r="F48" s="481"/>
      <c r="G48" s="481"/>
      <c r="H48" s="481"/>
      <c r="I48" s="481"/>
      <c r="J48" s="481"/>
    </row>
    <row r="49" customFormat="false" ht="12.75" hidden="false" customHeight="false" outlineLevel="0" collapsed="false">
      <c r="A49" s="481"/>
      <c r="B49" s="490" t="s">
        <v>486</v>
      </c>
      <c r="C49" s="481" t="s">
        <v>819</v>
      </c>
      <c r="D49" s="481" t="s">
        <v>820</v>
      </c>
      <c r="E49" s="481" t="s">
        <v>814</v>
      </c>
      <c r="F49" s="481" t="s">
        <v>821</v>
      </c>
      <c r="H49" s="481"/>
      <c r="I49" s="490" t="s">
        <v>803</v>
      </c>
      <c r="J49" s="481"/>
    </row>
    <row r="50" customFormat="false" ht="12.75" hidden="false" customHeight="false" outlineLevel="0" collapsed="false">
      <c r="A50" s="481"/>
      <c r="B50" s="481" t="s">
        <v>822</v>
      </c>
      <c r="C50" s="489" t="e">
        <f aca="false">+#REF!</f>
        <v>#REF!</v>
      </c>
      <c r="D50" s="497" t="n">
        <v>-0.0725</v>
      </c>
      <c r="E50" s="489" t="n">
        <v>0</v>
      </c>
      <c r="F50" s="489" t="n">
        <v>0.2175</v>
      </c>
      <c r="H50" s="481"/>
      <c r="I50" s="496" t="e">
        <f aca="false">+F50-D50-E50-C50</f>
        <v>#REF!</v>
      </c>
      <c r="J50" s="481"/>
    </row>
    <row r="51" customFormat="false" ht="12.75" hidden="false" customHeight="false" outlineLevel="0" collapsed="false">
      <c r="A51" s="481"/>
      <c r="B51" s="481" t="s">
        <v>823</v>
      </c>
      <c r="C51" s="489" t="e">
        <f aca="false">+#REF!</f>
        <v>#REF!</v>
      </c>
      <c r="D51" s="497" t="n">
        <v>-0.06</v>
      </c>
      <c r="E51" s="489" t="n">
        <v>0</v>
      </c>
      <c r="F51" s="489" t="n">
        <v>0.2175</v>
      </c>
      <c r="H51" s="481"/>
      <c r="I51" s="496" t="e">
        <f aca="false">+F51-D51-E51-C51</f>
        <v>#REF!</v>
      </c>
      <c r="J51" s="481"/>
    </row>
    <row r="52" customFormat="false" ht="12.75" hidden="false" customHeight="false" outlineLevel="0" collapsed="false">
      <c r="A52" s="481"/>
      <c r="B52" s="481"/>
      <c r="C52" s="489"/>
      <c r="D52" s="497"/>
      <c r="E52" s="489"/>
      <c r="F52" s="489"/>
      <c r="H52" s="481"/>
      <c r="I52" s="496"/>
      <c r="J52" s="481"/>
    </row>
    <row r="53" customFormat="false" ht="12.75" hidden="false" customHeight="false" outlineLevel="0" collapsed="false">
      <c r="A53" s="481"/>
      <c r="B53" s="481"/>
      <c r="C53" s="489"/>
      <c r="D53" s="497"/>
      <c r="E53" s="489"/>
      <c r="F53" s="489"/>
      <c r="H53" s="481"/>
      <c r="I53" s="496"/>
      <c r="J53" s="481"/>
    </row>
    <row r="54" customFormat="false" ht="12.75" hidden="false" customHeight="false" outlineLevel="0" collapsed="false">
      <c r="A54" s="481"/>
      <c r="B54" s="481"/>
      <c r="C54" s="489"/>
      <c r="D54" s="497"/>
      <c r="E54" s="489"/>
      <c r="F54" s="489"/>
      <c r="H54" s="481"/>
      <c r="I54" s="496"/>
      <c r="J54" s="481"/>
    </row>
    <row r="55" customFormat="false" ht="12.75" hidden="false" customHeight="false" outlineLevel="0" collapsed="false">
      <c r="A55" s="481"/>
      <c r="B55" s="481" t="s">
        <v>824</v>
      </c>
      <c r="C55" s="489" t="e">
        <f aca="false">+#REF!</f>
        <v>#REF!</v>
      </c>
      <c r="D55" s="497" t="n">
        <v>-0.0725</v>
      </c>
      <c r="E55" s="489" t="n">
        <v>0</v>
      </c>
      <c r="F55" s="489" t="n">
        <v>0.2525</v>
      </c>
      <c r="H55" s="481"/>
      <c r="I55" s="496" t="e">
        <f aca="false">+F55-D55-E55-C55</f>
        <v>#REF!</v>
      </c>
      <c r="J55" s="481"/>
    </row>
    <row r="56" customFormat="false" ht="12.75" hidden="false" customHeight="false" outlineLevel="0" collapsed="false">
      <c r="A56" s="481"/>
      <c r="B56" s="481" t="s">
        <v>825</v>
      </c>
      <c r="C56" s="489" t="e">
        <f aca="false">+#REF!</f>
        <v>#REF!</v>
      </c>
      <c r="D56" s="497" t="n">
        <v>-0.06</v>
      </c>
      <c r="E56" s="489" t="n">
        <v>0</v>
      </c>
      <c r="F56" s="489" t="n">
        <v>0.2525</v>
      </c>
      <c r="H56" s="481"/>
      <c r="I56" s="496" t="e">
        <f aca="false">+F56-D56-E56-C56</f>
        <v>#REF!</v>
      </c>
      <c r="J56" s="481"/>
    </row>
    <row r="57" customFormat="false" ht="12.75" hidden="false" customHeight="false" outlineLevel="0" collapsed="false">
      <c r="A57" s="481" t="s">
        <v>826</v>
      </c>
      <c r="B57" s="481" t="s">
        <v>825</v>
      </c>
      <c r="C57" s="489" t="e">
        <f aca="false">+#REF!</f>
        <v>#REF!</v>
      </c>
      <c r="D57" s="497" t="n">
        <v>-0.05</v>
      </c>
      <c r="E57" s="489" t="n">
        <v>0.021</v>
      </c>
      <c r="F57" s="489" t="n">
        <v>0</v>
      </c>
      <c r="H57" s="481"/>
      <c r="I57" s="496" t="e">
        <f aca="false">+F57-D57-E57-C57</f>
        <v>#REF!</v>
      </c>
      <c r="J57" s="481"/>
    </row>
    <row r="58" customFormat="false" ht="12.75" hidden="false" customHeight="false" outlineLevel="0" collapsed="false">
      <c r="A58" s="481"/>
      <c r="B58" s="481"/>
      <c r="C58" s="481"/>
      <c r="D58" s="481"/>
      <c r="E58" s="481"/>
      <c r="F58" s="481"/>
      <c r="G58" s="481"/>
      <c r="H58" s="481"/>
      <c r="I58" s="481"/>
      <c r="J58" s="481"/>
    </row>
    <row r="59" customFormat="false" ht="12.75" hidden="false" customHeight="false" outlineLevel="0" collapsed="false">
      <c r="A59" s="481"/>
      <c r="B59" s="481"/>
      <c r="C59" s="481"/>
      <c r="D59" s="481"/>
      <c r="E59" s="481"/>
      <c r="F59" s="481"/>
      <c r="G59" s="481"/>
      <c r="H59" s="481"/>
      <c r="I59" s="481"/>
      <c r="J59" s="481"/>
    </row>
    <row r="60" customFormat="false" ht="12.75" hidden="false" customHeight="false" outlineLevel="0" collapsed="false">
      <c r="A60" s="481"/>
      <c r="B60" s="481"/>
      <c r="C60" s="481"/>
      <c r="D60" s="481"/>
      <c r="E60" s="481"/>
      <c r="F60" s="481"/>
      <c r="G60" s="481"/>
      <c r="H60" s="481"/>
      <c r="I60" s="481"/>
      <c r="J60" s="481"/>
    </row>
    <row r="61" customFormat="false" ht="12.75" hidden="false" customHeight="false" outlineLevel="0" collapsed="false">
      <c r="A61" s="481"/>
      <c r="B61" s="490" t="s">
        <v>486</v>
      </c>
      <c r="C61" s="481" t="s">
        <v>819</v>
      </c>
      <c r="D61" s="481" t="s">
        <v>820</v>
      </c>
      <c r="E61" s="481" t="s">
        <v>814</v>
      </c>
      <c r="F61" s="481" t="s">
        <v>821</v>
      </c>
      <c r="H61" s="481"/>
      <c r="I61" s="490" t="s">
        <v>803</v>
      </c>
      <c r="J61" s="481"/>
    </row>
    <row r="62" customFormat="false" ht="12.75" hidden="false" customHeight="false" outlineLevel="0" collapsed="false">
      <c r="A62" s="481"/>
      <c r="B62" s="481" t="s">
        <v>822</v>
      </c>
      <c r="C62" s="489" t="n">
        <f aca="false">+Rates!H32</f>
        <v>0.460159371015724</v>
      </c>
      <c r="D62" s="497" t="n">
        <v>-0.0725</v>
      </c>
      <c r="E62" s="489" t="n">
        <v>0</v>
      </c>
      <c r="F62" s="489" t="n">
        <v>0.2175</v>
      </c>
      <c r="H62" s="481"/>
      <c r="I62" s="496" t="n">
        <f aca="false">+F62-D62-E62-C62</f>
        <v>-0.170159371015724</v>
      </c>
      <c r="J62" s="481"/>
    </row>
    <row r="63" customFormat="false" ht="12.75" hidden="false" customHeight="false" outlineLevel="0" collapsed="false">
      <c r="A63" s="481"/>
      <c r="B63" s="481" t="s">
        <v>823</v>
      </c>
      <c r="C63" s="489" t="n">
        <f aca="false">+Rates!H67</f>
        <v>0.396058793811178</v>
      </c>
      <c r="D63" s="497" t="n">
        <v>-0.06</v>
      </c>
      <c r="E63" s="489" t="n">
        <v>0</v>
      </c>
      <c r="F63" s="489" t="n">
        <v>0.2175</v>
      </c>
      <c r="H63" s="481"/>
      <c r="I63" s="496" t="n">
        <f aca="false">+F63-D63-E63-C63</f>
        <v>-0.118558793811178</v>
      </c>
      <c r="J63" s="481"/>
    </row>
    <row r="64" customFormat="false" ht="12.75" hidden="false" customHeight="false" outlineLevel="0" collapsed="false">
      <c r="A64" s="481"/>
      <c r="B64" s="481" t="s">
        <v>824</v>
      </c>
      <c r="C64" s="489" t="n">
        <f aca="false">+Rates!H37</f>
        <v>0.540958695418946</v>
      </c>
      <c r="D64" s="497" t="n">
        <v>-0.0725</v>
      </c>
      <c r="E64" s="489" t="n">
        <v>0</v>
      </c>
      <c r="F64" s="489" t="n">
        <v>0.2525</v>
      </c>
      <c r="H64" s="481"/>
      <c r="I64" s="496" t="n">
        <f aca="false">+F64-D64-E64-C64</f>
        <v>-0.215958695418946</v>
      </c>
      <c r="J64" s="481"/>
    </row>
    <row r="65" customFormat="false" ht="12.75" hidden="false" customHeight="false" outlineLevel="0" collapsed="false">
      <c r="A65" s="481"/>
      <c r="B65" s="481" t="s">
        <v>825</v>
      </c>
      <c r="C65" s="489" t="n">
        <f aca="false">+Rates!H72</f>
        <v>0.476450159404888</v>
      </c>
      <c r="D65" s="497" t="n">
        <v>-0.06</v>
      </c>
      <c r="E65" s="489" t="n">
        <v>0</v>
      </c>
      <c r="F65" s="489" t="n">
        <v>0.2525</v>
      </c>
      <c r="H65" s="481"/>
      <c r="I65" s="496" t="n">
        <f aca="false">+F65-D65-E65-C65</f>
        <v>-0.163950159404888</v>
      </c>
      <c r="J65" s="481"/>
    </row>
    <row r="66" customFormat="false" ht="12.75" hidden="false" customHeight="false" outlineLevel="0" collapsed="false">
      <c r="A66" s="481"/>
      <c r="B66" s="481"/>
      <c r="C66" s="481"/>
      <c r="D66" s="481"/>
      <c r="E66" s="481"/>
      <c r="F66" s="481"/>
      <c r="G66" s="481"/>
      <c r="H66" s="481"/>
      <c r="I66" s="481"/>
      <c r="J66" s="481"/>
    </row>
    <row r="67" customFormat="false" ht="12.75" hidden="false" customHeight="false" outlineLevel="0" collapsed="false">
      <c r="A67" s="481"/>
      <c r="B67" s="481"/>
      <c r="C67" s="481"/>
      <c r="D67" s="481"/>
      <c r="E67" s="481"/>
      <c r="F67" s="481"/>
      <c r="G67" s="481"/>
      <c r="H67" s="481"/>
      <c r="I67" s="481"/>
      <c r="J67" s="481"/>
    </row>
    <row r="68" customFormat="false" ht="12.75" hidden="false" customHeight="false" outlineLevel="0" collapsed="false">
      <c r="A68" s="481"/>
      <c r="B68" s="481"/>
      <c r="C68" s="481"/>
      <c r="D68" s="481"/>
      <c r="E68" s="481"/>
      <c r="F68" s="481"/>
      <c r="G68" s="481"/>
      <c r="H68" s="481"/>
      <c r="I68" s="481"/>
      <c r="J68" s="481"/>
    </row>
    <row r="69" customFormat="false" ht="12.75" hidden="false" customHeight="false" outlineLevel="0" collapsed="false">
      <c r="A69" s="481"/>
      <c r="B69" s="481"/>
      <c r="C69" s="481"/>
      <c r="D69" s="481"/>
      <c r="E69" s="481"/>
      <c r="F69" s="481"/>
      <c r="G69" s="481"/>
      <c r="H69" s="481"/>
      <c r="I69" s="481"/>
      <c r="J69" s="481"/>
    </row>
    <row r="70" customFormat="false" ht="12.75" hidden="false" customHeight="false" outlineLevel="0" collapsed="false">
      <c r="A70" s="481"/>
      <c r="B70" s="481"/>
      <c r="C70" s="481"/>
      <c r="D70" s="481"/>
      <c r="E70" s="481"/>
      <c r="F70" s="481"/>
      <c r="G70" s="481"/>
      <c r="H70" s="481"/>
      <c r="I70" s="481"/>
      <c r="J70" s="481"/>
    </row>
    <row r="71" customFormat="false" ht="12.75" hidden="false" customHeight="false" outlineLevel="0" collapsed="false">
      <c r="A71" s="481"/>
      <c r="B71" s="481" t="s">
        <v>27</v>
      </c>
      <c r="C71" s="481"/>
      <c r="D71" s="481"/>
      <c r="E71" s="481"/>
      <c r="F71" s="481"/>
      <c r="G71" s="481"/>
      <c r="H71" s="481"/>
      <c r="I71" s="481"/>
      <c r="J71" s="481"/>
    </row>
    <row r="72" customFormat="false" ht="12.75" hidden="false" customHeight="false" outlineLevel="0" collapsed="false">
      <c r="A72" s="481"/>
      <c r="B72" s="481"/>
      <c r="C72" s="481"/>
      <c r="D72" s="481"/>
      <c r="E72" s="481"/>
      <c r="F72" s="481" t="s">
        <v>789</v>
      </c>
      <c r="G72" s="481"/>
      <c r="H72" s="481" t="s">
        <v>789</v>
      </c>
      <c r="I72" s="481"/>
      <c r="J72" s="481"/>
    </row>
    <row r="73" customFormat="false" ht="12.75" hidden="false" customHeight="false" outlineLevel="0" collapsed="false">
      <c r="A73" s="481"/>
      <c r="B73" s="482" t="s">
        <v>790</v>
      </c>
      <c r="C73" s="482" t="s">
        <v>791</v>
      </c>
      <c r="D73" s="482" t="s">
        <v>792</v>
      </c>
      <c r="E73" s="482" t="s">
        <v>793</v>
      </c>
      <c r="F73" s="482" t="s">
        <v>794</v>
      </c>
      <c r="G73" s="482" t="s">
        <v>795</v>
      </c>
      <c r="H73" s="482" t="s">
        <v>795</v>
      </c>
      <c r="I73" s="482" t="s">
        <v>796</v>
      </c>
      <c r="J73" s="481"/>
    </row>
    <row r="74" customFormat="false" ht="12.75" hidden="false" customHeight="false" outlineLevel="0" collapsed="false">
      <c r="A74" s="481"/>
      <c r="B74" s="483" t="s">
        <v>827</v>
      </c>
      <c r="C74" s="484" t="n">
        <v>5000</v>
      </c>
      <c r="D74" s="485" t="n">
        <f aca="false">+C74/C74</f>
        <v>1</v>
      </c>
      <c r="E74" s="485" t="e">
        <f aca="false">+#REF!</f>
        <v>#REF!</v>
      </c>
      <c r="F74" s="485" t="e">
        <f aca="false">+D74*E74</f>
        <v>#REF!</v>
      </c>
      <c r="G74" s="485" t="n">
        <v>-0.23</v>
      </c>
      <c r="H74" s="485" t="n">
        <f aca="false">+G74*D74</f>
        <v>-0.23</v>
      </c>
      <c r="I74" s="485" t="e">
        <f aca="false">+F74+H74</f>
        <v>#REF!</v>
      </c>
      <c r="J74" s="481"/>
    </row>
    <row r="75" customFormat="false" ht="12.75" hidden="false" customHeight="false" outlineLevel="0" collapsed="false">
      <c r="A75" s="481"/>
      <c r="B75" s="483" t="s">
        <v>828</v>
      </c>
      <c r="C75" s="484" t="s">
        <v>1</v>
      </c>
      <c r="D75" s="485" t="s">
        <v>1</v>
      </c>
      <c r="E75" s="485" t="s">
        <v>1</v>
      </c>
      <c r="F75" s="485" t="s">
        <v>215</v>
      </c>
      <c r="G75" s="485" t="s">
        <v>1</v>
      </c>
      <c r="H75" s="485" t="s">
        <v>1</v>
      </c>
      <c r="I75" s="485" t="n">
        <v>-0.05</v>
      </c>
      <c r="J75" s="481"/>
    </row>
    <row r="76" customFormat="false" ht="12.75" hidden="false" customHeight="false" outlineLevel="0" collapsed="false">
      <c r="A76" s="481"/>
      <c r="B76" s="481"/>
      <c r="C76" s="481"/>
      <c r="D76" s="481"/>
      <c r="E76" s="481"/>
      <c r="F76" s="481"/>
      <c r="G76" s="481"/>
      <c r="H76" s="481"/>
      <c r="I76" s="481"/>
      <c r="J76" s="481"/>
    </row>
    <row r="77" customFormat="false" ht="12.75" hidden="false" customHeight="false" outlineLevel="0" collapsed="false">
      <c r="A77" s="481"/>
      <c r="B77" s="481"/>
      <c r="C77" s="481"/>
      <c r="D77" s="481"/>
      <c r="E77" s="481"/>
      <c r="F77" s="481"/>
      <c r="G77" s="481"/>
      <c r="H77" s="481"/>
      <c r="I77" s="481"/>
      <c r="J77" s="481"/>
    </row>
    <row r="78" customFormat="false" ht="12.75" hidden="false" customHeight="false" outlineLevel="0" collapsed="false">
      <c r="A78" s="481"/>
      <c r="B78" s="483" t="s">
        <v>798</v>
      </c>
      <c r="C78" s="484" t="n">
        <v>0</v>
      </c>
      <c r="D78" s="485" t="e">
        <f aca="false">+C78/C82</f>
        <v>#DIV/0!</v>
      </c>
      <c r="E78" s="485" t="e">
        <f aca="false">+#REF!</f>
        <v>#REF!</v>
      </c>
      <c r="F78" s="485" t="e">
        <f aca="false">+D78*E78</f>
        <v>#REF!</v>
      </c>
      <c r="G78" s="485" t="n">
        <v>-0.07</v>
      </c>
      <c r="H78" s="485" t="e">
        <f aca="false">+G78*D78</f>
        <v>#DIV/0!</v>
      </c>
      <c r="I78" s="485" t="e">
        <f aca="false">+F78+H78</f>
        <v>#DIV/0!</v>
      </c>
      <c r="J78" s="481"/>
    </row>
    <row r="79" customFormat="false" ht="12.75" hidden="false" customHeight="false" outlineLevel="0" collapsed="false">
      <c r="A79" s="481"/>
      <c r="B79" s="481"/>
      <c r="C79" s="481"/>
      <c r="D79" s="481"/>
      <c r="E79" s="481"/>
      <c r="F79" s="481"/>
      <c r="G79" s="481"/>
      <c r="H79" s="481"/>
      <c r="I79" s="481"/>
      <c r="J79" s="481"/>
    </row>
    <row r="80" customFormat="false" ht="12.75" hidden="false" customHeight="false" outlineLevel="0" collapsed="false">
      <c r="A80" s="481"/>
      <c r="B80" s="481"/>
      <c r="C80" s="481"/>
      <c r="D80" s="481"/>
      <c r="E80" s="481"/>
      <c r="F80" s="481"/>
      <c r="G80" s="481"/>
      <c r="H80" s="481"/>
      <c r="I80" s="481"/>
      <c r="J80" s="481"/>
    </row>
    <row r="81" customFormat="false" ht="12.75" hidden="false" customHeight="false" outlineLevel="0" collapsed="false">
      <c r="A81" s="481"/>
      <c r="B81" s="481"/>
      <c r="C81" s="481"/>
      <c r="D81" s="481"/>
      <c r="E81" s="481"/>
      <c r="F81" s="481"/>
      <c r="G81" s="481"/>
      <c r="H81" s="481"/>
      <c r="I81" s="481"/>
      <c r="J81" s="481"/>
    </row>
    <row r="100" customFormat="false" ht="12.75" hidden="false" customHeight="false" outlineLevel="0" collapsed="false">
      <c r="M100" s="480" t="s">
        <v>829</v>
      </c>
      <c r="N100" s="480" t="s">
        <v>830</v>
      </c>
    </row>
    <row r="101" customFormat="false" ht="12.75" hidden="false" customHeight="false" outlineLevel="0" collapsed="false">
      <c r="B101" s="490" t="s">
        <v>486</v>
      </c>
      <c r="C101" s="482" t="s">
        <v>791</v>
      </c>
      <c r="D101" s="482" t="s">
        <v>792</v>
      </c>
      <c r="E101" s="481" t="s">
        <v>819</v>
      </c>
      <c r="F101" s="481" t="s">
        <v>820</v>
      </c>
      <c r="G101" s="481" t="s">
        <v>831</v>
      </c>
      <c r="H101" s="481" t="s">
        <v>832</v>
      </c>
      <c r="I101" s="481" t="s">
        <v>821</v>
      </c>
      <c r="J101" s="481"/>
      <c r="K101" s="490" t="s">
        <v>803</v>
      </c>
      <c r="L101" s="480" t="s">
        <v>833</v>
      </c>
      <c r="M101" s="480" t="s">
        <v>834</v>
      </c>
      <c r="N101" s="480" t="s">
        <v>835</v>
      </c>
    </row>
    <row r="102" customFormat="false" ht="12.75" hidden="false" customHeight="false" outlineLevel="0" collapsed="false">
      <c r="B102" s="481" t="s">
        <v>822</v>
      </c>
      <c r="C102" s="484" t="n">
        <v>1163</v>
      </c>
      <c r="D102" s="485" t="n">
        <f aca="false">+C102/C105</f>
        <v>0.358397534668721</v>
      </c>
      <c r="E102" s="489" t="e">
        <f aca="false">+#REF!</f>
        <v>#REF!</v>
      </c>
      <c r="F102" s="497" t="n">
        <v>-0.0725</v>
      </c>
      <c r="G102" s="498" t="e">
        <f aca="false">+D102*E102</f>
        <v>#REF!</v>
      </c>
      <c r="H102" s="489" t="n">
        <f aca="false">+F102*D102</f>
        <v>-0.0259838212634823</v>
      </c>
      <c r="I102" s="489" t="n">
        <v>0.2175</v>
      </c>
      <c r="J102" s="481"/>
      <c r="K102" s="499" t="e">
        <f aca="false">(+G102*H102)</f>
        <v>#REF!</v>
      </c>
      <c r="L102" s="480" t="n">
        <f aca="false">+I102-F102</f>
        <v>0.29</v>
      </c>
      <c r="M102" s="480" t="e">
        <f aca="false">+L102-E102</f>
        <v>#REF!</v>
      </c>
      <c r="N102" s="480" t="e">
        <f aca="false">+M102*5</f>
        <v>#REF!</v>
      </c>
      <c r="O102" s="0" t="e">
        <f aca="false">+N102*D102</f>
        <v>#REF!</v>
      </c>
    </row>
    <row r="103" customFormat="false" ht="12.75" hidden="false" customHeight="false" outlineLevel="0" collapsed="false">
      <c r="B103" s="481" t="s">
        <v>823</v>
      </c>
      <c r="C103" s="484" t="n">
        <v>2082</v>
      </c>
      <c r="D103" s="485" t="n">
        <f aca="false">+C103/C105</f>
        <v>0.641602465331279</v>
      </c>
      <c r="E103" s="489" t="e">
        <f aca="false">+#REF!</f>
        <v>#REF!</v>
      </c>
      <c r="F103" s="497" t="n">
        <v>-0.06</v>
      </c>
      <c r="G103" s="498" t="e">
        <f aca="false">+D103*E103</f>
        <v>#REF!</v>
      </c>
      <c r="H103" s="489" t="n">
        <f aca="false">+F103*D103</f>
        <v>-0.0384961479198767</v>
      </c>
      <c r="I103" s="489" t="n">
        <v>0.2175</v>
      </c>
      <c r="J103" s="481"/>
      <c r="K103" s="499" t="e">
        <f aca="false">(+G103*H103)</f>
        <v>#REF!</v>
      </c>
      <c r="L103" s="480" t="n">
        <f aca="false">+I103-F103</f>
        <v>0.2775</v>
      </c>
      <c r="M103" s="480" t="e">
        <f aca="false">+L103-E103</f>
        <v>#REF!</v>
      </c>
      <c r="N103" s="480" t="e">
        <f aca="false">+M103*5</f>
        <v>#REF!</v>
      </c>
      <c r="O103" s="0" t="e">
        <f aca="false">+N103*D103</f>
        <v>#REF!</v>
      </c>
    </row>
    <row r="104" customFormat="false" ht="12.75" hidden="false" customHeight="false" outlineLevel="0" collapsed="false">
      <c r="C104" s="486" t="n">
        <v>0</v>
      </c>
      <c r="D104" s="487" t="n">
        <f aca="false">+C104/C105</f>
        <v>0</v>
      </c>
      <c r="O104" s="0" t="e">
        <f aca="false">SUM(O102:O103)</f>
        <v>#REF!</v>
      </c>
    </row>
    <row r="105" customFormat="false" ht="12.75" hidden="false" customHeight="false" outlineLevel="0" collapsed="false">
      <c r="C105" s="484" t="n">
        <f aca="false">SUM(C102:C104)</f>
        <v>3245</v>
      </c>
      <c r="D105" s="485" t="n">
        <f aca="false">SUM(D102:D104)</f>
        <v>1</v>
      </c>
    </row>
    <row r="106" customFormat="false" ht="12.75" hidden="false" customHeight="false" outlineLevel="0" collapsed="false">
      <c r="C106" s="495" t="n">
        <f aca="false">+C102*F102</f>
        <v>-84.3175</v>
      </c>
    </row>
    <row r="107" customFormat="false" ht="12.75" hidden="false" customHeight="false" outlineLevel="0" collapsed="false">
      <c r="C107" s="495" t="n">
        <f aca="false">+C103*F103</f>
        <v>-124.92</v>
      </c>
    </row>
    <row r="108" customFormat="false" ht="12.75" hidden="false" customHeight="false" outlineLevel="0" collapsed="false">
      <c r="C108" s="495" t="n">
        <f aca="false">+C107+C106</f>
        <v>-209.2375</v>
      </c>
      <c r="D108" s="0" t="n">
        <f aca="false">+C108/C105</f>
        <v>-0.064479969183359</v>
      </c>
      <c r="I108" s="0" t="s">
        <v>1</v>
      </c>
    </row>
    <row r="109" customFormat="false" ht="12.75" hidden="false" customHeight="false" outlineLevel="0" collapsed="false">
      <c r="A109" s="481"/>
      <c r="B109" s="490" t="s">
        <v>486</v>
      </c>
      <c r="C109" s="481" t="s">
        <v>1</v>
      </c>
      <c r="D109" s="482" t="s">
        <v>792</v>
      </c>
      <c r="E109" s="481" t="s">
        <v>836</v>
      </c>
      <c r="F109" s="481" t="s">
        <v>837</v>
      </c>
      <c r="G109" s="0" t="s">
        <v>831</v>
      </c>
      <c r="H109" s="481" t="s">
        <v>832</v>
      </c>
      <c r="I109" s="481" t="s">
        <v>821</v>
      </c>
      <c r="J109" s="481"/>
      <c r="K109" s="490" t="s">
        <v>803</v>
      </c>
    </row>
    <row r="110" customFormat="false" ht="12.75" hidden="false" customHeight="false" outlineLevel="0" collapsed="false">
      <c r="A110" s="481"/>
      <c r="B110" s="481" t="s">
        <v>822</v>
      </c>
      <c r="C110" s="484" t="n">
        <v>1163</v>
      </c>
      <c r="D110" s="485" t="n">
        <f aca="false">+C110/C113</f>
        <v>0.358397534668721</v>
      </c>
      <c r="E110" s="489" t="n">
        <f aca="false">+Rates!H32</f>
        <v>0.460159371015724</v>
      </c>
      <c r="F110" s="497" t="n">
        <v>-0.0725</v>
      </c>
      <c r="G110" s="498" t="n">
        <f aca="false">+D110*E110</f>
        <v>0.164919984126745</v>
      </c>
      <c r="H110" s="489" t="n">
        <f aca="false">+F110*D110</f>
        <v>-0.0259838212634823</v>
      </c>
      <c r="I110" s="489" t="n">
        <v>0.2175</v>
      </c>
      <c r="J110" s="481"/>
      <c r="K110" s="499" t="n">
        <f aca="false">(+G110*H110)</f>
        <v>-0.00428525139032567</v>
      </c>
      <c r="L110" s="480" t="n">
        <f aca="false">+I110-F110</f>
        <v>0.29</v>
      </c>
      <c r="M110" s="480" t="n">
        <f aca="false">+L110-E110</f>
        <v>-0.170159371015724</v>
      </c>
      <c r="N110" s="480" t="n">
        <f aca="false">+M110*7</f>
        <v>-1.19111559711007</v>
      </c>
      <c r="O110" s="0" t="n">
        <f aca="false">+N110*D110</f>
        <v>-0.426892893509711</v>
      </c>
    </row>
    <row r="111" customFormat="false" ht="12.75" hidden="false" customHeight="false" outlineLevel="0" collapsed="false">
      <c r="A111" s="481"/>
      <c r="B111" s="481" t="s">
        <v>838</v>
      </c>
      <c r="C111" s="484" t="n">
        <v>2082</v>
      </c>
      <c r="D111" s="485" t="n">
        <f aca="false">+C111/C113</f>
        <v>0.641602465331279</v>
      </c>
      <c r="E111" s="489" t="n">
        <f aca="false">+Rates!H67</f>
        <v>0.396058793811178</v>
      </c>
      <c r="F111" s="489" t="n">
        <v>-0.06</v>
      </c>
      <c r="G111" s="498" t="n">
        <f aca="false">+D111*E111</f>
        <v>0.254112298525384</v>
      </c>
      <c r="H111" s="489" t="n">
        <f aca="false">+F111*D111</f>
        <v>-0.0384961479198767</v>
      </c>
      <c r="I111" s="489" t="n">
        <v>0.2175</v>
      </c>
      <c r="J111" s="481"/>
      <c r="K111" s="499" t="n">
        <f aca="false">(+G111*H111)</f>
        <v>-0.00978234463229307</v>
      </c>
      <c r="L111" s="480" t="n">
        <f aca="false">+I111-F111</f>
        <v>0.2775</v>
      </c>
      <c r="M111" s="480" t="n">
        <f aca="false">+L111-E111</f>
        <v>-0.118558793811178</v>
      </c>
      <c r="N111" s="480" t="n">
        <f aca="false">+M111*7</f>
        <v>-0.829911556678245</v>
      </c>
      <c r="O111" s="0" t="n">
        <f aca="false">+N111*D111</f>
        <v>-0.532473300771681</v>
      </c>
    </row>
    <row r="112" customFormat="false" ht="12.75" hidden="false" customHeight="false" outlineLevel="0" collapsed="false">
      <c r="A112" s="481"/>
      <c r="B112" s="481"/>
      <c r="C112" s="489" t="n">
        <v>0</v>
      </c>
      <c r="D112" s="487" t="n">
        <f aca="false">+C112/C113</f>
        <v>0</v>
      </c>
      <c r="E112" s="489"/>
      <c r="F112" s="489" t="s">
        <v>1</v>
      </c>
      <c r="H112" s="481"/>
      <c r="I112" s="496"/>
      <c r="J112" s="481"/>
      <c r="O112" s="0" t="n">
        <f aca="false">SUM(O110:O111)</f>
        <v>-0.959366194281392</v>
      </c>
    </row>
    <row r="113" customFormat="false" ht="12.75" hidden="false" customHeight="false" outlineLevel="0" collapsed="false">
      <c r="C113" s="484" t="n">
        <f aca="false">SUM(C110:C112)</f>
        <v>3245</v>
      </c>
      <c r="D113" s="485" t="n">
        <f aca="false">SUM(D110:D112)</f>
        <v>1</v>
      </c>
      <c r="M113" s="480" t="n">
        <f aca="false">AVERAGE(M110:M111)</f>
        <v>-0.144359082413451</v>
      </c>
    </row>
    <row r="114" customFormat="false" ht="12.75" hidden="false" customHeight="false" outlineLevel="0" collapsed="false">
      <c r="O114" s="0" t="e">
        <f aca="false">+O112+O104</f>
        <v>#REF!</v>
      </c>
    </row>
    <row r="115" customFormat="false" ht="12.75" hidden="false" customHeight="false" outlineLevel="0" collapsed="false">
      <c r="O115" s="0" t="e">
        <f aca="false">+O114/12</f>
        <v>#REF!</v>
      </c>
    </row>
    <row r="116" customFormat="false" ht="12.75" hidden="false" customHeight="false" outlineLevel="0" collapsed="false">
      <c r="M116" s="480" t="n">
        <f aca="false">+M113+M105</f>
        <v>-0.144359082413451</v>
      </c>
    </row>
    <row r="131" customFormat="false" ht="12.75" hidden="false" customHeight="false" outlineLevel="0" collapsed="false">
      <c r="B131" s="490" t="s">
        <v>486</v>
      </c>
      <c r="C131" s="482" t="s">
        <v>791</v>
      </c>
      <c r="D131" s="482" t="s">
        <v>792</v>
      </c>
      <c r="E131" s="481" t="s">
        <v>819</v>
      </c>
      <c r="F131" s="481" t="s">
        <v>820</v>
      </c>
      <c r="G131" s="481" t="s">
        <v>831</v>
      </c>
      <c r="H131" s="481" t="s">
        <v>832</v>
      </c>
      <c r="I131" s="481" t="s">
        <v>839</v>
      </c>
      <c r="J131" s="481"/>
      <c r="K131" s="490" t="s">
        <v>1</v>
      </c>
      <c r="L131" s="480" t="s">
        <v>833</v>
      </c>
      <c r="M131" s="480" t="s">
        <v>834</v>
      </c>
      <c r="N131" s="480" t="s">
        <v>835</v>
      </c>
    </row>
    <row r="132" customFormat="false" ht="12.75" hidden="false" customHeight="false" outlineLevel="0" collapsed="false">
      <c r="B132" s="481" t="s">
        <v>824</v>
      </c>
      <c r="C132" s="484" t="n">
        <v>1163</v>
      </c>
      <c r="D132" s="485" t="n">
        <f aca="false">+C132/C135</f>
        <v>0.358397534668721</v>
      </c>
      <c r="E132" s="489" t="e">
        <f aca="false">+#REF!</f>
        <v>#REF!</v>
      </c>
      <c r="F132" s="497" t="n">
        <v>-0.0725</v>
      </c>
      <c r="G132" s="498" t="e">
        <f aca="false">+D132*E132</f>
        <v>#REF!</v>
      </c>
      <c r="H132" s="489" t="n">
        <f aca="false">+F132*D132</f>
        <v>-0.0259838212634823</v>
      </c>
      <c r="I132" s="489" t="n">
        <v>0.2525</v>
      </c>
      <c r="J132" s="481"/>
      <c r="K132" s="499" t="s">
        <v>1</v>
      </c>
      <c r="L132" s="480" t="n">
        <f aca="false">+I132-F132</f>
        <v>0.325</v>
      </c>
      <c r="M132" s="480" t="e">
        <f aca="false">+L132-E132</f>
        <v>#REF!</v>
      </c>
      <c r="N132" s="480" t="e">
        <f aca="false">+M132*5</f>
        <v>#REF!</v>
      </c>
      <c r="O132" s="0" t="e">
        <f aca="false">+N132*D132</f>
        <v>#REF!</v>
      </c>
    </row>
    <row r="133" customFormat="false" ht="12.75" hidden="false" customHeight="false" outlineLevel="0" collapsed="false">
      <c r="B133" s="481" t="s">
        <v>825</v>
      </c>
      <c r="C133" s="484" t="n">
        <v>2082</v>
      </c>
      <c r="D133" s="485" t="n">
        <f aca="false">+C133/C135</f>
        <v>0.641602465331279</v>
      </c>
      <c r="E133" s="489" t="e">
        <f aca="false">+#REF!</f>
        <v>#REF!</v>
      </c>
      <c r="F133" s="497" t="n">
        <v>-0.06</v>
      </c>
      <c r="G133" s="498" t="e">
        <f aca="false">+D133*E133</f>
        <v>#REF!</v>
      </c>
      <c r="H133" s="489" t="n">
        <f aca="false">+F133*D133</f>
        <v>-0.0384961479198767</v>
      </c>
      <c r="I133" s="489" t="n">
        <v>0.2525</v>
      </c>
      <c r="J133" s="481"/>
      <c r="K133" s="499" t="s">
        <v>1</v>
      </c>
      <c r="L133" s="480" t="n">
        <f aca="false">+I133-F133</f>
        <v>0.3125</v>
      </c>
      <c r="M133" s="480" t="e">
        <f aca="false">+L133-E133</f>
        <v>#REF!</v>
      </c>
      <c r="N133" s="480" t="e">
        <f aca="false">+M133*5</f>
        <v>#REF!</v>
      </c>
      <c r="O133" s="0" t="e">
        <f aca="false">+N133*D133</f>
        <v>#REF!</v>
      </c>
    </row>
    <row r="134" customFormat="false" ht="12.75" hidden="false" customHeight="false" outlineLevel="0" collapsed="false">
      <c r="C134" s="486" t="n">
        <v>0</v>
      </c>
      <c r="D134" s="487" t="n">
        <f aca="false">+C134/C135</f>
        <v>0</v>
      </c>
      <c r="O134" s="0" t="e">
        <f aca="false">SUM(O132:O133)</f>
        <v>#REF!</v>
      </c>
    </row>
    <row r="135" customFormat="false" ht="12.75" hidden="false" customHeight="false" outlineLevel="0" collapsed="false">
      <c r="C135" s="484" t="n">
        <f aca="false">SUM(C132:C134)</f>
        <v>3245</v>
      </c>
      <c r="D135" s="485" t="n">
        <f aca="false">SUM(D132:D134)</f>
        <v>1</v>
      </c>
    </row>
    <row r="136" customFormat="false" ht="12.75" hidden="false" customHeight="false" outlineLevel="0" collapsed="false">
      <c r="C136" s="495" t="n">
        <f aca="false">+C132*F132</f>
        <v>-84.3175</v>
      </c>
    </row>
    <row r="137" customFormat="false" ht="12.75" hidden="false" customHeight="false" outlineLevel="0" collapsed="false">
      <c r="C137" s="495" t="n">
        <f aca="false">+C133*F133</f>
        <v>-124.92</v>
      </c>
    </row>
    <row r="138" customFormat="false" ht="12.75" hidden="false" customHeight="false" outlineLevel="0" collapsed="false">
      <c r="C138" s="495" t="n">
        <f aca="false">+C137+C136</f>
        <v>-209.2375</v>
      </c>
      <c r="D138" s="0" t="n">
        <f aca="false">+C138/C135</f>
        <v>-0.064479969183359</v>
      </c>
      <c r="I138" s="0" t="s">
        <v>1</v>
      </c>
    </row>
    <row r="139" customFormat="false" ht="12.75" hidden="false" customHeight="false" outlineLevel="0" collapsed="false">
      <c r="A139" s="481"/>
      <c r="B139" s="490" t="s">
        <v>486</v>
      </c>
      <c r="C139" s="481" t="s">
        <v>1</v>
      </c>
      <c r="D139" s="482" t="s">
        <v>792</v>
      </c>
      <c r="E139" s="481" t="s">
        <v>836</v>
      </c>
      <c r="F139" s="481" t="s">
        <v>837</v>
      </c>
      <c r="G139" s="0" t="s">
        <v>831</v>
      </c>
      <c r="H139" s="481" t="s">
        <v>832</v>
      </c>
      <c r="I139" s="481" t="s">
        <v>821</v>
      </c>
      <c r="J139" s="481"/>
      <c r="K139" s="490" t="s">
        <v>1</v>
      </c>
    </row>
    <row r="140" customFormat="false" ht="12.75" hidden="false" customHeight="false" outlineLevel="0" collapsed="false">
      <c r="A140" s="481"/>
      <c r="B140" s="481" t="s">
        <v>824</v>
      </c>
      <c r="C140" s="484" t="n">
        <v>1163</v>
      </c>
      <c r="D140" s="485" t="n">
        <f aca="false">+C140/C143</f>
        <v>0.358397534668721</v>
      </c>
      <c r="E140" s="489" t="n">
        <f aca="false">+Rates!H37</f>
        <v>0.540958695418946</v>
      </c>
      <c r="F140" s="497" t="n">
        <v>-0.0725</v>
      </c>
      <c r="G140" s="498" t="n">
        <f aca="false">+D140*E140</f>
        <v>0.193878262795758</v>
      </c>
      <c r="H140" s="489" t="n">
        <f aca="false">+F140*D140</f>
        <v>-0.0259838212634823</v>
      </c>
      <c r="I140" s="489" t="n">
        <v>0.2525</v>
      </c>
      <c r="J140" s="481"/>
      <c r="K140" s="499" t="s">
        <v>1</v>
      </c>
      <c r="L140" s="480" t="n">
        <f aca="false">+I140-F140</f>
        <v>0.325</v>
      </c>
      <c r="M140" s="480" t="n">
        <f aca="false">+L140-E140</f>
        <v>-0.215958695418946</v>
      </c>
      <c r="N140" s="480" t="n">
        <f aca="false">+M140*7</f>
        <v>-1.51171086793262</v>
      </c>
      <c r="O140" s="0" t="n">
        <f aca="false">+N140*D140</f>
        <v>-0.541793448198964</v>
      </c>
    </row>
    <row r="141" customFormat="false" ht="12.75" hidden="false" customHeight="false" outlineLevel="0" collapsed="false">
      <c r="A141" s="481"/>
      <c r="B141" s="481" t="s">
        <v>840</v>
      </c>
      <c r="C141" s="484" t="n">
        <v>2082</v>
      </c>
      <c r="D141" s="485" t="n">
        <f aca="false">+C141/C143</f>
        <v>0.641602465331279</v>
      </c>
      <c r="E141" s="489" t="n">
        <f aca="false">+Rates!H72</f>
        <v>0.476450159404888</v>
      </c>
      <c r="F141" s="489" t="n">
        <v>-0.06</v>
      </c>
      <c r="G141" s="498" t="n">
        <f aca="false">+D141*E141</f>
        <v>0.305691596881657</v>
      </c>
      <c r="H141" s="489" t="n">
        <f aca="false">+F141*D141</f>
        <v>-0.0384961479198767</v>
      </c>
      <c r="I141" s="489" t="n">
        <v>0.2525</v>
      </c>
      <c r="J141" s="481"/>
      <c r="K141" s="499" t="s">
        <v>1</v>
      </c>
      <c r="L141" s="480" t="n">
        <f aca="false">+I141-F141</f>
        <v>0.3125</v>
      </c>
      <c r="M141" s="480" t="n">
        <f aca="false">+L141-E141</f>
        <v>-0.163950159404888</v>
      </c>
      <c r="N141" s="480" t="n">
        <f aca="false">+M141*7</f>
        <v>-1.14765111583422</v>
      </c>
      <c r="O141" s="0" t="n">
        <f aca="false">+N141*D141</f>
        <v>-0.736335785259428</v>
      </c>
    </row>
    <row r="142" customFormat="false" ht="12.75" hidden="false" customHeight="false" outlineLevel="0" collapsed="false">
      <c r="A142" s="481"/>
      <c r="B142" s="481"/>
      <c r="C142" s="489" t="n">
        <v>0</v>
      </c>
      <c r="D142" s="487" t="n">
        <f aca="false">+C142/C143</f>
        <v>0</v>
      </c>
      <c r="E142" s="489"/>
      <c r="F142" s="489" t="s">
        <v>1</v>
      </c>
      <c r="H142" s="481"/>
      <c r="I142" s="496"/>
      <c r="J142" s="481"/>
      <c r="O142" s="0" t="n">
        <f aca="false">SUM(O140:O141)</f>
        <v>-1.27812923345839</v>
      </c>
    </row>
    <row r="143" customFormat="false" ht="12.75" hidden="false" customHeight="false" outlineLevel="0" collapsed="false">
      <c r="C143" s="484" t="n">
        <f aca="false">SUM(C140:C142)</f>
        <v>3245</v>
      </c>
      <c r="D143" s="485" t="n">
        <f aca="false">SUM(D140:D142)</f>
        <v>1</v>
      </c>
      <c r="M143" s="480" t="n">
        <f aca="false">AVERAGE(M140:M141)</f>
        <v>-0.189954427411917</v>
      </c>
    </row>
    <row r="144" customFormat="false" ht="12.75" hidden="false" customHeight="false" outlineLevel="0" collapsed="false">
      <c r="O144" s="0" t="e">
        <f aca="false">+O142+O134</f>
        <v>#REF!</v>
      </c>
    </row>
    <row r="145" customFormat="false" ht="12.75" hidden="false" customHeight="false" outlineLevel="0" collapsed="false">
      <c r="O145" s="0" t="e">
        <f aca="false">+O144/12</f>
        <v>#REF!</v>
      </c>
    </row>
    <row r="146" customFormat="false" ht="12.75" hidden="false" customHeight="false" outlineLevel="0" collapsed="false">
      <c r="M146" s="480" t="n">
        <f aca="false">+M143+M135</f>
        <v>-0.189954427411917</v>
      </c>
    </row>
    <row r="151" customFormat="false" ht="12.75" hidden="false" customHeight="false" outlineLevel="0" collapsed="false">
      <c r="B151" s="490" t="s">
        <v>486</v>
      </c>
      <c r="C151" s="482" t="s">
        <v>791</v>
      </c>
      <c r="D151" s="482" t="s">
        <v>792</v>
      </c>
      <c r="E151" s="481" t="s">
        <v>819</v>
      </c>
      <c r="F151" s="481" t="s">
        <v>820</v>
      </c>
      <c r="G151" s="481" t="s">
        <v>831</v>
      </c>
      <c r="H151" s="481" t="s">
        <v>832</v>
      </c>
      <c r="I151" s="481" t="s">
        <v>841</v>
      </c>
      <c r="J151" s="481"/>
      <c r="K151" s="490" t="s">
        <v>1</v>
      </c>
      <c r="L151" s="480" t="s">
        <v>833</v>
      </c>
      <c r="M151" s="480" t="s">
        <v>834</v>
      </c>
      <c r="N151" s="480" t="s">
        <v>835</v>
      </c>
    </row>
    <row r="152" customFormat="false" ht="12.75" hidden="false" customHeight="false" outlineLevel="0" collapsed="false">
      <c r="B152" s="481" t="s">
        <v>842</v>
      </c>
      <c r="C152" s="484" t="n">
        <v>1163</v>
      </c>
      <c r="D152" s="485" t="n">
        <f aca="false">+C152/C155</f>
        <v>0.358397534668721</v>
      </c>
      <c r="E152" s="489" t="e">
        <f aca="false">+#REF!</f>
        <v>#REF!</v>
      </c>
      <c r="F152" s="497" t="n">
        <v>-0.0725</v>
      </c>
      <c r="G152" s="498" t="e">
        <f aca="false">+D152*E152</f>
        <v>#REF!</v>
      </c>
      <c r="H152" s="489" t="n">
        <f aca="false">+F152*D152</f>
        <v>-0.0259838212634823</v>
      </c>
      <c r="I152" s="489" t="n">
        <v>0.285</v>
      </c>
      <c r="J152" s="481"/>
      <c r="K152" s="499" t="s">
        <v>1</v>
      </c>
      <c r="L152" s="480" t="n">
        <f aca="false">+I152-F152</f>
        <v>0.3575</v>
      </c>
      <c r="M152" s="480" t="e">
        <f aca="false">+L152-E152</f>
        <v>#REF!</v>
      </c>
      <c r="N152" s="480" t="e">
        <f aca="false">+M152*5</f>
        <v>#REF!</v>
      </c>
      <c r="O152" s="0" t="e">
        <f aca="false">+N152*D152</f>
        <v>#REF!</v>
      </c>
    </row>
    <row r="153" customFormat="false" ht="12.75" hidden="false" customHeight="false" outlineLevel="0" collapsed="false">
      <c r="B153" s="481" t="s">
        <v>843</v>
      </c>
      <c r="C153" s="484" t="n">
        <v>2082</v>
      </c>
      <c r="D153" s="485" t="n">
        <f aca="false">+C153/C155</f>
        <v>0.641602465331279</v>
      </c>
      <c r="E153" s="489" t="e">
        <f aca="false">+#REF!</f>
        <v>#REF!</v>
      </c>
      <c r="F153" s="497" t="n">
        <v>-0.06</v>
      </c>
      <c r="G153" s="498" t="e">
        <f aca="false">+D153*E153</f>
        <v>#REF!</v>
      </c>
      <c r="H153" s="489" t="n">
        <f aca="false">+F153*D153</f>
        <v>-0.0384961479198767</v>
      </c>
      <c r="I153" s="489" t="n">
        <v>0.285</v>
      </c>
      <c r="J153" s="481"/>
      <c r="K153" s="499" t="s">
        <v>1</v>
      </c>
      <c r="L153" s="480" t="n">
        <f aca="false">+I153-F153</f>
        <v>0.345</v>
      </c>
      <c r="M153" s="480" t="e">
        <f aca="false">+L153-E153</f>
        <v>#REF!</v>
      </c>
      <c r="N153" s="480" t="e">
        <f aca="false">+M153*5</f>
        <v>#REF!</v>
      </c>
      <c r="O153" s="0" t="e">
        <f aca="false">+N153*D153</f>
        <v>#REF!</v>
      </c>
    </row>
    <row r="154" customFormat="false" ht="12.75" hidden="false" customHeight="false" outlineLevel="0" collapsed="false">
      <c r="C154" s="486" t="n">
        <v>0</v>
      </c>
      <c r="D154" s="487" t="n">
        <f aca="false">+C154/C155</f>
        <v>0</v>
      </c>
      <c r="O154" s="0" t="e">
        <f aca="false">SUM(O152:O153)</f>
        <v>#REF!</v>
      </c>
    </row>
    <row r="155" customFormat="false" ht="12.75" hidden="false" customHeight="false" outlineLevel="0" collapsed="false">
      <c r="C155" s="484" t="n">
        <f aca="false">SUM(C152:C154)</f>
        <v>3245</v>
      </c>
      <c r="D155" s="485" t="n">
        <f aca="false">SUM(D152:D154)</f>
        <v>1</v>
      </c>
    </row>
    <row r="156" customFormat="false" ht="12.75" hidden="false" customHeight="false" outlineLevel="0" collapsed="false">
      <c r="C156" s="495" t="n">
        <f aca="false">+C152*F152</f>
        <v>-84.3175</v>
      </c>
    </row>
    <row r="157" customFormat="false" ht="12.75" hidden="false" customHeight="false" outlineLevel="0" collapsed="false">
      <c r="C157" s="495" t="n">
        <f aca="false">+C153*F153</f>
        <v>-124.92</v>
      </c>
    </row>
    <row r="158" customFormat="false" ht="12.75" hidden="false" customHeight="false" outlineLevel="0" collapsed="false">
      <c r="C158" s="495" t="n">
        <f aca="false">+C157+C156</f>
        <v>-209.2375</v>
      </c>
      <c r="D158" s="0" t="n">
        <f aca="false">+C158/C155</f>
        <v>-0.064479969183359</v>
      </c>
      <c r="I158" s="0" t="s">
        <v>1</v>
      </c>
    </row>
    <row r="159" customFormat="false" ht="12.75" hidden="false" customHeight="false" outlineLevel="0" collapsed="false">
      <c r="B159" s="490" t="s">
        <v>486</v>
      </c>
      <c r="C159" s="481" t="s">
        <v>1</v>
      </c>
      <c r="D159" s="482" t="s">
        <v>792</v>
      </c>
      <c r="E159" s="481" t="s">
        <v>836</v>
      </c>
      <c r="F159" s="481" t="s">
        <v>837</v>
      </c>
      <c r="G159" s="0" t="s">
        <v>831</v>
      </c>
      <c r="H159" s="481" t="s">
        <v>832</v>
      </c>
      <c r="I159" s="481" t="s">
        <v>841</v>
      </c>
      <c r="J159" s="481"/>
      <c r="K159" s="490" t="s">
        <v>1</v>
      </c>
    </row>
    <row r="160" customFormat="false" ht="12.75" hidden="false" customHeight="false" outlineLevel="0" collapsed="false">
      <c r="B160" s="481" t="s">
        <v>842</v>
      </c>
      <c r="C160" s="484" t="n">
        <v>1163</v>
      </c>
      <c r="D160" s="485" t="n">
        <f aca="false">+C160/C163</f>
        <v>0.358397534668721</v>
      </c>
      <c r="E160" s="489" t="n">
        <f aca="false">+Rates!H42</f>
        <v>0.625441554494138</v>
      </c>
      <c r="F160" s="497" t="n">
        <v>-0.0725</v>
      </c>
      <c r="G160" s="498" t="n">
        <f aca="false">+D160*E160</f>
        <v>0.224156711210072</v>
      </c>
      <c r="H160" s="489" t="n">
        <f aca="false">+F160*D160</f>
        <v>-0.0259838212634823</v>
      </c>
      <c r="I160" s="489" t="n">
        <v>0.285</v>
      </c>
      <c r="J160" s="481"/>
      <c r="K160" s="499" t="s">
        <v>1</v>
      </c>
      <c r="L160" s="480" t="n">
        <f aca="false">+I160-F160</f>
        <v>0.3575</v>
      </c>
      <c r="M160" s="480" t="n">
        <f aca="false">+L160-E160</f>
        <v>-0.267941554494138</v>
      </c>
      <c r="N160" s="480" t="n">
        <f aca="false">+M160*7</f>
        <v>-1.87559088145897</v>
      </c>
      <c r="O160" s="0" t="n">
        <f aca="false">+N160*D160</f>
        <v>-0.672207147962027</v>
      </c>
    </row>
    <row r="161" customFormat="false" ht="12.75" hidden="false" customHeight="false" outlineLevel="0" collapsed="false">
      <c r="B161" s="481" t="s">
        <v>844</v>
      </c>
      <c r="C161" s="484" t="n">
        <v>2082</v>
      </c>
      <c r="D161" s="485" t="n">
        <f aca="false">+C161/C163</f>
        <v>0.641602465331279</v>
      </c>
      <c r="E161" s="489" t="n">
        <f aca="false">+Rates!H77</f>
        <v>0.560318976454144</v>
      </c>
      <c r="F161" s="489" t="n">
        <v>-0.06</v>
      </c>
      <c r="G161" s="498" t="n">
        <f aca="false">+D161*E161</f>
        <v>0.359502036664878</v>
      </c>
      <c r="H161" s="489" t="n">
        <f aca="false">+F161*D161</f>
        <v>-0.0384961479198767</v>
      </c>
      <c r="I161" s="489" t="n">
        <v>0.285</v>
      </c>
      <c r="J161" s="481"/>
      <c r="K161" s="499" t="s">
        <v>1</v>
      </c>
      <c r="L161" s="480" t="n">
        <f aca="false">+I161-F161</f>
        <v>0.345</v>
      </c>
      <c r="M161" s="480" t="n">
        <f aca="false">+L161-E161</f>
        <v>-0.215318976454144</v>
      </c>
      <c r="N161" s="480" t="n">
        <f aca="false">+M161*7</f>
        <v>-1.50723283517901</v>
      </c>
      <c r="O161" s="0" t="n">
        <f aca="false">+N161*D161</f>
        <v>-0.967044302879107</v>
      </c>
    </row>
    <row r="162" customFormat="false" ht="12.75" hidden="false" customHeight="false" outlineLevel="0" collapsed="false">
      <c r="B162" s="481"/>
      <c r="C162" s="489" t="n">
        <v>0</v>
      </c>
      <c r="D162" s="487" t="n">
        <f aca="false">+C162/C163</f>
        <v>0</v>
      </c>
      <c r="E162" s="489"/>
      <c r="F162" s="489" t="s">
        <v>1</v>
      </c>
      <c r="H162" s="481"/>
      <c r="I162" s="496"/>
      <c r="J162" s="481"/>
      <c r="O162" s="0" t="n">
        <f aca="false">SUM(O160:O161)</f>
        <v>-1.63925145084113</v>
      </c>
    </row>
    <row r="163" customFormat="false" ht="12.75" hidden="false" customHeight="false" outlineLevel="0" collapsed="false">
      <c r="C163" s="484" t="n">
        <f aca="false">SUM(C160:C162)</f>
        <v>3245</v>
      </c>
      <c r="D163" s="485" t="n">
        <f aca="false">SUM(D160:D162)</f>
        <v>1</v>
      </c>
      <c r="M163" s="480" t="n">
        <f aca="false">AVERAGE(M160:M161)</f>
        <v>-0.241630265474141</v>
      </c>
    </row>
    <row r="164" customFormat="false" ht="12.75" hidden="false" customHeight="false" outlineLevel="0" collapsed="false">
      <c r="O164" s="0" t="e">
        <f aca="false">+O162+O154</f>
        <v>#REF!</v>
      </c>
    </row>
    <row r="165" customFormat="false" ht="12.75" hidden="false" customHeight="false" outlineLevel="0" collapsed="false">
      <c r="O165" s="0" t="e">
        <f aca="false">+O164/12</f>
        <v>#REF!</v>
      </c>
    </row>
    <row r="166" customFormat="false" ht="12.75" hidden="false" customHeight="false" outlineLevel="0" collapsed="false">
      <c r="M166" s="480" t="n">
        <f aca="false">+M163+M155</f>
        <v>-0.241630265474141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8.85"/>
    <col collapsed="false" customWidth="false" hidden="false" outlineLevel="0" max="2" min="2" style="25" width="9.14"/>
    <col collapsed="false" customWidth="true" hidden="false" outlineLevel="0" max="3" min="3" style="25" width="10.56"/>
    <col collapsed="false" customWidth="true" hidden="false" outlineLevel="0" max="4" min="4" style="25" width="8.7"/>
    <col collapsed="false" customWidth="true" hidden="false" outlineLevel="0" max="5" min="5" style="25" width="10.99"/>
    <col collapsed="false" customWidth="true" hidden="false" outlineLevel="0" max="6" min="6" style="26" width="12.42"/>
    <col collapsed="false" customWidth="true" hidden="false" outlineLevel="0" max="7" min="7" style="26" width="7.99"/>
    <col collapsed="false" customWidth="true" hidden="false" outlineLevel="0" max="8" min="8" style="25" width="6.41"/>
    <col collapsed="false" customWidth="true" hidden="true" outlineLevel="0" max="9" min="9" style="25" width="8.85"/>
    <col collapsed="false" customWidth="true" hidden="true" outlineLevel="0" max="13" min="10" style="25" width="9.06"/>
    <col collapsed="false" customWidth="true" hidden="true" outlineLevel="0" max="14" min="14" style="27" width="9.06"/>
    <col collapsed="false" customWidth="true" hidden="true" outlineLevel="0" max="15" min="15" style="25" width="9.06"/>
    <col collapsed="false" customWidth="true" hidden="false" outlineLevel="0" max="16" min="16" style="28" width="12.28"/>
    <col collapsed="false" customWidth="false" hidden="false" outlineLevel="0" max="17" min="17" style="25" width="9.14"/>
    <col collapsed="false" customWidth="true" hidden="false" outlineLevel="0" max="18" min="18" style="25" width="13.7"/>
    <col collapsed="false" customWidth="false" hidden="false" outlineLevel="0" max="20" min="19" style="25" width="9.14"/>
    <col collapsed="false" customWidth="true" hidden="false" outlineLevel="0" max="21" min="21" style="28" width="13.56"/>
    <col collapsed="false" customWidth="true" hidden="false" outlineLevel="0" max="22" min="22" style="25" width="42.28"/>
    <col collapsed="false" customWidth="false" hidden="false" outlineLevel="0" max="24" min="23" style="28" width="9.14"/>
    <col collapsed="false" customWidth="true" hidden="false" outlineLevel="0" max="25" min="25" style="25" width="12.42"/>
    <col collapsed="false" customWidth="false" hidden="false" outlineLevel="0" max="257" min="26" style="25" width="9.14"/>
  </cols>
  <sheetData>
    <row r="1" customFormat="false" ht="12.75" hidden="false" customHeight="false" outlineLevel="0" collapsed="false">
      <c r="A1" s="29" t="s">
        <v>90</v>
      </c>
      <c r="B1" s="16"/>
      <c r="C1" s="16"/>
      <c r="D1" s="17"/>
      <c r="E1" s="17"/>
      <c r="F1" s="15"/>
      <c r="G1" s="15"/>
      <c r="H1" s="16" t="s">
        <v>91</v>
      </c>
      <c r="I1" s="30" t="n">
        <v>31</v>
      </c>
      <c r="J1" s="31" t="s">
        <v>92</v>
      </c>
      <c r="K1" s="19"/>
      <c r="L1" s="19"/>
      <c r="M1" s="19"/>
      <c r="N1" s="20"/>
      <c r="O1" s="19"/>
      <c r="P1" s="24"/>
      <c r="Q1" s="32"/>
      <c r="R1" s="33"/>
      <c r="S1" s="33"/>
      <c r="T1" s="33"/>
      <c r="U1" s="34"/>
      <c r="V1" s="33"/>
      <c r="W1" s="35"/>
      <c r="X1" s="35"/>
    </row>
    <row r="2" customFormat="false" ht="12.75" hidden="false" customHeight="false" outlineLevel="0" collapsed="false">
      <c r="A2" s="36" t="s">
        <v>93</v>
      </c>
      <c r="B2" s="36"/>
      <c r="C2" s="36"/>
      <c r="D2" s="17"/>
      <c r="E2" s="17"/>
      <c r="F2" s="15"/>
      <c r="G2" s="15"/>
      <c r="H2" s="16"/>
      <c r="I2" s="30"/>
      <c r="J2" s="31" t="s">
        <v>94</v>
      </c>
      <c r="K2" s="19"/>
      <c r="L2" s="19"/>
      <c r="M2" s="19"/>
      <c r="N2" s="20"/>
      <c r="O2" s="19"/>
      <c r="P2" s="24"/>
      <c r="Q2" s="32"/>
      <c r="R2" s="33"/>
      <c r="S2" s="33"/>
      <c r="T2" s="33"/>
      <c r="U2" s="34"/>
      <c r="V2" s="33"/>
      <c r="W2" s="35"/>
      <c r="X2" s="35"/>
    </row>
    <row r="3" customFormat="false" ht="12.75" hidden="false" customHeight="false" outlineLevel="0" collapsed="false">
      <c r="A3" s="37" t="s">
        <v>95</v>
      </c>
      <c r="B3" s="37"/>
      <c r="C3" s="37"/>
      <c r="D3" s="17"/>
      <c r="E3" s="17"/>
      <c r="F3" s="38" t="s">
        <v>1</v>
      </c>
      <c r="G3" s="15" t="s">
        <v>1</v>
      </c>
      <c r="H3" s="32" t="s">
        <v>1</v>
      </c>
      <c r="I3" s="18"/>
      <c r="J3" s="39" t="s">
        <v>1</v>
      </c>
      <c r="K3" s="19"/>
      <c r="L3" s="39" t="s">
        <v>1</v>
      </c>
      <c r="M3" s="19"/>
      <c r="N3" s="20"/>
      <c r="O3" s="39" t="s">
        <v>1</v>
      </c>
      <c r="P3" s="24"/>
      <c r="Q3" s="32"/>
      <c r="R3" s="33"/>
      <c r="S3" s="33"/>
      <c r="T3" s="33"/>
      <c r="U3" s="34"/>
      <c r="V3" s="33"/>
      <c r="W3" s="35"/>
      <c r="X3" s="35"/>
    </row>
    <row r="4" customFormat="false" ht="12.75" hidden="false" customHeight="false" outlineLevel="0" collapsed="false">
      <c r="A4" s="40" t="s">
        <v>96</v>
      </c>
      <c r="B4" s="41"/>
      <c r="C4" s="41"/>
      <c r="D4" s="17"/>
      <c r="E4" s="17"/>
      <c r="F4" s="42"/>
      <c r="G4" s="15"/>
      <c r="H4" s="42"/>
      <c r="I4" s="18"/>
      <c r="J4" s="42"/>
      <c r="K4" s="19"/>
      <c r="L4" s="42"/>
      <c r="M4" s="32"/>
      <c r="N4" s="20"/>
      <c r="O4" s="32"/>
      <c r="P4" s="24"/>
      <c r="Q4" s="32"/>
      <c r="R4" s="33"/>
      <c r="S4" s="43"/>
      <c r="T4" s="43"/>
      <c r="U4" s="44"/>
      <c r="V4" s="33"/>
      <c r="W4" s="35"/>
      <c r="X4" s="35"/>
    </row>
    <row r="5" customFormat="false" ht="12.75" hidden="false" customHeight="false" outlineLevel="0" collapsed="false">
      <c r="A5" s="15" t="s">
        <v>97</v>
      </c>
      <c r="B5" s="16"/>
      <c r="C5" s="45" t="s">
        <v>98</v>
      </c>
      <c r="D5" s="17"/>
      <c r="E5" s="17"/>
      <c r="F5" s="42"/>
      <c r="G5" s="15"/>
      <c r="H5" s="42"/>
      <c r="I5" s="18"/>
      <c r="J5" s="42"/>
      <c r="K5" s="19"/>
      <c r="L5" s="42"/>
      <c r="M5" s="32"/>
      <c r="N5" s="20"/>
      <c r="O5" s="32"/>
      <c r="P5" s="24"/>
      <c r="Q5" s="32"/>
      <c r="R5" s="33"/>
      <c r="S5" s="43"/>
      <c r="T5" s="43"/>
      <c r="U5" s="44"/>
      <c r="V5" s="33"/>
      <c r="W5" s="35"/>
      <c r="X5" s="35"/>
    </row>
    <row r="6" customFormat="false" ht="12.75" hidden="false" customHeight="false" outlineLevel="0" collapsed="false">
      <c r="A6" s="15"/>
      <c r="B6" s="16"/>
      <c r="C6" s="45" t="s">
        <v>99</v>
      </c>
      <c r="D6" s="17"/>
      <c r="E6" s="17"/>
      <c r="F6" s="42"/>
      <c r="G6" s="15"/>
      <c r="H6" s="42"/>
      <c r="I6" s="18"/>
      <c r="J6" s="42"/>
      <c r="K6" s="19"/>
      <c r="L6" s="42"/>
      <c r="M6" s="32"/>
      <c r="N6" s="20"/>
      <c r="O6" s="32"/>
      <c r="P6" s="24"/>
      <c r="Q6" s="32"/>
      <c r="R6" s="33"/>
      <c r="S6" s="43"/>
      <c r="T6" s="43"/>
      <c r="U6" s="44"/>
      <c r="V6" s="33"/>
      <c r="W6" s="35"/>
      <c r="X6" s="35"/>
    </row>
    <row r="7" customFormat="false" ht="12.75" hidden="false" customHeight="false" outlineLevel="0" collapsed="false">
      <c r="A7" s="15"/>
      <c r="B7" s="16"/>
      <c r="C7" s="45" t="s">
        <v>100</v>
      </c>
      <c r="D7" s="17"/>
      <c r="E7" s="17"/>
      <c r="F7" s="42"/>
      <c r="G7" s="15"/>
      <c r="H7" s="42"/>
      <c r="I7" s="18"/>
      <c r="J7" s="42"/>
      <c r="K7" s="19"/>
      <c r="L7" s="42"/>
      <c r="M7" s="32"/>
      <c r="N7" s="20"/>
      <c r="O7" s="32"/>
      <c r="P7" s="24"/>
      <c r="Q7" s="32"/>
      <c r="R7" s="33"/>
      <c r="S7" s="43"/>
      <c r="T7" s="43"/>
      <c r="U7" s="44"/>
      <c r="V7" s="33"/>
      <c r="W7" s="35"/>
      <c r="X7" s="35"/>
    </row>
    <row r="8" customFormat="false" ht="12.75" hidden="false" customHeight="false" outlineLevel="0" collapsed="false">
      <c r="A8" s="15"/>
      <c r="B8" s="16"/>
      <c r="C8" s="45"/>
      <c r="D8" s="17"/>
      <c r="E8" s="17"/>
      <c r="F8" s="42"/>
      <c r="G8" s="15"/>
      <c r="H8" s="42"/>
      <c r="I8" s="18"/>
      <c r="J8" s="42"/>
      <c r="K8" s="19"/>
      <c r="L8" s="42"/>
      <c r="M8" s="32"/>
      <c r="N8" s="20"/>
      <c r="O8" s="32"/>
      <c r="P8" s="24"/>
      <c r="Q8" s="32"/>
      <c r="R8" s="33"/>
      <c r="S8" s="43"/>
      <c r="T8" s="43"/>
      <c r="U8" s="44"/>
      <c r="V8" s="33"/>
      <c r="W8" s="35"/>
      <c r="X8" s="35"/>
    </row>
    <row r="9" customFormat="false" ht="12.75" hidden="false" customHeight="false" outlineLevel="0" collapsed="false">
      <c r="A9" s="15"/>
      <c r="B9" s="16"/>
      <c r="C9" s="45"/>
      <c r="D9" s="17"/>
      <c r="E9" s="17"/>
      <c r="F9" s="42"/>
      <c r="G9" s="15"/>
      <c r="H9" s="42"/>
      <c r="I9" s="18"/>
      <c r="J9" s="42"/>
      <c r="K9" s="19"/>
      <c r="L9" s="42"/>
      <c r="M9" s="32"/>
      <c r="N9" s="20"/>
      <c r="O9" s="32"/>
      <c r="P9" s="24"/>
      <c r="Q9" s="32"/>
      <c r="R9" s="33"/>
      <c r="S9" s="43"/>
      <c r="T9" s="43"/>
      <c r="U9" s="44"/>
      <c r="V9" s="33"/>
      <c r="W9" s="35"/>
      <c r="X9" s="35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2"/>
      <c r="G10" s="15"/>
      <c r="H10" s="42"/>
      <c r="I10" s="18"/>
      <c r="J10" s="42"/>
      <c r="K10" s="19"/>
      <c r="L10" s="42"/>
      <c r="M10" s="32"/>
      <c r="N10" s="20"/>
      <c r="O10" s="32"/>
      <c r="P10" s="24"/>
      <c r="Q10" s="32"/>
      <c r="R10" s="33"/>
      <c r="S10" s="43"/>
      <c r="T10" s="43"/>
      <c r="U10" s="44"/>
      <c r="V10" s="33"/>
      <c r="W10" s="35"/>
      <c r="X10" s="35"/>
    </row>
    <row r="11" customFormat="false" ht="12.75" hidden="false" customHeight="false" outlineLevel="0" collapsed="false">
      <c r="A11" s="46" t="s">
        <v>101</v>
      </c>
      <c r="B11" s="47" t="s">
        <v>102</v>
      </c>
      <c r="C11" s="47" t="s">
        <v>103</v>
      </c>
      <c r="D11" s="48" t="s">
        <v>104</v>
      </c>
      <c r="E11" s="48"/>
      <c r="F11" s="46" t="s">
        <v>105</v>
      </c>
      <c r="G11" s="46" t="s">
        <v>106</v>
      </c>
      <c r="H11" s="47" t="s">
        <v>107</v>
      </c>
      <c r="I11" s="49" t="s">
        <v>108</v>
      </c>
      <c r="J11" s="47" t="s">
        <v>109</v>
      </c>
      <c r="K11" s="47" t="s">
        <v>110</v>
      </c>
      <c r="L11" s="47" t="s">
        <v>111</v>
      </c>
      <c r="M11" s="47" t="s">
        <v>112</v>
      </c>
      <c r="N11" s="50" t="s">
        <v>113</v>
      </c>
      <c r="O11" s="47" t="s">
        <v>114</v>
      </c>
      <c r="P11" s="51" t="s">
        <v>115</v>
      </c>
      <c r="Q11" s="47" t="s">
        <v>116</v>
      </c>
      <c r="R11" s="46" t="s">
        <v>117</v>
      </c>
      <c r="S11" s="52" t="s">
        <v>118</v>
      </c>
      <c r="T11" s="52" t="s">
        <v>119</v>
      </c>
      <c r="U11" s="53" t="s">
        <v>4</v>
      </c>
      <c r="V11" s="52" t="s">
        <v>120</v>
      </c>
      <c r="W11" s="24"/>
      <c r="X11" s="24"/>
    </row>
    <row r="12" customFormat="false" ht="12.75" hidden="false" customHeight="false" outlineLevel="0" collapsed="false">
      <c r="A12" s="15" t="s">
        <v>83</v>
      </c>
      <c r="B12" s="16" t="s">
        <v>121</v>
      </c>
      <c r="C12" s="16" t="s">
        <v>122</v>
      </c>
      <c r="D12" s="17" t="n">
        <v>36526</v>
      </c>
      <c r="E12" s="17" t="n">
        <v>36830</v>
      </c>
      <c r="F12" s="15" t="s">
        <v>123</v>
      </c>
      <c r="G12" s="15" t="s">
        <v>124</v>
      </c>
      <c r="H12" s="16"/>
      <c r="I12" s="18" t="n">
        <f aca="false">1.0603/I$1</f>
        <v>0.0342032258064516</v>
      </c>
      <c r="J12" s="19" t="n">
        <v>0.0017</v>
      </c>
      <c r="K12" s="19" t="n">
        <v>0.0022</v>
      </c>
      <c r="L12" s="19" t="n">
        <v>0</v>
      </c>
      <c r="M12" s="19" t="n">
        <v>0</v>
      </c>
      <c r="N12" s="20" t="n">
        <v>0.00593</v>
      </c>
      <c r="O12" s="19" t="n">
        <f aca="false">SUM(I12:M12)</f>
        <v>0.0381032258064516</v>
      </c>
      <c r="P12" s="24" t="n">
        <v>42789</v>
      </c>
      <c r="Q12" s="16" t="n">
        <v>30000</v>
      </c>
      <c r="R12" s="15" t="s">
        <v>125</v>
      </c>
      <c r="S12" s="22" t="n">
        <f aca="false">I12*I$1*Q12</f>
        <v>31809</v>
      </c>
      <c r="T12" s="22"/>
      <c r="U12" s="23" t="n">
        <v>140447</v>
      </c>
      <c r="V12" s="15"/>
      <c r="W12" s="24"/>
      <c r="X12" s="2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54" t="s">
        <v>1</v>
      </c>
      <c r="B13" s="55" t="s">
        <v>1</v>
      </c>
      <c r="C13" s="56" t="s">
        <v>1</v>
      </c>
      <c r="D13" s="57" t="s">
        <v>1</v>
      </c>
      <c r="E13" s="57"/>
      <c r="F13" s="54" t="s">
        <v>1</v>
      </c>
      <c r="G13" s="58" t="s">
        <v>1</v>
      </c>
      <c r="H13" s="55" t="s">
        <v>1</v>
      </c>
      <c r="I13" s="59"/>
      <c r="J13" s="60"/>
      <c r="K13" s="60"/>
      <c r="L13" s="60"/>
      <c r="M13" s="60"/>
      <c r="N13" s="61"/>
      <c r="O13" s="60"/>
      <c r="P13" s="62" t="s">
        <v>1</v>
      </c>
      <c r="Q13" s="55" t="n">
        <f aca="false">SUM(Q12)</f>
        <v>30000</v>
      </c>
      <c r="R13" s="54" t="s">
        <v>1</v>
      </c>
      <c r="S13" s="63" t="n">
        <f aca="false">SUM(S12)</f>
        <v>31809</v>
      </c>
      <c r="T13" s="63" t="n">
        <f aca="false">SUM(T12)</f>
        <v>0</v>
      </c>
      <c r="U13" s="64"/>
      <c r="V13" s="65"/>
      <c r="W13" s="24"/>
      <c r="X13" s="24"/>
    </row>
    <row r="14" customFormat="false" ht="12.75" hidden="false" customHeight="false" outlineLevel="0" collapsed="false">
      <c r="A14" s="46" t="s">
        <v>101</v>
      </c>
      <c r="B14" s="47" t="s">
        <v>102</v>
      </c>
      <c r="C14" s="47" t="s">
        <v>103</v>
      </c>
      <c r="D14" s="48" t="s">
        <v>104</v>
      </c>
      <c r="E14" s="48"/>
      <c r="F14" s="46" t="s">
        <v>105</v>
      </c>
      <c r="G14" s="46" t="s">
        <v>106</v>
      </c>
      <c r="H14" s="47" t="s">
        <v>107</v>
      </c>
      <c r="I14" s="49" t="s">
        <v>108</v>
      </c>
      <c r="J14" s="47" t="s">
        <v>109</v>
      </c>
      <c r="K14" s="47" t="s">
        <v>110</v>
      </c>
      <c r="L14" s="47" t="s">
        <v>111</v>
      </c>
      <c r="M14" s="47" t="s">
        <v>112</v>
      </c>
      <c r="N14" s="50" t="s">
        <v>113</v>
      </c>
      <c r="O14" s="47" t="s">
        <v>114</v>
      </c>
      <c r="P14" s="51" t="s">
        <v>115</v>
      </c>
      <c r="Q14" s="47" t="s">
        <v>116</v>
      </c>
      <c r="R14" s="46" t="s">
        <v>117</v>
      </c>
      <c r="S14" s="52" t="s">
        <v>126</v>
      </c>
      <c r="T14" s="52" t="s">
        <v>126</v>
      </c>
      <c r="U14" s="53"/>
      <c r="V14" s="52" t="str">
        <f aca="false">+V11</f>
        <v>Questions</v>
      </c>
      <c r="W14" s="24"/>
      <c r="X14" s="24"/>
    </row>
    <row r="15" customFormat="false" ht="12.75" hidden="false" customHeight="false" outlineLevel="0" collapsed="false">
      <c r="A15" s="15" t="s">
        <v>83</v>
      </c>
      <c r="B15" s="16" t="s">
        <v>127</v>
      </c>
      <c r="C15" s="16" t="s">
        <v>122</v>
      </c>
      <c r="D15" s="17" t="n">
        <v>36526</v>
      </c>
      <c r="E15" s="17" t="s">
        <v>81</v>
      </c>
      <c r="F15" s="15" t="s">
        <v>128</v>
      </c>
      <c r="G15" s="15" t="s">
        <v>128</v>
      </c>
      <c r="H15" s="16"/>
      <c r="I15" s="18" t="n">
        <v>0</v>
      </c>
      <c r="J15" s="19" t="n">
        <v>0</v>
      </c>
      <c r="K15" s="19" t="n">
        <v>0</v>
      </c>
      <c r="L15" s="19" t="n">
        <v>0</v>
      </c>
      <c r="M15" s="19" t="n">
        <v>0</v>
      </c>
      <c r="N15" s="20" t="n">
        <v>0</v>
      </c>
      <c r="O15" s="19" t="n">
        <f aca="false">SUM(I15:M15)</f>
        <v>0</v>
      </c>
      <c r="P15" s="24" t="n">
        <v>36907</v>
      </c>
      <c r="Q15" s="16" t="n">
        <v>0</v>
      </c>
      <c r="R15" s="15" t="s">
        <v>129</v>
      </c>
      <c r="S15" s="22" t="n">
        <f aca="false">I15*I$1*Q15</f>
        <v>0</v>
      </c>
      <c r="T15" s="22"/>
      <c r="U15" s="23" t="n">
        <v>148659</v>
      </c>
      <c r="V15" s="22"/>
      <c r="W15" s="24"/>
      <c r="X15" s="2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130</v>
      </c>
      <c r="B16" s="16" t="s">
        <v>127</v>
      </c>
      <c r="C16" s="16" t="s">
        <v>131</v>
      </c>
      <c r="D16" s="17" t="n">
        <v>36526</v>
      </c>
      <c r="E16" s="17" t="s">
        <v>81</v>
      </c>
      <c r="F16" s="15" t="s">
        <v>128</v>
      </c>
      <c r="G16" s="15" t="s">
        <v>128</v>
      </c>
      <c r="H16" s="16"/>
      <c r="I16" s="18" t="n">
        <v>0</v>
      </c>
      <c r="J16" s="19" t="n">
        <v>0</v>
      </c>
      <c r="K16" s="19" t="n">
        <v>0</v>
      </c>
      <c r="L16" s="19" t="n">
        <v>0</v>
      </c>
      <c r="M16" s="19" t="n">
        <v>0</v>
      </c>
      <c r="N16" s="20" t="n">
        <v>0</v>
      </c>
      <c r="O16" s="19" t="n">
        <f aca="false">SUM(I16:M16)</f>
        <v>0</v>
      </c>
      <c r="P16" s="24" t="n">
        <v>48049</v>
      </c>
      <c r="Q16" s="16" t="n">
        <v>0</v>
      </c>
      <c r="R16" s="15" t="s">
        <v>129</v>
      </c>
      <c r="S16" s="22" t="n">
        <f aca="false">I16*I$1*Q16</f>
        <v>0</v>
      </c>
      <c r="T16" s="22"/>
      <c r="U16" s="23" t="n">
        <v>149173</v>
      </c>
      <c r="V16" s="22"/>
      <c r="W16" s="24"/>
      <c r="X16" s="2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83</v>
      </c>
      <c r="B17" s="16" t="s">
        <v>127</v>
      </c>
      <c r="C17" s="16" t="s">
        <v>122</v>
      </c>
      <c r="D17" s="17" t="n">
        <v>36526</v>
      </c>
      <c r="E17" s="17" t="s">
        <v>81</v>
      </c>
      <c r="F17" s="15" t="s">
        <v>128</v>
      </c>
      <c r="G17" s="15" t="s">
        <v>128</v>
      </c>
      <c r="H17" s="16"/>
      <c r="I17" s="18" t="n">
        <v>0</v>
      </c>
      <c r="J17" s="19" t="n">
        <v>0</v>
      </c>
      <c r="K17" s="19" t="n">
        <v>0</v>
      </c>
      <c r="L17" s="19" t="n">
        <v>0</v>
      </c>
      <c r="M17" s="19" t="n">
        <v>0</v>
      </c>
      <c r="N17" s="20" t="n">
        <v>0</v>
      </c>
      <c r="O17" s="19" t="n">
        <f aca="false">SUM(I17:M17)</f>
        <v>0</v>
      </c>
      <c r="P17" s="24" t="n">
        <v>39999</v>
      </c>
      <c r="Q17" s="16" t="n">
        <v>0</v>
      </c>
      <c r="R17" s="15" t="s">
        <v>132</v>
      </c>
      <c r="S17" s="22" t="n">
        <f aca="false">I17*I$1*Q17</f>
        <v>0</v>
      </c>
      <c r="T17" s="22"/>
      <c r="U17" s="23" t="n">
        <v>149337</v>
      </c>
      <c r="V17" s="22"/>
      <c r="W17" s="24"/>
      <c r="X17" s="2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130</v>
      </c>
      <c r="B18" s="16" t="s">
        <v>127</v>
      </c>
      <c r="C18" s="16" t="s">
        <v>131</v>
      </c>
      <c r="D18" s="17" t="n">
        <v>36526</v>
      </c>
      <c r="E18" s="17" t="s">
        <v>81</v>
      </c>
      <c r="F18" s="15" t="s">
        <v>128</v>
      </c>
      <c r="G18" s="15" t="s">
        <v>128</v>
      </c>
      <c r="H18" s="16"/>
      <c r="I18" s="18" t="n">
        <v>0</v>
      </c>
      <c r="J18" s="19" t="n">
        <v>0</v>
      </c>
      <c r="K18" s="19" t="n">
        <v>0</v>
      </c>
      <c r="L18" s="19" t="n">
        <v>0</v>
      </c>
      <c r="M18" s="19" t="n">
        <v>0</v>
      </c>
      <c r="N18" s="20" t="n">
        <v>0</v>
      </c>
      <c r="O18" s="19" t="n">
        <f aca="false">SUM(I18:M18)</f>
        <v>0</v>
      </c>
      <c r="P18" s="24" t="n">
        <v>48050</v>
      </c>
      <c r="Q18" s="16" t="n">
        <v>0</v>
      </c>
      <c r="R18" s="15" t="s">
        <v>132</v>
      </c>
      <c r="S18" s="22" t="n">
        <f aca="false">I18*I$1*Q18</f>
        <v>0</v>
      </c>
      <c r="T18" s="22"/>
      <c r="U18" s="23" t="n">
        <v>149338</v>
      </c>
      <c r="V18" s="22"/>
      <c r="W18" s="24"/>
      <c r="X18" s="2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/>
      <c r="B19" s="16"/>
      <c r="C19" s="16"/>
      <c r="D19" s="17" t="s">
        <v>1</v>
      </c>
      <c r="E19" s="17"/>
      <c r="F19" s="15"/>
      <c r="G19" s="15"/>
      <c r="H19" s="16"/>
      <c r="I19" s="18"/>
      <c r="J19" s="19"/>
      <c r="K19" s="66"/>
      <c r="L19" s="19"/>
      <c r="M19" s="19"/>
      <c r="N19" s="20"/>
      <c r="O19" s="19"/>
      <c r="P19" s="35"/>
      <c r="Q19" s="43"/>
      <c r="R19" s="67"/>
      <c r="S19" s="68"/>
      <c r="T19" s="33"/>
      <c r="U19" s="34"/>
      <c r="V19" s="33"/>
      <c r="W19" s="35"/>
      <c r="X19" s="35"/>
    </row>
    <row r="20" customFormat="false" ht="12.75" hidden="false" customHeight="false" outlineLevel="0" collapsed="false">
      <c r="A20" s="46" t="s">
        <v>101</v>
      </c>
      <c r="B20" s="47" t="s">
        <v>102</v>
      </c>
      <c r="C20" s="47" t="s">
        <v>103</v>
      </c>
      <c r="D20" s="48" t="s">
        <v>104</v>
      </c>
      <c r="E20" s="48"/>
      <c r="F20" s="46" t="s">
        <v>105</v>
      </c>
      <c r="G20" s="46" t="s">
        <v>106</v>
      </c>
      <c r="H20" s="47" t="s">
        <v>107</v>
      </c>
      <c r="I20" s="49" t="s">
        <v>108</v>
      </c>
      <c r="J20" s="47" t="s">
        <v>109</v>
      </c>
      <c r="K20" s="47" t="s">
        <v>110</v>
      </c>
      <c r="L20" s="47" t="s">
        <v>111</v>
      </c>
      <c r="M20" s="47" t="s">
        <v>112</v>
      </c>
      <c r="N20" s="50" t="s">
        <v>113</v>
      </c>
      <c r="O20" s="47" t="s">
        <v>114</v>
      </c>
      <c r="P20" s="51" t="s">
        <v>115</v>
      </c>
      <c r="Q20" s="47" t="s">
        <v>116</v>
      </c>
      <c r="R20" s="46" t="s">
        <v>117</v>
      </c>
      <c r="S20" s="52" t="s">
        <v>118</v>
      </c>
      <c r="T20" s="52" t="s">
        <v>119</v>
      </c>
      <c r="U20" s="53" t="s">
        <v>4</v>
      </c>
      <c r="V20" s="52" t="s">
        <v>120</v>
      </c>
      <c r="W20" s="24"/>
      <c r="X20" s="24"/>
    </row>
    <row r="21" customFormat="false" ht="12.75" hidden="false" customHeight="false" outlineLevel="0" collapsed="false">
      <c r="A21" s="15" t="s">
        <v>83</v>
      </c>
      <c r="B21" s="16" t="s">
        <v>133</v>
      </c>
      <c r="C21" s="16" t="s">
        <v>122</v>
      </c>
      <c r="D21" s="17" t="n">
        <v>36526</v>
      </c>
      <c r="E21" s="17" t="s">
        <v>81</v>
      </c>
      <c r="F21" s="15" t="s">
        <v>85</v>
      </c>
      <c r="G21" s="15" t="s">
        <v>85</v>
      </c>
      <c r="H21" s="16" t="s">
        <v>11</v>
      </c>
      <c r="I21" s="18" t="n">
        <v>0</v>
      </c>
      <c r="J21" s="19" t="n">
        <v>0</v>
      </c>
      <c r="K21" s="19" t="n">
        <v>0</v>
      </c>
      <c r="L21" s="19" t="n">
        <v>0</v>
      </c>
      <c r="M21" s="19" t="n">
        <v>0</v>
      </c>
      <c r="N21" s="20" t="n">
        <v>0</v>
      </c>
      <c r="O21" s="19" t="n">
        <f aca="false">SUM(I21:M21)</f>
        <v>0</v>
      </c>
      <c r="P21" s="24" t="n">
        <v>238</v>
      </c>
      <c r="Q21" s="16" t="n">
        <v>0</v>
      </c>
      <c r="R21" s="15" t="s">
        <v>134</v>
      </c>
      <c r="S21" s="22" t="n">
        <f aca="false">I21*I$1*Q21</f>
        <v>0</v>
      </c>
      <c r="T21" s="22"/>
      <c r="U21" s="23" t="n">
        <v>149902</v>
      </c>
      <c r="V21" s="15"/>
      <c r="W21" s="24"/>
      <c r="X21" s="2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54" t="s">
        <v>1</v>
      </c>
      <c r="B22" s="55" t="s">
        <v>1</v>
      </c>
      <c r="C22" s="56" t="s">
        <v>1</v>
      </c>
      <c r="D22" s="57" t="s">
        <v>1</v>
      </c>
      <c r="E22" s="57"/>
      <c r="F22" s="54" t="s">
        <v>1</v>
      </c>
      <c r="G22" s="58" t="s">
        <v>1</v>
      </c>
      <c r="H22" s="55" t="s">
        <v>1</v>
      </c>
      <c r="I22" s="59"/>
      <c r="J22" s="60"/>
      <c r="K22" s="60"/>
      <c r="L22" s="60"/>
      <c r="M22" s="60"/>
      <c r="N22" s="61"/>
      <c r="O22" s="60"/>
      <c r="P22" s="62" t="s">
        <v>1</v>
      </c>
      <c r="Q22" s="55" t="n">
        <f aca="false">SUM(Q21)</f>
        <v>0</v>
      </c>
      <c r="R22" s="54" t="s">
        <v>1</v>
      </c>
      <c r="S22" s="63" t="n">
        <f aca="false">SUM(S21)</f>
        <v>0</v>
      </c>
      <c r="T22" s="63" t="n">
        <f aca="false">SUM(T21)</f>
        <v>0</v>
      </c>
      <c r="U22" s="64"/>
      <c r="V22" s="65"/>
      <c r="W22" s="24"/>
      <c r="X22" s="24"/>
    </row>
    <row r="23" customFormat="false" ht="12.75" hidden="false" customHeight="false" outlineLevel="0" collapsed="false">
      <c r="A23" s="46" t="s">
        <v>101</v>
      </c>
      <c r="B23" s="47" t="s">
        <v>102</v>
      </c>
      <c r="C23" s="47" t="s">
        <v>103</v>
      </c>
      <c r="D23" s="48" t="s">
        <v>104</v>
      </c>
      <c r="E23" s="48"/>
      <c r="F23" s="46" t="s">
        <v>105</v>
      </c>
      <c r="G23" s="46" t="s">
        <v>106</v>
      </c>
      <c r="H23" s="47" t="s">
        <v>107</v>
      </c>
      <c r="I23" s="49" t="s">
        <v>108</v>
      </c>
      <c r="J23" s="47" t="s">
        <v>109</v>
      </c>
      <c r="K23" s="47" t="s">
        <v>110</v>
      </c>
      <c r="L23" s="47" t="s">
        <v>111</v>
      </c>
      <c r="M23" s="47" t="s">
        <v>112</v>
      </c>
      <c r="N23" s="50" t="s">
        <v>113</v>
      </c>
      <c r="O23" s="47" t="s">
        <v>114</v>
      </c>
      <c r="P23" s="51" t="s">
        <v>115</v>
      </c>
      <c r="Q23" s="47" t="s">
        <v>116</v>
      </c>
      <c r="R23" s="46" t="s">
        <v>117</v>
      </c>
      <c r="S23" s="52" t="s">
        <v>118</v>
      </c>
      <c r="T23" s="52" t="s">
        <v>119</v>
      </c>
      <c r="U23" s="53" t="s">
        <v>4</v>
      </c>
      <c r="V23" s="52" t="s">
        <v>120</v>
      </c>
      <c r="W23" s="24"/>
      <c r="X23" s="24"/>
    </row>
    <row r="24" customFormat="false" ht="12.75" hidden="false" customHeight="false" outlineLevel="0" collapsed="false">
      <c r="A24" s="15" t="s">
        <v>83</v>
      </c>
      <c r="B24" s="16" t="s">
        <v>84</v>
      </c>
      <c r="C24" s="16" t="s">
        <v>122</v>
      </c>
      <c r="D24" s="17" t="n">
        <v>36526</v>
      </c>
      <c r="E24" s="17" t="s">
        <v>81</v>
      </c>
      <c r="F24" s="15" t="s">
        <v>85</v>
      </c>
      <c r="G24" s="15" t="s">
        <v>85</v>
      </c>
      <c r="H24" s="16" t="s">
        <v>11</v>
      </c>
      <c r="I24" s="18" t="n">
        <v>0</v>
      </c>
      <c r="J24" s="19" t="n">
        <v>0</v>
      </c>
      <c r="K24" s="19" t="n">
        <v>0</v>
      </c>
      <c r="L24" s="19" t="n">
        <v>0</v>
      </c>
      <c r="M24" s="19" t="n">
        <v>0</v>
      </c>
      <c r="N24" s="20" t="n">
        <v>0</v>
      </c>
      <c r="O24" s="19" t="n">
        <f aca="false">SUM(I24:M24)</f>
        <v>0</v>
      </c>
      <c r="P24" s="24" t="n">
        <v>3.2846</v>
      </c>
      <c r="Q24" s="16" t="n">
        <v>0</v>
      </c>
      <c r="R24" s="15" t="s">
        <v>134</v>
      </c>
      <c r="S24" s="22" t="n">
        <f aca="false">I24*I$1*Q24</f>
        <v>0</v>
      </c>
      <c r="T24" s="22"/>
      <c r="U24" s="23" t="n">
        <v>149876</v>
      </c>
      <c r="V24" s="15"/>
      <c r="W24" s="24"/>
      <c r="X24" s="2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54" t="s">
        <v>1</v>
      </c>
      <c r="B25" s="55" t="s">
        <v>1</v>
      </c>
      <c r="C25" s="56" t="s">
        <v>1</v>
      </c>
      <c r="D25" s="57" t="s">
        <v>1</v>
      </c>
      <c r="E25" s="57"/>
      <c r="F25" s="54" t="s">
        <v>1</v>
      </c>
      <c r="G25" s="58" t="s">
        <v>1</v>
      </c>
      <c r="H25" s="55" t="s">
        <v>1</v>
      </c>
      <c r="I25" s="59"/>
      <c r="J25" s="60"/>
      <c r="K25" s="60"/>
      <c r="L25" s="60"/>
      <c r="M25" s="60"/>
      <c r="N25" s="61"/>
      <c r="O25" s="60"/>
      <c r="P25" s="62" t="s">
        <v>1</v>
      </c>
      <c r="Q25" s="55" t="n">
        <f aca="false">SUM(Q24)</f>
        <v>0</v>
      </c>
      <c r="R25" s="54" t="s">
        <v>1</v>
      </c>
      <c r="S25" s="63" t="n">
        <f aca="false">SUM(S24)</f>
        <v>0</v>
      </c>
      <c r="T25" s="63" t="n">
        <f aca="false">SUM(T24)</f>
        <v>0</v>
      </c>
      <c r="U25" s="64"/>
      <c r="V25" s="65"/>
      <c r="W25" s="24"/>
      <c r="X25" s="24"/>
    </row>
    <row r="26" customFormat="false" ht="12.75" hidden="false" customHeight="false" outlineLevel="0" collapsed="false">
      <c r="A26" s="26"/>
      <c r="B26" s="16"/>
      <c r="C26" s="16"/>
      <c r="D26" s="17"/>
      <c r="E26" s="17"/>
      <c r="F26" s="15"/>
      <c r="G26" s="15"/>
      <c r="H26" s="16"/>
      <c r="I26" s="18"/>
      <c r="J26" s="19"/>
      <c r="K26" s="19"/>
      <c r="L26" s="19"/>
      <c r="M26" s="19"/>
      <c r="N26" s="20"/>
      <c r="O26" s="19"/>
      <c r="P26" s="35"/>
      <c r="Q26" s="69"/>
      <c r="R26" s="67"/>
      <c r="S26" s="33"/>
      <c r="T26" s="33"/>
      <c r="U26" s="34"/>
      <c r="V26" s="33"/>
      <c r="W26" s="35"/>
      <c r="X26" s="35"/>
    </row>
    <row r="27" customFormat="false" ht="12.75" hidden="false" customHeight="false" outlineLevel="0" collapsed="false">
      <c r="A27" s="26"/>
      <c r="B27" s="16"/>
      <c r="C27" s="16"/>
      <c r="D27" s="17"/>
      <c r="E27" s="17"/>
      <c r="F27" s="15"/>
      <c r="G27" s="15"/>
      <c r="H27" s="16"/>
      <c r="I27" s="19"/>
      <c r="J27" s="19"/>
      <c r="K27" s="19"/>
      <c r="L27" s="19"/>
      <c r="M27" s="19"/>
      <c r="N27" s="20"/>
      <c r="O27" s="19"/>
      <c r="P27" s="35"/>
      <c r="Q27" s="69"/>
      <c r="R27" s="33"/>
      <c r="S27" s="33"/>
      <c r="T27" s="33"/>
      <c r="U27" s="34"/>
      <c r="V27" s="33"/>
      <c r="W27" s="35"/>
      <c r="X27" s="35"/>
    </row>
    <row r="28" customFormat="false" ht="12.75" hidden="false" customHeight="false" outlineLevel="0" collapsed="false">
      <c r="A28" s="26"/>
      <c r="B28" s="16"/>
      <c r="C28" s="16"/>
      <c r="D28" s="17"/>
      <c r="E28" s="17"/>
      <c r="F28" s="15"/>
      <c r="G28" s="15"/>
      <c r="H28" s="16"/>
      <c r="I28" s="18"/>
      <c r="J28" s="19"/>
      <c r="K28" s="19"/>
      <c r="L28" s="19"/>
      <c r="M28" s="19"/>
      <c r="N28" s="20"/>
      <c r="O28" s="19"/>
      <c r="P28" s="35"/>
      <c r="Q28" s="69"/>
      <c r="R28" s="33"/>
      <c r="S28" s="33"/>
      <c r="T28" s="33"/>
      <c r="U28" s="34"/>
      <c r="V28" s="33"/>
      <c r="W28" s="35"/>
      <c r="X28" s="35"/>
    </row>
    <row r="29" customFormat="false" ht="12.75" hidden="false" customHeight="false" outlineLevel="0" collapsed="false">
      <c r="A29" s="26" t="s">
        <v>135</v>
      </c>
      <c r="B29" s="16"/>
      <c r="C29" s="16"/>
      <c r="D29" s="17"/>
      <c r="E29" s="17"/>
      <c r="F29" s="15"/>
      <c r="G29" s="15"/>
      <c r="H29" s="16"/>
      <c r="I29" s="19"/>
      <c r="J29" s="19"/>
      <c r="K29" s="19"/>
      <c r="L29" s="19"/>
      <c r="M29" s="19"/>
      <c r="N29" s="20"/>
      <c r="O29" s="19"/>
      <c r="P29" s="35"/>
      <c r="Q29" s="69"/>
      <c r="R29" s="33"/>
      <c r="S29" s="33"/>
      <c r="T29" s="33"/>
      <c r="U29" s="34"/>
      <c r="V29" s="33"/>
      <c r="W29" s="35"/>
      <c r="X29" s="35"/>
    </row>
    <row r="30" customFormat="false" ht="12.75" hidden="false" customHeight="false" outlineLevel="0" collapsed="false">
      <c r="A30" s="26"/>
      <c r="B30" s="15" t="s">
        <v>136</v>
      </c>
      <c r="C30" s="16"/>
      <c r="D30" s="17"/>
      <c r="E30" s="17"/>
      <c r="F30" s="15"/>
      <c r="G30" s="15"/>
      <c r="H30" s="16"/>
      <c r="I30" s="18"/>
      <c r="J30" s="19"/>
      <c r="K30" s="19"/>
      <c r="L30" s="19"/>
      <c r="M30" s="19"/>
      <c r="N30" s="20"/>
      <c r="O30" s="19"/>
      <c r="P30" s="35"/>
      <c r="Q30" s="69"/>
      <c r="R30" s="33"/>
      <c r="S30" s="33"/>
      <c r="T30" s="33"/>
      <c r="U30" s="34"/>
      <c r="V30" s="33"/>
      <c r="W30" s="35"/>
      <c r="X30" s="35"/>
    </row>
    <row r="31" customFormat="false" ht="12.75" hidden="false" customHeight="false" outlineLevel="0" collapsed="false">
      <c r="A31" s="26"/>
      <c r="B31" s="16" t="s">
        <v>137</v>
      </c>
      <c r="C31" s="24" t="n">
        <v>149776</v>
      </c>
      <c r="D31" s="17"/>
      <c r="E31" s="17"/>
      <c r="F31" s="15"/>
      <c r="G31" s="15"/>
      <c r="H31" s="16"/>
      <c r="I31" s="19"/>
      <c r="J31" s="19"/>
      <c r="K31" s="19"/>
      <c r="L31" s="19"/>
      <c r="M31" s="19"/>
      <c r="N31" s="20"/>
      <c r="O31" s="19"/>
      <c r="P31" s="35"/>
      <c r="Q31" s="69"/>
      <c r="R31" s="33"/>
      <c r="S31" s="33"/>
      <c r="T31" s="33"/>
      <c r="U31" s="34"/>
      <c r="V31" s="33"/>
      <c r="W31" s="35"/>
      <c r="X31" s="35"/>
    </row>
    <row r="32" customFormat="false" ht="12.75" hidden="false" customHeight="false" outlineLevel="0" collapsed="false">
      <c r="A32" s="26"/>
      <c r="B32" s="16" t="s">
        <v>138</v>
      </c>
      <c r="C32" s="24" t="n">
        <v>149775</v>
      </c>
      <c r="D32" s="17"/>
      <c r="E32" s="17"/>
      <c r="F32" s="15"/>
      <c r="G32" s="15"/>
      <c r="H32" s="16"/>
      <c r="I32" s="19"/>
      <c r="J32" s="19"/>
      <c r="K32" s="19"/>
      <c r="L32" s="19"/>
      <c r="M32" s="19"/>
      <c r="N32" s="20"/>
      <c r="O32" s="19"/>
      <c r="P32" s="35"/>
      <c r="Q32" s="69"/>
      <c r="R32" s="33"/>
      <c r="S32" s="33"/>
      <c r="T32" s="33"/>
      <c r="U32" s="34"/>
      <c r="V32" s="33"/>
      <c r="W32" s="67"/>
      <c r="X32" s="35"/>
    </row>
    <row r="33" customFormat="false" ht="12.75" hidden="false" customHeight="false" outlineLevel="0" collapsed="false">
      <c r="A33" s="26"/>
      <c r="B33" s="16"/>
      <c r="C33" s="16"/>
      <c r="D33" s="17"/>
      <c r="E33" s="17"/>
      <c r="F33" s="15"/>
      <c r="G33" s="15"/>
      <c r="H33" s="16"/>
      <c r="I33" s="19"/>
      <c r="J33" s="19"/>
      <c r="K33" s="19"/>
      <c r="L33" s="19"/>
      <c r="M33" s="19"/>
      <c r="N33" s="20"/>
      <c r="O33" s="19"/>
      <c r="P33" s="35"/>
      <c r="Q33" s="69"/>
      <c r="R33" s="33"/>
      <c r="S33" s="33"/>
      <c r="T33" s="33"/>
      <c r="U33" s="34"/>
      <c r="V33" s="33"/>
      <c r="W33" s="35"/>
      <c r="X33" s="35"/>
    </row>
    <row r="34" customFormat="false" ht="12.75" hidden="false" customHeight="false" outlineLevel="0" collapsed="false">
      <c r="A34" s="26"/>
      <c r="B34" s="16"/>
      <c r="C34" s="16"/>
      <c r="D34" s="17"/>
      <c r="E34" s="17"/>
      <c r="F34" s="15"/>
      <c r="G34" s="15"/>
      <c r="H34" s="16"/>
      <c r="I34" s="19"/>
      <c r="J34" s="19"/>
      <c r="K34" s="19"/>
      <c r="L34" s="19"/>
      <c r="M34" s="19"/>
      <c r="N34" s="20"/>
      <c r="O34" s="19"/>
      <c r="P34" s="35"/>
      <c r="Q34" s="69"/>
      <c r="R34" s="33"/>
      <c r="S34" s="33"/>
      <c r="T34" s="33"/>
      <c r="U34" s="34"/>
      <c r="V34" s="33"/>
      <c r="W34" s="35"/>
      <c r="X34" s="35"/>
    </row>
    <row r="35" customFormat="false" ht="12.75" hidden="false" customHeight="false" outlineLevel="0" collapsed="false">
      <c r="A35" s="26"/>
      <c r="B35" s="16"/>
      <c r="C35" s="16"/>
      <c r="D35" s="17"/>
      <c r="E35" s="17"/>
      <c r="F35" s="15"/>
      <c r="G35" s="15"/>
      <c r="H35" s="16"/>
      <c r="I35" s="18"/>
      <c r="J35" s="19"/>
      <c r="K35" s="19"/>
      <c r="L35" s="19"/>
      <c r="M35" s="19"/>
      <c r="N35" s="20"/>
      <c r="O35" s="19"/>
      <c r="P35" s="35"/>
      <c r="Q35" s="69"/>
      <c r="R35" s="67"/>
      <c r="S35" s="33"/>
      <c r="T35" s="33"/>
      <c r="U35" s="34"/>
      <c r="V35" s="33"/>
      <c r="W35" s="35"/>
      <c r="X35" s="35"/>
    </row>
    <row r="36" customFormat="false" ht="12.75" hidden="false" customHeight="false" outlineLevel="0" collapsed="false">
      <c r="A36" s="26"/>
      <c r="B36" s="16"/>
      <c r="C36" s="16"/>
      <c r="D36" s="17"/>
      <c r="E36" s="17"/>
      <c r="F36" s="15"/>
      <c r="G36" s="15"/>
      <c r="H36" s="16"/>
      <c r="I36" s="18"/>
      <c r="J36" s="19"/>
      <c r="K36" s="19"/>
      <c r="L36" s="19"/>
      <c r="M36" s="19"/>
      <c r="N36" s="20"/>
      <c r="O36" s="19"/>
      <c r="P36" s="35"/>
      <c r="Q36" s="69"/>
      <c r="R36" s="67"/>
      <c r="S36" s="33"/>
      <c r="T36" s="33"/>
      <c r="U36" s="34"/>
      <c r="V36" s="33"/>
      <c r="W36" s="35"/>
      <c r="X36" s="35"/>
    </row>
    <row r="37" customFormat="false" ht="12.75" hidden="false" customHeight="false" outlineLevel="0" collapsed="false">
      <c r="P37" s="70"/>
      <c r="Q37" s="71"/>
      <c r="R37" s="71"/>
      <c r="S37" s="71"/>
      <c r="T37" s="71"/>
      <c r="U37" s="70"/>
      <c r="V37" s="71"/>
      <c r="W37" s="70"/>
    </row>
    <row r="38" customFormat="false" ht="12.75" hidden="false" customHeight="false" outlineLevel="0" collapsed="false">
      <c r="P38" s="70"/>
      <c r="Q38" s="71"/>
      <c r="R38" s="71"/>
      <c r="S38" s="71"/>
      <c r="T38" s="71"/>
      <c r="U38" s="70"/>
      <c r="V38" s="71"/>
      <c r="W38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true" showRowColHeaders="true" showZeros="true" rightToLeft="false" tabSelected="false" showOutlineSymbols="true" defaultGridColor="true" view="normal" topLeftCell="B98" colorId="64" zoomScale="100" zoomScaleNormal="100" zoomScalePageLayoutView="100" workbookViewId="0">
      <selection pane="topLeft" activeCell="D110" activeCellId="0" sqref="D109:D1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8.85"/>
    <col collapsed="false" customWidth="false" hidden="false" outlineLevel="0" max="2" min="2" style="25" width="9.14"/>
    <col collapsed="false" customWidth="true" hidden="false" outlineLevel="0" max="3" min="3" style="25" width="10.56"/>
    <col collapsed="false" customWidth="true" hidden="false" outlineLevel="0" max="4" min="4" style="25" width="8.7"/>
    <col collapsed="false" customWidth="true" hidden="false" outlineLevel="0" max="5" min="5" style="25" width="10.99"/>
    <col collapsed="false" customWidth="true" hidden="false" outlineLevel="0" max="6" min="6" style="26" width="12.42"/>
    <col collapsed="false" customWidth="true" hidden="false" outlineLevel="0" max="7" min="7" style="26" width="7.99"/>
    <col collapsed="false" customWidth="true" hidden="false" outlineLevel="0" max="8" min="8" style="25" width="6.41"/>
    <col collapsed="false" customWidth="true" hidden="false" outlineLevel="0" max="9" min="9" style="25" width="8.85"/>
    <col collapsed="false" customWidth="true" hidden="true" outlineLevel="0" max="13" min="10" style="25" width="9.06"/>
    <col collapsed="false" customWidth="true" hidden="true" outlineLevel="0" max="14" min="14" style="27" width="9.06"/>
    <col collapsed="false" customWidth="true" hidden="true" outlineLevel="0" max="15" min="15" style="25" width="9.06"/>
    <col collapsed="false" customWidth="true" hidden="false" outlineLevel="0" max="16" min="16" style="25" width="12.28"/>
    <col collapsed="false" customWidth="false" hidden="false" outlineLevel="0" max="17" min="17" style="25" width="9.14"/>
    <col collapsed="false" customWidth="true" hidden="false" outlineLevel="0" max="18" min="18" style="25" width="13.7"/>
    <col collapsed="false" customWidth="true" hidden="false" outlineLevel="0" max="19" min="19" style="1" width="12.85"/>
    <col collapsed="false" customWidth="true" hidden="false" outlineLevel="0" max="20" min="20" style="28" width="13.56"/>
    <col collapsed="false" customWidth="false" hidden="false" outlineLevel="0" max="22" min="21" style="28" width="9.14"/>
    <col collapsed="false" customWidth="true" hidden="false" outlineLevel="0" max="23" min="23" style="25" width="12.42"/>
    <col collapsed="false" customWidth="false" hidden="false" outlineLevel="0" max="257" min="24" style="25" width="9.14"/>
  </cols>
  <sheetData>
    <row r="1" customFormat="false" ht="12.75" hidden="false" customHeight="false" outlineLevel="0" collapsed="false">
      <c r="A1" s="29" t="s">
        <v>139</v>
      </c>
      <c r="B1" s="16"/>
      <c r="C1" s="16"/>
      <c r="D1" s="17"/>
      <c r="E1" s="17"/>
      <c r="F1" s="15" t="s">
        <v>140</v>
      </c>
      <c r="G1" s="15" t="n">
        <v>1</v>
      </c>
      <c r="H1" s="16" t="s">
        <v>91</v>
      </c>
      <c r="I1" s="30" t="n">
        <v>28</v>
      </c>
      <c r="J1" s="31" t="s">
        <v>92</v>
      </c>
      <c r="K1" s="19"/>
      <c r="L1" s="19"/>
      <c r="M1" s="19"/>
      <c r="N1" s="20"/>
      <c r="O1" s="19"/>
      <c r="P1" s="21"/>
      <c r="Q1" s="32"/>
      <c r="R1" s="33"/>
      <c r="S1" s="33"/>
      <c r="T1" s="34"/>
      <c r="U1" s="35"/>
      <c r="V1" s="35"/>
    </row>
    <row r="2" customFormat="false" ht="12.75" hidden="false" customHeight="false" outlineLevel="0" collapsed="false">
      <c r="A2" s="15" t="s">
        <v>93</v>
      </c>
      <c r="B2" s="15"/>
      <c r="C2" s="15"/>
      <c r="D2" s="17"/>
      <c r="E2" s="17"/>
      <c r="F2" s="15"/>
      <c r="G2" s="15"/>
      <c r="H2" s="16"/>
      <c r="I2" s="30"/>
      <c r="J2" s="31" t="s">
        <v>94</v>
      </c>
      <c r="K2" s="19"/>
      <c r="L2" s="19"/>
      <c r="M2" s="19"/>
      <c r="N2" s="20"/>
      <c r="O2" s="19"/>
      <c r="P2" s="21"/>
      <c r="Q2" s="32"/>
      <c r="R2" s="33"/>
      <c r="S2" s="33"/>
      <c r="T2" s="34"/>
      <c r="U2" s="35"/>
      <c r="V2" s="35"/>
    </row>
    <row r="3" customFormat="false" ht="12.75" hidden="false" customHeight="false" outlineLevel="0" collapsed="false">
      <c r="A3" s="15" t="s">
        <v>95</v>
      </c>
      <c r="B3" s="15"/>
      <c r="C3" s="15"/>
      <c r="D3" s="17"/>
      <c r="E3" s="17"/>
      <c r="F3" s="38" t="s">
        <v>1</v>
      </c>
      <c r="G3" s="15" t="s">
        <v>1</v>
      </c>
      <c r="H3" s="32" t="s">
        <v>1</v>
      </c>
      <c r="I3" s="18"/>
      <c r="J3" s="39" t="s">
        <v>1</v>
      </c>
      <c r="K3" s="19"/>
      <c r="L3" s="39" t="s">
        <v>1</v>
      </c>
      <c r="M3" s="19"/>
      <c r="N3" s="20"/>
      <c r="O3" s="39" t="s">
        <v>1</v>
      </c>
      <c r="P3" s="21"/>
      <c r="Q3" s="32"/>
      <c r="R3" s="33"/>
      <c r="S3" s="33"/>
      <c r="T3" s="34"/>
      <c r="U3" s="35"/>
      <c r="V3" s="35"/>
    </row>
    <row r="4" customFormat="false" ht="12.75" hidden="false" customHeight="false" outlineLevel="0" collapsed="false">
      <c r="A4" s="15" t="s">
        <v>96</v>
      </c>
      <c r="B4" s="16"/>
      <c r="C4" s="16"/>
      <c r="D4" s="17"/>
      <c r="E4" s="17"/>
      <c r="F4" s="42"/>
      <c r="G4" s="15"/>
      <c r="H4" s="42"/>
      <c r="I4" s="18"/>
      <c r="J4" s="42"/>
      <c r="K4" s="19"/>
      <c r="L4" s="42"/>
      <c r="M4" s="32"/>
      <c r="N4" s="20"/>
      <c r="O4" s="32"/>
      <c r="P4" s="21"/>
      <c r="Q4" s="32"/>
      <c r="R4" s="33"/>
      <c r="S4" s="33"/>
      <c r="T4" s="44"/>
      <c r="U4" s="35"/>
      <c r="V4" s="35"/>
    </row>
    <row r="5" customFormat="false" ht="12.75" hidden="false" customHeight="false" outlineLevel="0" collapsed="false">
      <c r="A5" s="15" t="s">
        <v>97</v>
      </c>
      <c r="B5" s="16"/>
      <c r="C5" s="45"/>
      <c r="D5" s="17"/>
      <c r="E5" s="17"/>
      <c r="F5" s="42"/>
      <c r="G5" s="15"/>
      <c r="H5" s="42"/>
      <c r="I5" s="18"/>
      <c r="J5" s="42"/>
      <c r="K5" s="19"/>
      <c r="L5" s="42"/>
      <c r="M5" s="32"/>
      <c r="N5" s="20"/>
      <c r="O5" s="32"/>
      <c r="P5" s="21"/>
      <c r="Q5" s="32"/>
      <c r="R5" s="33"/>
      <c r="S5" s="33"/>
      <c r="T5" s="44"/>
      <c r="U5" s="35"/>
      <c r="V5" s="35"/>
    </row>
    <row r="6" customFormat="false" ht="12.75" hidden="false" customHeight="false" outlineLevel="0" collapsed="false">
      <c r="A6" s="15"/>
      <c r="B6" s="16"/>
      <c r="C6" s="45"/>
      <c r="D6" s="17"/>
      <c r="E6" s="17"/>
      <c r="F6" s="42"/>
      <c r="G6" s="15"/>
      <c r="H6" s="42"/>
      <c r="I6" s="18"/>
      <c r="J6" s="42"/>
      <c r="K6" s="19"/>
      <c r="L6" s="42"/>
      <c r="M6" s="32"/>
      <c r="N6" s="20"/>
      <c r="O6" s="32"/>
      <c r="P6" s="21"/>
      <c r="Q6" s="32"/>
      <c r="R6" s="33"/>
      <c r="S6" s="33"/>
      <c r="T6" s="44"/>
      <c r="U6" s="35"/>
      <c r="V6" s="35"/>
    </row>
    <row r="7" customFormat="false" ht="12.75" hidden="false" customHeight="false" outlineLevel="0" collapsed="false">
      <c r="A7" s="15"/>
      <c r="B7" s="16"/>
      <c r="C7" s="45"/>
      <c r="D7" s="17"/>
      <c r="E7" s="17"/>
      <c r="F7" s="42"/>
      <c r="G7" s="15"/>
      <c r="H7" s="42"/>
      <c r="I7" s="18"/>
      <c r="J7" s="42"/>
      <c r="K7" s="19"/>
      <c r="L7" s="42"/>
      <c r="M7" s="32"/>
      <c r="N7" s="20"/>
      <c r="O7" s="32"/>
      <c r="P7" s="21"/>
      <c r="Q7" s="32"/>
      <c r="R7" s="33"/>
      <c r="S7" s="33"/>
      <c r="T7" s="44"/>
      <c r="U7" s="35"/>
      <c r="V7" s="35"/>
    </row>
    <row r="8" customFormat="false" ht="12.75" hidden="false" customHeight="false" outlineLevel="0" collapsed="false">
      <c r="A8" s="15"/>
      <c r="B8" s="16"/>
      <c r="C8" s="45"/>
      <c r="D8" s="17"/>
      <c r="E8" s="17"/>
      <c r="F8" s="42"/>
      <c r="G8" s="15"/>
      <c r="H8" s="42"/>
      <c r="I8" s="18"/>
      <c r="J8" s="42"/>
      <c r="K8" s="19"/>
      <c r="L8" s="42"/>
      <c r="M8" s="32"/>
      <c r="N8" s="20"/>
      <c r="O8" s="32"/>
      <c r="P8" s="21"/>
      <c r="Q8" s="32"/>
      <c r="R8" s="33"/>
      <c r="S8" s="33"/>
      <c r="T8" s="44"/>
      <c r="U8" s="35"/>
      <c r="V8" s="35"/>
    </row>
    <row r="9" customFormat="false" ht="12.75" hidden="false" customHeight="false" outlineLevel="0" collapsed="false">
      <c r="A9" s="15"/>
      <c r="B9" s="16"/>
      <c r="C9" s="45"/>
      <c r="D9" s="17"/>
      <c r="E9" s="17"/>
      <c r="F9" s="42"/>
      <c r="G9" s="15"/>
      <c r="H9" s="42"/>
      <c r="I9" s="18"/>
      <c r="J9" s="42"/>
      <c r="K9" s="19"/>
      <c r="L9" s="42"/>
      <c r="M9" s="32"/>
      <c r="N9" s="20"/>
      <c r="O9" s="32"/>
      <c r="P9" s="21"/>
      <c r="Q9" s="32"/>
      <c r="R9" s="33"/>
      <c r="S9" s="33"/>
      <c r="T9" s="44"/>
      <c r="U9" s="35"/>
      <c r="V9" s="35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2"/>
      <c r="G10" s="15"/>
      <c r="H10" s="42"/>
      <c r="I10" s="18"/>
      <c r="J10" s="42"/>
      <c r="K10" s="19"/>
      <c r="L10" s="42"/>
      <c r="M10" s="32"/>
      <c r="N10" s="20"/>
      <c r="O10" s="32"/>
      <c r="P10" s="21"/>
      <c r="Q10" s="32"/>
      <c r="R10" s="33"/>
      <c r="S10" s="33"/>
      <c r="T10" s="44"/>
      <c r="U10" s="35"/>
      <c r="V10" s="35"/>
    </row>
    <row r="11" customFormat="false" ht="12.75" hidden="false" customHeight="false" outlineLevel="0" collapsed="false">
      <c r="A11" s="72"/>
      <c r="B11" s="69"/>
      <c r="C11" s="67"/>
      <c r="D11" s="73"/>
      <c r="E11" s="73"/>
      <c r="F11" s="72"/>
      <c r="G11" s="74"/>
      <c r="H11" s="69"/>
      <c r="I11" s="75"/>
      <c r="J11" s="66"/>
      <c r="K11" s="66"/>
      <c r="L11" s="66"/>
      <c r="M11" s="66"/>
      <c r="N11" s="76"/>
      <c r="O11" s="66"/>
      <c r="P11" s="77"/>
      <c r="Q11" s="69"/>
      <c r="R11" s="72"/>
      <c r="S11" s="33"/>
      <c r="T11" s="44"/>
      <c r="U11" s="24"/>
      <c r="V11" s="24"/>
    </row>
    <row r="12" customFormat="false" ht="12.75" hidden="false" customHeight="false" outlineLevel="0" collapsed="false">
      <c r="A12" s="78" t="s">
        <v>101</v>
      </c>
      <c r="B12" s="79" t="s">
        <v>102</v>
      </c>
      <c r="C12" s="79" t="s">
        <v>103</v>
      </c>
      <c r="D12" s="80" t="s">
        <v>104</v>
      </c>
      <c r="E12" s="80"/>
      <c r="F12" s="78" t="s">
        <v>105</v>
      </c>
      <c r="G12" s="78" t="s">
        <v>106</v>
      </c>
      <c r="H12" s="79" t="s">
        <v>107</v>
      </c>
      <c r="I12" s="81" t="s">
        <v>108</v>
      </c>
      <c r="J12" s="79" t="s">
        <v>109</v>
      </c>
      <c r="K12" s="79" t="s">
        <v>110</v>
      </c>
      <c r="L12" s="79" t="s">
        <v>111</v>
      </c>
      <c r="M12" s="79" t="s">
        <v>112</v>
      </c>
      <c r="N12" s="82" t="s">
        <v>113</v>
      </c>
      <c r="O12" s="79" t="s">
        <v>114</v>
      </c>
      <c r="P12" s="83" t="s">
        <v>141</v>
      </c>
      <c r="Q12" s="79" t="s">
        <v>116</v>
      </c>
      <c r="R12" s="78" t="s">
        <v>117</v>
      </c>
      <c r="S12" s="84" t="s">
        <v>118</v>
      </c>
      <c r="T12" s="85" t="s">
        <v>142</v>
      </c>
      <c r="U12" s="86"/>
      <c r="V12" s="86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customFormat="false" ht="12.75" hidden="false" customHeight="false" outlineLevel="0" collapsed="false">
      <c r="A13" s="15" t="s">
        <v>143</v>
      </c>
      <c r="B13" s="16" t="s">
        <v>121</v>
      </c>
      <c r="C13" s="16" t="s">
        <v>121</v>
      </c>
      <c r="D13" s="17" t="n">
        <v>34274</v>
      </c>
      <c r="E13" s="17" t="n">
        <v>37042</v>
      </c>
      <c r="F13" s="15" t="s">
        <v>144</v>
      </c>
      <c r="G13" s="15" t="s">
        <v>145</v>
      </c>
      <c r="H13" s="16" t="s">
        <v>146</v>
      </c>
      <c r="I13" s="18" t="n">
        <f aca="false">1.0603/I$1</f>
        <v>0.0378678571428571</v>
      </c>
      <c r="J13" s="19" t="n">
        <v>0</v>
      </c>
      <c r="K13" s="19" t="n">
        <v>0</v>
      </c>
      <c r="L13" s="19" t="n">
        <v>0</v>
      </c>
      <c r="M13" s="19" t="n">
        <v>0</v>
      </c>
      <c r="N13" s="20" t="n">
        <v>0</v>
      </c>
      <c r="O13" s="19" t="n">
        <f aca="false">SUM(I13:M13)</f>
        <v>0.0378678571428571</v>
      </c>
      <c r="P13" s="21" t="n">
        <v>37393</v>
      </c>
      <c r="Q13" s="16" t="n">
        <v>20000</v>
      </c>
      <c r="R13" s="15" t="s">
        <v>147</v>
      </c>
      <c r="S13" s="22" t="n">
        <f aca="false">I13*I$1*Q13</f>
        <v>21206</v>
      </c>
      <c r="T13" s="23" t="n">
        <v>92346</v>
      </c>
      <c r="U13" s="24"/>
      <c r="V13" s="24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5" t="s">
        <v>143</v>
      </c>
      <c r="B14" s="16" t="s">
        <v>121</v>
      </c>
      <c r="C14" s="16" t="s">
        <v>122</v>
      </c>
      <c r="D14" s="17" t="n">
        <v>36557</v>
      </c>
      <c r="E14" s="17" t="n">
        <v>37195</v>
      </c>
      <c r="F14" s="15" t="s">
        <v>123</v>
      </c>
      <c r="G14" s="15" t="s">
        <v>124</v>
      </c>
      <c r="H14" s="16"/>
      <c r="I14" s="18" t="n">
        <f aca="false">1.0603/I$1</f>
        <v>0.0378678571428571</v>
      </c>
      <c r="J14" s="19" t="n">
        <v>0</v>
      </c>
      <c r="K14" s="19" t="n">
        <v>0</v>
      </c>
      <c r="L14" s="19" t="n">
        <v>0</v>
      </c>
      <c r="M14" s="19" t="n">
        <v>0</v>
      </c>
      <c r="N14" s="20" t="n">
        <v>0</v>
      </c>
      <c r="O14" s="19" t="n">
        <f aca="false">SUM(I14:M14)</f>
        <v>0.0378678571428571</v>
      </c>
      <c r="P14" s="21" t="n">
        <v>42789</v>
      </c>
      <c r="Q14" s="16" t="n">
        <v>30000</v>
      </c>
      <c r="R14" s="15" t="s">
        <v>125</v>
      </c>
      <c r="S14" s="22" t="n">
        <f aca="false">I14*I$1*Q14</f>
        <v>31809</v>
      </c>
      <c r="T14" s="23" t="n">
        <v>156388</v>
      </c>
      <c r="U14" s="24"/>
      <c r="V14" s="24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5" t="s">
        <v>143</v>
      </c>
      <c r="B15" s="16" t="s">
        <v>121</v>
      </c>
      <c r="C15" s="16" t="s">
        <v>122</v>
      </c>
      <c r="D15" s="17" t="n">
        <v>36557</v>
      </c>
      <c r="E15" s="17" t="n">
        <v>37103</v>
      </c>
      <c r="F15" s="15" t="s">
        <v>148</v>
      </c>
      <c r="G15" s="15" t="s">
        <v>124</v>
      </c>
      <c r="H15" s="16"/>
      <c r="I15" s="18" t="n">
        <f aca="false">1.0603/I$1</f>
        <v>0.0378678571428571</v>
      </c>
      <c r="J15" s="19" t="n">
        <v>0</v>
      </c>
      <c r="K15" s="19" t="n">
        <v>0</v>
      </c>
      <c r="L15" s="19" t="n">
        <v>0</v>
      </c>
      <c r="M15" s="19" t="n">
        <v>0</v>
      </c>
      <c r="N15" s="20" t="n">
        <v>0</v>
      </c>
      <c r="O15" s="19" t="n">
        <f aca="false">SUM(I15:M15)</f>
        <v>0.0378678571428571</v>
      </c>
      <c r="P15" s="21" t="n">
        <v>50250</v>
      </c>
      <c r="Q15" s="16" t="n">
        <v>20000</v>
      </c>
      <c r="R15" s="15" t="s">
        <v>149</v>
      </c>
      <c r="S15" s="22" t="n">
        <f aca="false">I15*I$1*Q15</f>
        <v>21206</v>
      </c>
      <c r="T15" s="23" t="n">
        <v>156399</v>
      </c>
      <c r="U15" s="24"/>
      <c r="V15" s="24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143</v>
      </c>
      <c r="B16" s="16" t="s">
        <v>121</v>
      </c>
      <c r="C16" s="16" t="s">
        <v>122</v>
      </c>
      <c r="D16" s="17" t="n">
        <v>36557</v>
      </c>
      <c r="E16" s="17" t="n">
        <v>37955</v>
      </c>
      <c r="F16" s="15" t="s">
        <v>150</v>
      </c>
      <c r="G16" s="15" t="s">
        <v>151</v>
      </c>
      <c r="H16" s="16"/>
      <c r="I16" s="18" t="n">
        <f aca="false">1.0603/I$1</f>
        <v>0.0378678571428571</v>
      </c>
      <c r="J16" s="19" t="n">
        <v>0</v>
      </c>
      <c r="K16" s="19" t="n">
        <v>0</v>
      </c>
      <c r="L16" s="19" t="n">
        <v>0</v>
      </c>
      <c r="M16" s="19" t="n">
        <v>0</v>
      </c>
      <c r="N16" s="20" t="n">
        <v>0</v>
      </c>
      <c r="O16" s="19" t="n">
        <f aca="false">SUM(I16:M16)</f>
        <v>0.0378678571428571</v>
      </c>
      <c r="P16" s="21" t="n">
        <v>62408</v>
      </c>
      <c r="Q16" s="16" t="n">
        <v>40000</v>
      </c>
      <c r="R16" s="15" t="s">
        <v>152</v>
      </c>
      <c r="S16" s="22" t="n">
        <f aca="false">I16*I$1*Q16</f>
        <v>42412</v>
      </c>
      <c r="T16" s="23" t="n">
        <v>156526</v>
      </c>
      <c r="U16" s="24"/>
      <c r="V16" s="2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143</v>
      </c>
      <c r="B17" s="16" t="s">
        <v>121</v>
      </c>
      <c r="C17" s="16" t="s">
        <v>122</v>
      </c>
      <c r="D17" s="17" t="n">
        <v>36557</v>
      </c>
      <c r="E17" s="17" t="n">
        <v>38291</v>
      </c>
      <c r="F17" s="15" t="s">
        <v>153</v>
      </c>
      <c r="G17" s="15" t="s">
        <v>124</v>
      </c>
      <c r="H17" s="16"/>
      <c r="I17" s="18" t="n">
        <f aca="false">1.0603/I$1</f>
        <v>0.0378678571428571</v>
      </c>
      <c r="J17" s="19" t="n">
        <v>0</v>
      </c>
      <c r="K17" s="19" t="n">
        <v>0</v>
      </c>
      <c r="L17" s="19" t="n">
        <v>0</v>
      </c>
      <c r="M17" s="19" t="n">
        <v>0</v>
      </c>
      <c r="N17" s="20" t="n">
        <v>0</v>
      </c>
      <c r="O17" s="19" t="n">
        <f aca="false">SUM(I17:M17)</f>
        <v>0.0378678571428571</v>
      </c>
      <c r="P17" s="21" t="n">
        <v>63922</v>
      </c>
      <c r="Q17" s="16" t="n">
        <v>25654</v>
      </c>
      <c r="R17" s="15" t="s">
        <v>154</v>
      </c>
      <c r="S17" s="22" t="n">
        <f aca="false">I17*I$1*Q17</f>
        <v>27200.9362</v>
      </c>
      <c r="T17" s="23" t="n">
        <v>156540</v>
      </c>
      <c r="U17" s="24"/>
      <c r="V17" s="2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143</v>
      </c>
      <c r="B18" s="16" t="s">
        <v>121</v>
      </c>
      <c r="C18" s="16" t="s">
        <v>121</v>
      </c>
      <c r="D18" s="17" t="n">
        <v>36434</v>
      </c>
      <c r="E18" s="17" t="n">
        <v>37164</v>
      </c>
      <c r="F18" s="15" t="s">
        <v>155</v>
      </c>
      <c r="G18" s="15" t="s">
        <v>156</v>
      </c>
      <c r="H18" s="16" t="s">
        <v>146</v>
      </c>
      <c r="I18" s="18" t="n">
        <v>0.015</v>
      </c>
      <c r="J18" s="19" t="n">
        <v>0</v>
      </c>
      <c r="K18" s="19" t="n">
        <v>0</v>
      </c>
      <c r="L18" s="19" t="n">
        <v>0</v>
      </c>
      <c r="M18" s="19" t="n">
        <v>0</v>
      </c>
      <c r="N18" s="20" t="n">
        <v>0</v>
      </c>
      <c r="O18" s="19" t="n">
        <f aca="false">SUM(I18:M18)</f>
        <v>0.015</v>
      </c>
      <c r="P18" s="21" t="n">
        <v>64937</v>
      </c>
      <c r="Q18" s="16" t="n">
        <v>10000</v>
      </c>
      <c r="R18" s="15" t="s">
        <v>157</v>
      </c>
      <c r="S18" s="22" t="n">
        <f aca="false">I18*I$1*Q18</f>
        <v>4200</v>
      </c>
      <c r="T18" s="23" t="n">
        <v>118000</v>
      </c>
      <c r="U18" s="24"/>
      <c r="V18" s="2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 t="s">
        <v>143</v>
      </c>
      <c r="B19" s="16" t="s">
        <v>121</v>
      </c>
      <c r="C19" s="16" t="s">
        <v>121</v>
      </c>
      <c r="D19" s="17" t="n">
        <v>36617</v>
      </c>
      <c r="E19" s="17" t="n">
        <v>36981</v>
      </c>
      <c r="F19" s="15" t="s">
        <v>158</v>
      </c>
      <c r="G19" s="15" t="s">
        <v>159</v>
      </c>
      <c r="H19" s="16" t="s">
        <v>146</v>
      </c>
      <c r="I19" s="18" t="n">
        <f aca="false">1.6199/I$1</f>
        <v>0.0578535714285714</v>
      </c>
      <c r="J19" s="19" t="n">
        <v>0</v>
      </c>
      <c r="K19" s="19" t="n">
        <v>0</v>
      </c>
      <c r="L19" s="19" t="n">
        <v>0</v>
      </c>
      <c r="M19" s="19" t="n">
        <v>0</v>
      </c>
      <c r="N19" s="20" t="n">
        <v>0</v>
      </c>
      <c r="O19" s="19" t="n">
        <f aca="false">SUM(I19:M19)</f>
        <v>0.0578535714285714</v>
      </c>
      <c r="P19" s="21" t="n">
        <v>66973</v>
      </c>
      <c r="Q19" s="16" t="n">
        <v>10000</v>
      </c>
      <c r="R19" s="15" t="s">
        <v>160</v>
      </c>
      <c r="S19" s="22" t="n">
        <f aca="false">I19*I$1*Q19</f>
        <v>16199</v>
      </c>
      <c r="T19" s="23" t="n">
        <v>231728</v>
      </c>
      <c r="U19" s="24"/>
      <c r="V19" s="2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/>
      <c r="B20" s="16"/>
      <c r="C20" s="16"/>
      <c r="D20" s="17"/>
      <c r="E20" s="17"/>
      <c r="F20" s="15"/>
      <c r="G20" s="15"/>
      <c r="H20" s="16"/>
      <c r="I20" s="18"/>
      <c r="J20" s="19"/>
      <c r="K20" s="19"/>
      <c r="L20" s="19"/>
      <c r="M20" s="19"/>
      <c r="N20" s="20"/>
      <c r="O20" s="19"/>
      <c r="P20" s="21"/>
      <c r="Q20" s="16"/>
      <c r="R20" s="15"/>
      <c r="S20" s="22"/>
      <c r="T20" s="23"/>
      <c r="U20" s="24"/>
      <c r="V20" s="2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15" t="s">
        <v>143</v>
      </c>
      <c r="B21" s="16" t="s">
        <v>121</v>
      </c>
      <c r="C21" s="16" t="s">
        <v>122</v>
      </c>
      <c r="D21" s="17" t="n">
        <v>36557</v>
      </c>
      <c r="E21" s="17" t="n">
        <v>37134</v>
      </c>
      <c r="F21" s="15" t="s">
        <v>161</v>
      </c>
      <c r="G21" s="15" t="s">
        <v>162</v>
      </c>
      <c r="H21" s="16"/>
      <c r="I21" s="18" t="n">
        <v>0.065</v>
      </c>
      <c r="J21" s="19" t="n">
        <v>0</v>
      </c>
      <c r="K21" s="19" t="n">
        <v>0</v>
      </c>
      <c r="L21" s="19" t="n">
        <v>0</v>
      </c>
      <c r="M21" s="19" t="n">
        <v>0</v>
      </c>
      <c r="N21" s="20" t="n">
        <v>0</v>
      </c>
      <c r="O21" s="19" t="n">
        <f aca="false">SUM(I21:M21)</f>
        <v>0.065</v>
      </c>
      <c r="P21" s="21" t="n">
        <v>64502</v>
      </c>
      <c r="Q21" s="16" t="n">
        <v>29000</v>
      </c>
      <c r="R21" s="15" t="s">
        <v>163</v>
      </c>
      <c r="S21" s="22" t="n">
        <f aca="false">I21*I$1*Q21</f>
        <v>52780</v>
      </c>
      <c r="T21" s="23" t="n">
        <v>158356</v>
      </c>
      <c r="U21" s="88" t="s">
        <v>164</v>
      </c>
      <c r="V21" s="2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5"/>
      <c r="B22" s="16"/>
      <c r="C22" s="16"/>
      <c r="D22" s="17"/>
      <c r="E22" s="17"/>
      <c r="F22" s="15"/>
      <c r="G22" s="15"/>
      <c r="H22" s="16"/>
      <c r="I22" s="18"/>
      <c r="J22" s="19"/>
      <c r="K22" s="19"/>
      <c r="L22" s="19"/>
      <c r="M22" s="19"/>
      <c r="N22" s="20"/>
      <c r="O22" s="19"/>
      <c r="P22" s="21"/>
      <c r="Q22" s="16"/>
      <c r="R22" s="15"/>
      <c r="S22" s="22"/>
      <c r="T22" s="23"/>
      <c r="U22" s="24"/>
      <c r="V22" s="24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15" t="s">
        <v>143</v>
      </c>
      <c r="B23" s="16" t="s">
        <v>121</v>
      </c>
      <c r="C23" s="16" t="s">
        <v>121</v>
      </c>
      <c r="D23" s="17" t="n">
        <v>34274</v>
      </c>
      <c r="E23" s="17" t="n">
        <v>40117</v>
      </c>
      <c r="F23" s="15" t="s">
        <v>145</v>
      </c>
      <c r="G23" s="15" t="s">
        <v>165</v>
      </c>
      <c r="H23" s="16" t="s">
        <v>146</v>
      </c>
      <c r="I23" s="18" t="n">
        <f aca="false">3.145/I$1</f>
        <v>0.112321428571429</v>
      </c>
      <c r="J23" s="19" t="n">
        <v>0</v>
      </c>
      <c r="K23" s="19" t="n">
        <v>0</v>
      </c>
      <c r="L23" s="19" t="n">
        <v>0</v>
      </c>
      <c r="M23" s="19" t="n">
        <v>0</v>
      </c>
      <c r="N23" s="20" t="n">
        <v>0</v>
      </c>
      <c r="O23" s="19" t="n">
        <f aca="false">SUM(I23:M23)</f>
        <v>0.112321428571429</v>
      </c>
      <c r="P23" s="21" t="n">
        <v>37861</v>
      </c>
      <c r="Q23" s="16" t="n">
        <v>15000</v>
      </c>
      <c r="R23" s="15" t="s">
        <v>166</v>
      </c>
      <c r="S23" s="22" t="n">
        <f aca="false">I23*I$1*Q23</f>
        <v>47175</v>
      </c>
      <c r="T23" s="23" t="n">
        <v>93034</v>
      </c>
      <c r="U23" s="24"/>
      <c r="V23" s="2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5" t="s">
        <v>143</v>
      </c>
      <c r="B24" s="16" t="s">
        <v>121</v>
      </c>
      <c r="C24" s="16" t="s">
        <v>122</v>
      </c>
      <c r="D24" s="17" t="n">
        <v>36557</v>
      </c>
      <c r="E24" s="17" t="n">
        <v>38472</v>
      </c>
      <c r="F24" s="15" t="s">
        <v>124</v>
      </c>
      <c r="G24" s="15" t="s">
        <v>165</v>
      </c>
      <c r="H24" s="16"/>
      <c r="I24" s="18" t="n">
        <f aca="false">3.145/I$1</f>
        <v>0.112321428571429</v>
      </c>
      <c r="J24" s="19" t="n">
        <v>0</v>
      </c>
      <c r="K24" s="19" t="n">
        <v>0</v>
      </c>
      <c r="L24" s="19" t="n">
        <v>0</v>
      </c>
      <c r="M24" s="19" t="n">
        <v>0</v>
      </c>
      <c r="N24" s="20" t="n">
        <v>0</v>
      </c>
      <c r="O24" s="19" t="n">
        <f aca="false">SUM(I24:M24)</f>
        <v>0.112321428571429</v>
      </c>
      <c r="P24" s="21" t="n">
        <v>58654</v>
      </c>
      <c r="Q24" s="16" t="n">
        <v>15000</v>
      </c>
      <c r="R24" s="15" t="s">
        <v>167</v>
      </c>
      <c r="S24" s="22" t="n">
        <f aca="false">I24*I$1*Q24</f>
        <v>47175</v>
      </c>
      <c r="T24" s="23" t="n">
        <v>156408</v>
      </c>
      <c r="U24" s="24"/>
      <c r="V24" s="24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5" t="s">
        <v>143</v>
      </c>
      <c r="B25" s="16" t="s">
        <v>121</v>
      </c>
      <c r="C25" s="16" t="s">
        <v>122</v>
      </c>
      <c r="D25" s="17" t="n">
        <v>36557</v>
      </c>
      <c r="E25" s="17" t="n">
        <v>37346</v>
      </c>
      <c r="F25" s="15" t="s">
        <v>124</v>
      </c>
      <c r="G25" s="15" t="s">
        <v>165</v>
      </c>
      <c r="H25" s="16"/>
      <c r="I25" s="18" t="n">
        <f aca="false">2.6805/I$1</f>
        <v>0.0957321428571429</v>
      </c>
      <c r="J25" s="19" t="n">
        <v>0</v>
      </c>
      <c r="K25" s="19" t="n">
        <v>0</v>
      </c>
      <c r="L25" s="19" t="n">
        <v>0</v>
      </c>
      <c r="M25" s="19" t="n">
        <v>0</v>
      </c>
      <c r="N25" s="20" t="n">
        <v>0</v>
      </c>
      <c r="O25" s="19" t="n">
        <f aca="false">SUM(I25:M25)</f>
        <v>0.0957321428571429</v>
      </c>
      <c r="P25" s="21" t="n">
        <v>63115</v>
      </c>
      <c r="Q25" s="16" t="n">
        <v>30000</v>
      </c>
      <c r="R25" s="15" t="s">
        <v>168</v>
      </c>
      <c r="S25" s="22" t="n">
        <f aca="false">I25*I$1*Q25</f>
        <v>80415</v>
      </c>
      <c r="T25" s="23" t="n">
        <v>156532</v>
      </c>
      <c r="U25" s="24"/>
      <c r="V25" s="2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5" t="s">
        <v>143</v>
      </c>
      <c r="B26" s="16" t="s">
        <v>121</v>
      </c>
      <c r="C26" s="16" t="s">
        <v>169</v>
      </c>
      <c r="D26" s="17" t="n">
        <v>36746</v>
      </c>
      <c r="E26" s="17" t="n">
        <v>37103</v>
      </c>
      <c r="F26" s="15" t="s">
        <v>124</v>
      </c>
      <c r="G26" s="15" t="s">
        <v>165</v>
      </c>
      <c r="H26" s="16"/>
      <c r="I26" s="18" t="n">
        <f aca="false">3.14/I$1</f>
        <v>0.112142857142857</v>
      </c>
      <c r="J26" s="19"/>
      <c r="K26" s="19"/>
      <c r="L26" s="19"/>
      <c r="M26" s="19"/>
      <c r="N26" s="20"/>
      <c r="O26" s="19"/>
      <c r="P26" s="21" t="n">
        <v>69119</v>
      </c>
      <c r="Q26" s="16" t="n">
        <v>142</v>
      </c>
      <c r="R26" s="15" t="s">
        <v>170</v>
      </c>
      <c r="S26" s="22" t="n">
        <f aca="false">I26*I$1*Q26</f>
        <v>445.88</v>
      </c>
      <c r="T26" s="23" t="n">
        <v>360720</v>
      </c>
      <c r="U26" s="88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5" t="s">
        <v>143</v>
      </c>
      <c r="B27" s="16" t="s">
        <v>121</v>
      </c>
      <c r="C27" s="16" t="s">
        <v>2</v>
      </c>
      <c r="D27" s="17" t="n">
        <v>36831</v>
      </c>
      <c r="E27" s="17" t="n">
        <v>36981</v>
      </c>
      <c r="F27" s="15" t="s">
        <v>165</v>
      </c>
      <c r="G27" s="15" t="s">
        <v>124</v>
      </c>
      <c r="H27" s="16"/>
      <c r="I27" s="18" t="n">
        <f aca="false">1.4782/I$1</f>
        <v>0.0527928571428571</v>
      </c>
      <c r="J27" s="19"/>
      <c r="K27" s="19"/>
      <c r="L27" s="19"/>
      <c r="M27" s="19"/>
      <c r="N27" s="20"/>
      <c r="O27" s="19"/>
      <c r="P27" s="21" t="n">
        <v>69165</v>
      </c>
      <c r="Q27" s="16" t="n">
        <v>50000</v>
      </c>
      <c r="R27" s="15" t="s">
        <v>171</v>
      </c>
      <c r="S27" s="22" t="n">
        <f aca="false">I27*I$1*Q27</f>
        <v>73910</v>
      </c>
      <c r="T27" s="23" t="s">
        <v>172</v>
      </c>
      <c r="U27" s="88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89" t="s">
        <v>143</v>
      </c>
      <c r="B28" s="90" t="s">
        <v>121</v>
      </c>
      <c r="C28" s="90" t="s">
        <v>173</v>
      </c>
      <c r="D28" s="91" t="n">
        <v>36923</v>
      </c>
      <c r="E28" s="91" t="n">
        <v>36950</v>
      </c>
      <c r="F28" s="89" t="s">
        <v>165</v>
      </c>
      <c r="G28" s="89" t="s">
        <v>124</v>
      </c>
      <c r="H28" s="90" t="s">
        <v>174</v>
      </c>
      <c r="I28" s="92" t="n">
        <f aca="false">1.12/I$1</f>
        <v>0.04</v>
      </c>
      <c r="J28" s="93"/>
      <c r="K28" s="93"/>
      <c r="L28" s="93"/>
      <c r="M28" s="93"/>
      <c r="N28" s="94"/>
      <c r="O28" s="93"/>
      <c r="P28" s="95" t="n">
        <v>67144</v>
      </c>
      <c r="Q28" s="90" t="n">
        <v>25000</v>
      </c>
      <c r="R28" s="89" t="s">
        <v>175</v>
      </c>
      <c r="S28" s="96" t="n">
        <f aca="false">I28*I$1*Q28</f>
        <v>28000</v>
      </c>
      <c r="T28" s="97" t="n">
        <v>592084</v>
      </c>
      <c r="U28" s="98"/>
      <c r="V28" s="99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  <c r="IW28" s="100"/>
    </row>
    <row r="29" customFormat="false" ht="12.75" hidden="false" customHeight="false" outlineLevel="0" collapsed="false">
      <c r="A29" s="15" t="s">
        <v>143</v>
      </c>
      <c r="B29" s="16" t="s">
        <v>121</v>
      </c>
      <c r="C29" s="16" t="s">
        <v>173</v>
      </c>
      <c r="D29" s="17" t="n">
        <v>36831</v>
      </c>
      <c r="E29" s="17" t="n">
        <v>36981</v>
      </c>
      <c r="F29" s="15" t="s">
        <v>165</v>
      </c>
      <c r="G29" s="15" t="s">
        <v>124</v>
      </c>
      <c r="H29" s="16" t="s">
        <v>174</v>
      </c>
      <c r="I29" s="18" t="n">
        <f aca="false">1.2/I$1</f>
        <v>0.0428571428571429</v>
      </c>
      <c r="J29" s="19"/>
      <c r="K29" s="19"/>
      <c r="L29" s="19"/>
      <c r="M29" s="19"/>
      <c r="N29" s="20"/>
      <c r="O29" s="19"/>
      <c r="P29" s="21" t="n">
        <v>0</v>
      </c>
      <c r="Q29" s="16" t="n">
        <v>25000</v>
      </c>
      <c r="R29" s="15" t="s">
        <v>176</v>
      </c>
      <c r="S29" s="22"/>
      <c r="T29" s="23"/>
      <c r="U29" s="88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5"/>
      <c r="B30" s="16"/>
      <c r="C30" s="16"/>
      <c r="D30" s="17"/>
      <c r="E30" s="17"/>
      <c r="F30" s="15"/>
      <c r="G30" s="15"/>
      <c r="H30" s="16"/>
      <c r="I30" s="18"/>
      <c r="J30" s="19"/>
      <c r="K30" s="19"/>
      <c r="L30" s="19"/>
      <c r="M30" s="19"/>
      <c r="N30" s="20"/>
      <c r="O30" s="19"/>
      <c r="P30" s="21"/>
      <c r="Q30" s="101"/>
      <c r="R30" s="15"/>
      <c r="S30" s="22"/>
      <c r="T30" s="23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72" t="s">
        <v>1</v>
      </c>
      <c r="B31" s="69" t="s">
        <v>1</v>
      </c>
      <c r="C31" s="67" t="s">
        <v>1</v>
      </c>
      <c r="D31" s="73" t="s">
        <v>1</v>
      </c>
      <c r="E31" s="73"/>
      <c r="F31" s="72" t="s">
        <v>1</v>
      </c>
      <c r="G31" s="74" t="s">
        <v>1</v>
      </c>
      <c r="H31" s="69" t="s">
        <v>1</v>
      </c>
      <c r="I31" s="75"/>
      <c r="J31" s="66"/>
      <c r="K31" s="66"/>
      <c r="L31" s="66"/>
      <c r="M31" s="66"/>
      <c r="N31" s="76"/>
      <c r="O31" s="66"/>
      <c r="P31" s="77" t="s">
        <v>1</v>
      </c>
      <c r="Q31" s="67" t="n">
        <f aca="false">SUM(Q13:Q30)</f>
        <v>344796</v>
      </c>
      <c r="R31" s="72" t="s">
        <v>177</v>
      </c>
      <c r="S31" s="33" t="n">
        <f aca="false">SUM(S13:S30)</f>
        <v>494133.8162</v>
      </c>
      <c r="T31" s="44"/>
      <c r="U31" s="35"/>
      <c r="V31" s="35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</row>
    <row r="32" customFormat="false" ht="12.75" hidden="false" customHeight="false" outlineLevel="0" collapsed="false">
      <c r="A32" s="72"/>
      <c r="B32" s="69"/>
      <c r="C32" s="67"/>
      <c r="D32" s="73"/>
      <c r="E32" s="73"/>
      <c r="F32" s="72"/>
      <c r="G32" s="74"/>
      <c r="H32" s="69"/>
      <c r="I32" s="75"/>
      <c r="J32" s="66"/>
      <c r="K32" s="66"/>
      <c r="L32" s="66"/>
      <c r="M32" s="66"/>
      <c r="N32" s="76"/>
      <c r="O32" s="66"/>
      <c r="P32" s="77"/>
      <c r="Q32" s="69"/>
      <c r="R32" s="72" t="s">
        <v>178</v>
      </c>
      <c r="S32" s="33" t="n">
        <v>0</v>
      </c>
      <c r="T32" s="44"/>
      <c r="U32" s="35"/>
      <c r="V32" s="35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  <c r="IW32" s="71"/>
    </row>
    <row r="33" customFormat="false" ht="13.5" hidden="false" customHeight="false" outlineLevel="0" collapsed="false">
      <c r="A33" s="72"/>
      <c r="B33" s="69"/>
      <c r="C33" s="67"/>
      <c r="D33" s="73"/>
      <c r="E33" s="73"/>
      <c r="F33" s="72"/>
      <c r="G33" s="74"/>
      <c r="H33" s="69"/>
      <c r="I33" s="75"/>
      <c r="J33" s="66"/>
      <c r="K33" s="66"/>
      <c r="L33" s="66"/>
      <c r="M33" s="66"/>
      <c r="N33" s="76"/>
      <c r="O33" s="66"/>
      <c r="P33" s="77"/>
      <c r="Q33" s="69"/>
      <c r="R33" s="72" t="s">
        <v>179</v>
      </c>
      <c r="S33" s="102" t="n">
        <f aca="false">+S31-S32</f>
        <v>494133.8162</v>
      </c>
      <c r="T33" s="44"/>
      <c r="U33" s="24"/>
      <c r="V33" s="24"/>
    </row>
    <row r="34" customFormat="false" ht="13.5" hidden="false" customHeight="false" outlineLevel="0" collapsed="false">
      <c r="A34" s="72"/>
      <c r="B34" s="69"/>
      <c r="C34" s="67"/>
      <c r="D34" s="73"/>
      <c r="E34" s="73"/>
      <c r="F34" s="72"/>
      <c r="G34" s="74"/>
      <c r="H34" s="69"/>
      <c r="I34" s="75"/>
      <c r="J34" s="66"/>
      <c r="K34" s="66"/>
      <c r="L34" s="66"/>
      <c r="M34" s="66"/>
      <c r="N34" s="76"/>
      <c r="O34" s="66"/>
      <c r="P34" s="77"/>
      <c r="Q34" s="69"/>
      <c r="R34" s="72"/>
      <c r="S34" s="33"/>
      <c r="T34" s="44"/>
      <c r="U34" s="24"/>
      <c r="V34" s="24"/>
    </row>
    <row r="35" customFormat="false" ht="12.75" hidden="false" customHeight="false" outlineLevel="0" collapsed="false">
      <c r="A35" s="78" t="s">
        <v>101</v>
      </c>
      <c r="B35" s="79" t="s">
        <v>102</v>
      </c>
      <c r="C35" s="79" t="s">
        <v>103</v>
      </c>
      <c r="D35" s="80" t="s">
        <v>104</v>
      </c>
      <c r="E35" s="80"/>
      <c r="F35" s="78" t="s">
        <v>105</v>
      </c>
      <c r="G35" s="78" t="s">
        <v>106</v>
      </c>
      <c r="H35" s="79" t="s">
        <v>107</v>
      </c>
      <c r="I35" s="81" t="s">
        <v>108</v>
      </c>
      <c r="J35" s="79" t="s">
        <v>109</v>
      </c>
      <c r="K35" s="79" t="s">
        <v>110</v>
      </c>
      <c r="L35" s="79" t="s">
        <v>111</v>
      </c>
      <c r="M35" s="79" t="s">
        <v>112</v>
      </c>
      <c r="N35" s="82" t="s">
        <v>113</v>
      </c>
      <c r="O35" s="79" t="s">
        <v>114</v>
      </c>
      <c r="P35" s="83" t="s">
        <v>141</v>
      </c>
      <c r="Q35" s="79" t="s">
        <v>116</v>
      </c>
      <c r="R35" s="78" t="s">
        <v>117</v>
      </c>
      <c r="S35" s="84" t="s">
        <v>118</v>
      </c>
      <c r="T35" s="85" t="s">
        <v>142</v>
      </c>
      <c r="U35" s="86"/>
      <c r="V35" s="86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  <c r="IW35" s="87"/>
    </row>
    <row r="36" customFormat="false" ht="12.75" hidden="false" customHeight="false" outlineLevel="0" collapsed="false">
      <c r="A36" s="15" t="s">
        <v>180</v>
      </c>
      <c r="B36" s="16" t="s">
        <v>181</v>
      </c>
      <c r="C36" s="16" t="s">
        <v>181</v>
      </c>
      <c r="D36" s="17" t="s">
        <v>13</v>
      </c>
      <c r="E36" s="17" t="s">
        <v>13</v>
      </c>
      <c r="F36" s="15" t="s">
        <v>182</v>
      </c>
      <c r="G36" s="15" t="s">
        <v>182</v>
      </c>
      <c r="H36" s="16" t="s">
        <v>146</v>
      </c>
      <c r="I36" s="18" t="n">
        <v>0.3753</v>
      </c>
      <c r="J36" s="19" t="n">
        <v>0</v>
      </c>
      <c r="K36" s="19" t="n">
        <v>0</v>
      </c>
      <c r="L36" s="19" t="n">
        <v>0</v>
      </c>
      <c r="M36" s="19" t="n">
        <v>0</v>
      </c>
      <c r="N36" s="20" t="n">
        <v>0</v>
      </c>
      <c r="O36" s="19" t="n">
        <f aca="false">SUM(I36:M36)</f>
        <v>0.3753</v>
      </c>
      <c r="P36" s="21" t="n">
        <v>5085</v>
      </c>
      <c r="Q36" s="16" t="n">
        <v>1722</v>
      </c>
      <c r="R36" s="15"/>
      <c r="S36" s="22" t="n">
        <f aca="false">I36*I$1*Q36</f>
        <v>18095.4648</v>
      </c>
      <c r="T36" s="23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5" t="s">
        <v>180</v>
      </c>
      <c r="B37" s="16" t="s">
        <v>181</v>
      </c>
      <c r="C37" s="16" t="s">
        <v>181</v>
      </c>
      <c r="D37" s="17" t="s">
        <v>13</v>
      </c>
      <c r="E37" s="17" t="s">
        <v>13</v>
      </c>
      <c r="F37" s="15" t="s">
        <v>182</v>
      </c>
      <c r="G37" s="15" t="s">
        <v>182</v>
      </c>
      <c r="H37" s="16" t="s">
        <v>146</v>
      </c>
      <c r="I37" s="18" t="n">
        <v>0.3753</v>
      </c>
      <c r="J37" s="19" t="n">
        <v>0</v>
      </c>
      <c r="K37" s="19" t="n">
        <v>0</v>
      </c>
      <c r="L37" s="19" t="n">
        <v>0</v>
      </c>
      <c r="M37" s="19" t="n">
        <v>0</v>
      </c>
      <c r="N37" s="20" t="n">
        <v>0</v>
      </c>
      <c r="O37" s="19" t="n">
        <f aca="false">SUM(I37:M37)</f>
        <v>0.3753</v>
      </c>
      <c r="P37" s="21" t="n">
        <v>5085</v>
      </c>
      <c r="Q37" s="16" t="n">
        <v>1000</v>
      </c>
      <c r="R37" s="15"/>
      <c r="S37" s="22" t="n">
        <f aca="false">I37*I$1*Q37</f>
        <v>10508.4</v>
      </c>
      <c r="T37" s="23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5" t="s">
        <v>180</v>
      </c>
      <c r="B38" s="16" t="s">
        <v>181</v>
      </c>
      <c r="C38" s="16" t="s">
        <v>181</v>
      </c>
      <c r="D38" s="17" t="s">
        <v>13</v>
      </c>
      <c r="E38" s="17" t="s">
        <v>13</v>
      </c>
      <c r="F38" s="15" t="s">
        <v>182</v>
      </c>
      <c r="G38" s="15" t="s">
        <v>182</v>
      </c>
      <c r="H38" s="16" t="s">
        <v>146</v>
      </c>
      <c r="I38" s="18" t="n">
        <v>0.059</v>
      </c>
      <c r="J38" s="19" t="n">
        <v>0</v>
      </c>
      <c r="K38" s="19" t="n">
        <v>0</v>
      </c>
      <c r="L38" s="19" t="n">
        <v>0</v>
      </c>
      <c r="M38" s="19" t="n">
        <v>0</v>
      </c>
      <c r="N38" s="20" t="n">
        <v>0</v>
      </c>
      <c r="O38" s="19" t="n">
        <f aca="false">SUM(I38:M38)</f>
        <v>0.059</v>
      </c>
      <c r="P38" s="21" t="n">
        <v>5085</v>
      </c>
      <c r="Q38" s="16" t="n">
        <v>122</v>
      </c>
      <c r="R38" s="15"/>
      <c r="S38" s="22" t="n">
        <f aca="false">I38*I$1*Q38</f>
        <v>201.544</v>
      </c>
      <c r="T38" s="23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5" t="s">
        <v>180</v>
      </c>
      <c r="B39" s="16" t="s">
        <v>181</v>
      </c>
      <c r="C39" s="16" t="s">
        <v>181</v>
      </c>
      <c r="D39" s="17" t="s">
        <v>13</v>
      </c>
      <c r="E39" s="17" t="s">
        <v>13</v>
      </c>
      <c r="F39" s="15" t="s">
        <v>182</v>
      </c>
      <c r="G39" s="15" t="s">
        <v>182</v>
      </c>
      <c r="H39" s="16" t="s">
        <v>146</v>
      </c>
      <c r="I39" s="18" t="n">
        <v>0.3923</v>
      </c>
      <c r="J39" s="19" t="n">
        <v>0</v>
      </c>
      <c r="K39" s="19" t="n">
        <v>0</v>
      </c>
      <c r="L39" s="19" t="n">
        <v>0</v>
      </c>
      <c r="M39" s="19" t="n">
        <v>0</v>
      </c>
      <c r="N39" s="20" t="n">
        <v>0</v>
      </c>
      <c r="O39" s="19" t="n">
        <f aca="false">SUM(I39:M39)</f>
        <v>0.3923</v>
      </c>
      <c r="P39" s="21" t="n">
        <v>5626</v>
      </c>
      <c r="Q39" s="16" t="n">
        <v>350</v>
      </c>
      <c r="R39" s="15"/>
      <c r="S39" s="22" t="n">
        <f aca="false">I39*I$1*Q39</f>
        <v>3844.54</v>
      </c>
      <c r="T39" s="23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5" t="s">
        <v>180</v>
      </c>
      <c r="B40" s="16" t="s">
        <v>181</v>
      </c>
      <c r="C40" s="16" t="s">
        <v>181</v>
      </c>
      <c r="D40" s="17" t="s">
        <v>13</v>
      </c>
      <c r="E40" s="17" t="s">
        <v>13</v>
      </c>
      <c r="F40" s="15" t="s">
        <v>182</v>
      </c>
      <c r="G40" s="15" t="s">
        <v>182</v>
      </c>
      <c r="H40" s="16" t="s">
        <v>146</v>
      </c>
      <c r="I40" s="18" t="n">
        <v>0.4498</v>
      </c>
      <c r="J40" s="19" t="n">
        <v>0</v>
      </c>
      <c r="K40" s="19" t="n">
        <v>0</v>
      </c>
      <c r="L40" s="19" t="n">
        <v>0</v>
      </c>
      <c r="M40" s="19" t="n">
        <v>0</v>
      </c>
      <c r="N40" s="20" t="n">
        <v>0</v>
      </c>
      <c r="O40" s="19" t="n">
        <f aca="false">SUM(I40:M40)</f>
        <v>0.4498</v>
      </c>
      <c r="P40" s="21" t="n">
        <v>5626</v>
      </c>
      <c r="Q40" s="16" t="n">
        <v>138</v>
      </c>
      <c r="R40" s="15"/>
      <c r="S40" s="22" t="n">
        <f aca="false">I40*I$1*Q40</f>
        <v>1738.0272</v>
      </c>
      <c r="T40" s="23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5" t="s">
        <v>180</v>
      </c>
      <c r="B41" s="16" t="s">
        <v>181</v>
      </c>
      <c r="C41" s="16" t="s">
        <v>181</v>
      </c>
      <c r="D41" s="17" t="s">
        <v>13</v>
      </c>
      <c r="E41" s="17" t="s">
        <v>13</v>
      </c>
      <c r="F41" s="15" t="s">
        <v>182</v>
      </c>
      <c r="G41" s="15" t="s">
        <v>182</v>
      </c>
      <c r="H41" s="16" t="s">
        <v>146</v>
      </c>
      <c r="I41" s="18" t="n">
        <v>0.7684</v>
      </c>
      <c r="J41" s="19" t="n">
        <v>0</v>
      </c>
      <c r="K41" s="19" t="n">
        <v>0</v>
      </c>
      <c r="L41" s="19" t="n">
        <v>0</v>
      </c>
      <c r="M41" s="19" t="n">
        <v>0</v>
      </c>
      <c r="N41" s="20" t="n">
        <v>0</v>
      </c>
      <c r="O41" s="19" t="n">
        <f aca="false">SUM(I41:M41)</f>
        <v>0.7684</v>
      </c>
      <c r="P41" s="21" t="n">
        <v>5626</v>
      </c>
      <c r="Q41" s="16" t="n">
        <v>75</v>
      </c>
      <c r="R41" s="15"/>
      <c r="S41" s="22" t="n">
        <f aca="false">I41*I$1*Q41</f>
        <v>1613.64</v>
      </c>
      <c r="T41" s="23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5" t="s">
        <v>183</v>
      </c>
      <c r="B42" s="16" t="s">
        <v>181</v>
      </c>
      <c r="C42" s="16" t="s">
        <v>181</v>
      </c>
      <c r="D42" s="17" t="s">
        <v>13</v>
      </c>
      <c r="E42" s="17" t="s">
        <v>13</v>
      </c>
      <c r="F42" s="15" t="s">
        <v>182</v>
      </c>
      <c r="G42" s="15" t="s">
        <v>182</v>
      </c>
      <c r="H42" s="16" t="s">
        <v>146</v>
      </c>
      <c r="I42" s="18" t="n">
        <v>0.3753</v>
      </c>
      <c r="J42" s="19" t="n">
        <v>0</v>
      </c>
      <c r="K42" s="19" t="n">
        <v>0</v>
      </c>
      <c r="L42" s="19" t="n">
        <v>0</v>
      </c>
      <c r="M42" s="19" t="n">
        <v>0</v>
      </c>
      <c r="N42" s="20" t="n">
        <v>0</v>
      </c>
      <c r="O42" s="19" t="n">
        <f aca="false">SUM(I42:M42)</f>
        <v>0.3753</v>
      </c>
      <c r="P42" s="21" t="n">
        <v>5879</v>
      </c>
      <c r="Q42" s="16" t="n">
        <v>2002</v>
      </c>
      <c r="R42" s="15"/>
      <c r="S42" s="22" t="n">
        <f aca="false">I42*I$1*Q42</f>
        <v>21037.8168</v>
      </c>
      <c r="T42" s="23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5" t="s">
        <v>183</v>
      </c>
      <c r="B43" s="16" t="s">
        <v>181</v>
      </c>
      <c r="C43" s="16" t="s">
        <v>181</v>
      </c>
      <c r="D43" s="17" t="s">
        <v>13</v>
      </c>
      <c r="E43" s="17" t="s">
        <v>13</v>
      </c>
      <c r="F43" s="15" t="s">
        <v>182</v>
      </c>
      <c r="G43" s="15" t="s">
        <v>182</v>
      </c>
      <c r="H43" s="16" t="s">
        <v>146</v>
      </c>
      <c r="I43" s="18" t="n">
        <v>0.27</v>
      </c>
      <c r="J43" s="19" t="n">
        <v>0</v>
      </c>
      <c r="K43" s="19" t="n">
        <v>0</v>
      </c>
      <c r="L43" s="19" t="n">
        <v>0</v>
      </c>
      <c r="M43" s="19" t="n">
        <v>0</v>
      </c>
      <c r="N43" s="20" t="n">
        <v>0</v>
      </c>
      <c r="O43" s="19" t="n">
        <f aca="false">SUM(I43:M43)</f>
        <v>0.27</v>
      </c>
      <c r="P43" s="21" t="n">
        <v>5925</v>
      </c>
      <c r="Q43" s="16" t="n">
        <v>22852</v>
      </c>
      <c r="R43" s="15"/>
      <c r="S43" s="22" t="n">
        <f aca="false">I43*I$1*Q43</f>
        <v>172761.12</v>
      </c>
      <c r="T43" s="23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5" t="s">
        <v>183</v>
      </c>
      <c r="B44" s="16" t="s">
        <v>181</v>
      </c>
      <c r="C44" s="16" t="s">
        <v>181</v>
      </c>
      <c r="D44" s="17" t="s">
        <v>13</v>
      </c>
      <c r="E44" s="17" t="s">
        <v>13</v>
      </c>
      <c r="F44" s="15" t="s">
        <v>182</v>
      </c>
      <c r="G44" s="15" t="s">
        <v>182</v>
      </c>
      <c r="H44" s="16" t="s">
        <v>146</v>
      </c>
      <c r="I44" s="18" t="n">
        <v>0.3753</v>
      </c>
      <c r="J44" s="19" t="n">
        <v>0</v>
      </c>
      <c r="K44" s="19" t="n">
        <v>0</v>
      </c>
      <c r="L44" s="19" t="n">
        <v>0</v>
      </c>
      <c r="M44" s="19" t="n">
        <v>0</v>
      </c>
      <c r="N44" s="20" t="n">
        <v>0</v>
      </c>
      <c r="O44" s="19" t="n">
        <f aca="false">SUM(I44:M44)</f>
        <v>0.3753</v>
      </c>
      <c r="P44" s="21" t="n">
        <v>6020</v>
      </c>
      <c r="Q44" s="16" t="n">
        <v>1100</v>
      </c>
      <c r="R44" s="15"/>
      <c r="S44" s="22" t="n">
        <f aca="false">I44*I$1*Q44</f>
        <v>11559.24</v>
      </c>
      <c r="T44" s="23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15" t="s">
        <v>183</v>
      </c>
      <c r="B45" s="16" t="s">
        <v>181</v>
      </c>
      <c r="C45" s="16" t="s">
        <v>181</v>
      </c>
      <c r="D45" s="17" t="s">
        <v>13</v>
      </c>
      <c r="E45" s="17" t="s">
        <v>13</v>
      </c>
      <c r="F45" s="15" t="s">
        <v>182</v>
      </c>
      <c r="G45" s="15" t="s">
        <v>182</v>
      </c>
      <c r="H45" s="16" t="s">
        <v>146</v>
      </c>
      <c r="I45" s="18" t="n">
        <v>0.29</v>
      </c>
      <c r="J45" s="19" t="n">
        <v>0</v>
      </c>
      <c r="K45" s="19" t="n">
        <v>0</v>
      </c>
      <c r="L45" s="19" t="n">
        <v>0</v>
      </c>
      <c r="M45" s="19" t="n">
        <v>0</v>
      </c>
      <c r="N45" s="20" t="n">
        <v>0</v>
      </c>
      <c r="O45" s="19" t="n">
        <f aca="false">SUM(I45:M45)</f>
        <v>0.29</v>
      </c>
      <c r="P45" s="21" t="n">
        <v>6020</v>
      </c>
      <c r="Q45" s="16" t="n">
        <v>3500</v>
      </c>
      <c r="R45" s="15"/>
      <c r="S45" s="22" t="n">
        <f aca="false">I45*I$1*Q45</f>
        <v>28420</v>
      </c>
      <c r="T45" s="23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5" t="s">
        <v>183</v>
      </c>
      <c r="B46" s="16" t="s">
        <v>181</v>
      </c>
      <c r="C46" s="16" t="s">
        <v>181</v>
      </c>
      <c r="D46" s="17" t="s">
        <v>13</v>
      </c>
      <c r="E46" s="17" t="s">
        <v>13</v>
      </c>
      <c r="F46" s="15" t="s">
        <v>182</v>
      </c>
      <c r="G46" s="15" t="s">
        <v>182</v>
      </c>
      <c r="H46" s="16" t="s">
        <v>146</v>
      </c>
      <c r="I46" s="18" t="n">
        <v>0.3753</v>
      </c>
      <c r="J46" s="19" t="n">
        <v>0</v>
      </c>
      <c r="K46" s="19" t="n">
        <v>0</v>
      </c>
      <c r="L46" s="19" t="n">
        <v>0</v>
      </c>
      <c r="M46" s="19" t="n">
        <v>0</v>
      </c>
      <c r="N46" s="20" t="n">
        <v>0</v>
      </c>
      <c r="O46" s="19" t="n">
        <f aca="false">SUM(I46:M46)</f>
        <v>0.3753</v>
      </c>
      <c r="P46" s="21" t="n">
        <v>6089</v>
      </c>
      <c r="Q46" s="16" t="n">
        <v>6669</v>
      </c>
      <c r="R46" s="15"/>
      <c r="S46" s="22" t="n">
        <f aca="false">I46*I$1*Q46</f>
        <v>70080.5196</v>
      </c>
      <c r="T46" s="23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15"/>
      <c r="B47" s="16"/>
      <c r="C47" s="16"/>
      <c r="D47" s="17"/>
      <c r="E47" s="17"/>
      <c r="F47" s="15"/>
      <c r="G47" s="15"/>
      <c r="H47" s="16"/>
      <c r="I47" s="18"/>
      <c r="J47" s="19"/>
      <c r="K47" s="19"/>
      <c r="L47" s="19"/>
      <c r="M47" s="19"/>
      <c r="N47" s="20"/>
      <c r="O47" s="19"/>
      <c r="P47" s="21"/>
      <c r="Q47" s="101"/>
      <c r="R47" s="15"/>
      <c r="S47" s="22"/>
      <c r="T47" s="23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72" t="s">
        <v>1</v>
      </c>
      <c r="B48" s="69" t="s">
        <v>1</v>
      </c>
      <c r="C48" s="67" t="s">
        <v>1</v>
      </c>
      <c r="D48" s="73" t="s">
        <v>1</v>
      </c>
      <c r="E48" s="73"/>
      <c r="F48" s="72" t="s">
        <v>1</v>
      </c>
      <c r="G48" s="74" t="s">
        <v>1</v>
      </c>
      <c r="H48" s="69" t="s">
        <v>1</v>
      </c>
      <c r="I48" s="75"/>
      <c r="J48" s="66"/>
      <c r="K48" s="66"/>
      <c r="L48" s="66"/>
      <c r="M48" s="66"/>
      <c r="N48" s="76"/>
      <c r="O48" s="66"/>
      <c r="P48" s="77" t="s">
        <v>1</v>
      </c>
      <c r="Q48" s="67" t="n">
        <f aca="false">SUM(Q36:Q47)</f>
        <v>39530</v>
      </c>
      <c r="R48" s="72" t="s">
        <v>177</v>
      </c>
      <c r="S48" s="33" t="n">
        <f aca="false">SUM(S36:S47)</f>
        <v>339860.3124</v>
      </c>
      <c r="T48" s="44"/>
      <c r="U48" s="35"/>
      <c r="V48" s="35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/>
      <c r="IM48" s="71"/>
      <c r="IN48" s="71"/>
      <c r="IO48" s="71"/>
      <c r="IP48" s="71"/>
      <c r="IQ48" s="71"/>
      <c r="IR48" s="71"/>
      <c r="IS48" s="71"/>
      <c r="IT48" s="71"/>
      <c r="IU48" s="71"/>
      <c r="IV48" s="71"/>
      <c r="IW48" s="71"/>
    </row>
    <row r="49" customFormat="false" ht="12.75" hidden="false" customHeight="false" outlineLevel="0" collapsed="false">
      <c r="A49" s="72"/>
      <c r="B49" s="69"/>
      <c r="C49" s="67"/>
      <c r="D49" s="73"/>
      <c r="E49" s="73"/>
      <c r="F49" s="72"/>
      <c r="G49" s="74"/>
      <c r="H49" s="69"/>
      <c r="I49" s="75"/>
      <c r="J49" s="66"/>
      <c r="K49" s="66"/>
      <c r="L49" s="66"/>
      <c r="M49" s="66"/>
      <c r="N49" s="76"/>
      <c r="O49" s="66"/>
      <c r="P49" s="77"/>
      <c r="Q49" s="69"/>
      <c r="R49" s="72" t="s">
        <v>178</v>
      </c>
      <c r="S49" s="33" t="n">
        <f aca="false">SUM(S36:S41)</f>
        <v>36001.616</v>
      </c>
      <c r="T49" s="44"/>
      <c r="U49" s="35"/>
      <c r="V49" s="35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  <c r="IT49" s="71"/>
      <c r="IU49" s="71"/>
      <c r="IV49" s="71"/>
      <c r="IW49" s="71"/>
    </row>
    <row r="50" customFormat="false" ht="13.5" hidden="false" customHeight="false" outlineLevel="0" collapsed="false">
      <c r="A50" s="72"/>
      <c r="B50" s="69"/>
      <c r="C50" s="67"/>
      <c r="D50" s="73"/>
      <c r="E50" s="73"/>
      <c r="F50" s="72"/>
      <c r="G50" s="74"/>
      <c r="H50" s="69"/>
      <c r="I50" s="75"/>
      <c r="J50" s="66"/>
      <c r="K50" s="66"/>
      <c r="L50" s="66"/>
      <c r="M50" s="66"/>
      <c r="N50" s="76"/>
      <c r="O50" s="66"/>
      <c r="P50" s="77"/>
      <c r="Q50" s="69"/>
      <c r="R50" s="72" t="s">
        <v>179</v>
      </c>
      <c r="S50" s="102" t="n">
        <f aca="false">+S48-S49</f>
        <v>303858.6964</v>
      </c>
      <c r="T50" s="44"/>
      <c r="U50" s="24"/>
      <c r="V50" s="24"/>
    </row>
    <row r="51" customFormat="false" ht="13.5" hidden="false" customHeight="false" outlineLevel="0" collapsed="false">
      <c r="A51" s="72"/>
      <c r="B51" s="69"/>
      <c r="C51" s="67"/>
      <c r="D51" s="73"/>
      <c r="E51" s="73"/>
      <c r="F51" s="72"/>
      <c r="G51" s="74"/>
      <c r="H51" s="69"/>
      <c r="I51" s="75"/>
      <c r="J51" s="66"/>
      <c r="K51" s="66"/>
      <c r="L51" s="66"/>
      <c r="M51" s="66"/>
      <c r="N51" s="76"/>
      <c r="O51" s="66"/>
      <c r="P51" s="77"/>
      <c r="Q51" s="69"/>
      <c r="R51" s="72"/>
      <c r="S51" s="33"/>
      <c r="T51" s="44"/>
      <c r="U51" s="24"/>
      <c r="V51" s="24"/>
    </row>
    <row r="52" customFormat="false" ht="12.75" hidden="false" customHeight="false" outlineLevel="0" collapsed="false">
      <c r="A52" s="103" t="s">
        <v>101</v>
      </c>
      <c r="B52" s="104" t="s">
        <v>102</v>
      </c>
      <c r="C52" s="104" t="s">
        <v>103</v>
      </c>
      <c r="D52" s="105" t="s">
        <v>104</v>
      </c>
      <c r="E52" s="105"/>
      <c r="F52" s="103" t="s">
        <v>105</v>
      </c>
      <c r="G52" s="103" t="s">
        <v>106</v>
      </c>
      <c r="H52" s="104" t="s">
        <v>107</v>
      </c>
      <c r="I52" s="106" t="s">
        <v>108</v>
      </c>
      <c r="J52" s="104" t="s">
        <v>109</v>
      </c>
      <c r="K52" s="104" t="s">
        <v>110</v>
      </c>
      <c r="L52" s="104" t="s">
        <v>111</v>
      </c>
      <c r="M52" s="104" t="s">
        <v>112</v>
      </c>
      <c r="N52" s="107" t="s">
        <v>113</v>
      </c>
      <c r="O52" s="104" t="s">
        <v>114</v>
      </c>
      <c r="P52" s="108" t="s">
        <v>115</v>
      </c>
      <c r="Q52" s="104" t="s">
        <v>116</v>
      </c>
      <c r="R52" s="103" t="s">
        <v>117</v>
      </c>
      <c r="S52" s="84" t="s">
        <v>184</v>
      </c>
      <c r="T52" s="86"/>
      <c r="U52" s="86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109"/>
      <c r="ED52" s="109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109"/>
      <c r="EV52" s="109"/>
      <c r="EW52" s="109"/>
      <c r="EX52" s="109"/>
      <c r="EY52" s="109"/>
      <c r="EZ52" s="109"/>
      <c r="FA52" s="109"/>
      <c r="FB52" s="109"/>
      <c r="FC52" s="109"/>
      <c r="FD52" s="109"/>
      <c r="FE52" s="109"/>
      <c r="FF52" s="109"/>
      <c r="FG52" s="109"/>
      <c r="FH52" s="109"/>
      <c r="FI52" s="109"/>
      <c r="FJ52" s="109"/>
      <c r="FK52" s="109"/>
      <c r="FL52" s="109"/>
      <c r="FM52" s="109"/>
      <c r="FN52" s="109"/>
      <c r="FO52" s="109"/>
      <c r="FP52" s="109"/>
      <c r="FQ52" s="109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  <c r="GS52" s="109"/>
      <c r="GT52" s="109"/>
      <c r="GU52" s="109"/>
      <c r="GV52" s="109"/>
      <c r="GW52" s="109"/>
      <c r="GX52" s="109"/>
      <c r="GY52" s="109"/>
      <c r="GZ52" s="109"/>
      <c r="HA52" s="109"/>
      <c r="HB52" s="109"/>
      <c r="HC52" s="109"/>
      <c r="HD52" s="109"/>
      <c r="HE52" s="109"/>
      <c r="HF52" s="109"/>
      <c r="HG52" s="109"/>
      <c r="HH52" s="109"/>
      <c r="HI52" s="109"/>
      <c r="HJ52" s="109"/>
      <c r="HK52" s="109"/>
      <c r="HL52" s="109"/>
      <c r="HM52" s="109"/>
      <c r="HN52" s="109"/>
      <c r="HO52" s="109"/>
      <c r="HP52" s="109"/>
      <c r="HQ52" s="109"/>
      <c r="HR52" s="109"/>
      <c r="HS52" s="109"/>
      <c r="HT52" s="109"/>
      <c r="HU52" s="109"/>
      <c r="HV52" s="109"/>
      <c r="HW52" s="109"/>
      <c r="HX52" s="109"/>
      <c r="HY52" s="109"/>
      <c r="HZ52" s="109"/>
      <c r="IA52" s="109"/>
      <c r="IB52" s="109"/>
      <c r="IC52" s="109"/>
      <c r="ID52" s="109"/>
      <c r="IE52" s="109"/>
      <c r="IF52" s="109"/>
      <c r="IG52" s="109"/>
      <c r="IH52" s="109"/>
      <c r="II52" s="109"/>
      <c r="IJ52" s="109"/>
      <c r="IK52" s="109"/>
      <c r="IL52" s="109"/>
      <c r="IM52" s="109"/>
      <c r="IN52" s="109"/>
      <c r="IO52" s="109"/>
      <c r="IP52" s="109"/>
      <c r="IQ52" s="109"/>
      <c r="IR52" s="109"/>
      <c r="IS52" s="109"/>
      <c r="IT52" s="109"/>
      <c r="IU52" s="109"/>
      <c r="IV52" s="109"/>
      <c r="IW52" s="109"/>
    </row>
    <row r="53" customFormat="false" ht="12.75" hidden="false" customHeight="false" outlineLevel="0" collapsed="false">
      <c r="A53" s="15" t="s">
        <v>185</v>
      </c>
      <c r="B53" s="15" t="s">
        <v>186</v>
      </c>
      <c r="C53" s="16" t="s">
        <v>187</v>
      </c>
      <c r="D53" s="17" t="n">
        <v>36251</v>
      </c>
      <c r="E53" s="17" t="n">
        <v>37346</v>
      </c>
      <c r="F53" s="15" t="s">
        <v>188</v>
      </c>
      <c r="G53" s="15" t="s">
        <v>189</v>
      </c>
      <c r="H53" s="16" t="s">
        <v>1</v>
      </c>
      <c r="I53" s="19" t="n">
        <f aca="false">6.38/I$1</f>
        <v>0.227857142857143</v>
      </c>
      <c r="J53" s="19" t="n">
        <v>0.003</v>
      </c>
      <c r="K53" s="19" t="n">
        <v>0.0022</v>
      </c>
      <c r="L53" s="19" t="n">
        <v>0</v>
      </c>
      <c r="M53" s="19" t="n">
        <v>0</v>
      </c>
      <c r="N53" s="110" t="n">
        <v>0</v>
      </c>
      <c r="O53" s="19" t="n">
        <f aca="false">SUM(I53:M53)</f>
        <v>0.233057142857143</v>
      </c>
      <c r="P53" s="21" t="n">
        <v>28223</v>
      </c>
      <c r="Q53" s="16" t="n">
        <v>29750</v>
      </c>
      <c r="R53" s="15" t="s">
        <v>190</v>
      </c>
      <c r="S53" s="111" t="n">
        <f aca="false">I53*I$1*Q53</f>
        <v>189805</v>
      </c>
      <c r="T53" s="24" t="s">
        <v>191</v>
      </c>
      <c r="U53" s="24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5" t="s">
        <v>101</v>
      </c>
      <c r="B54" s="15" t="s">
        <v>186</v>
      </c>
      <c r="C54" s="16" t="s">
        <v>192</v>
      </c>
      <c r="D54" s="17" t="n">
        <v>36923</v>
      </c>
      <c r="E54" s="17" t="n">
        <v>37802</v>
      </c>
      <c r="F54" s="15"/>
      <c r="G54" s="15"/>
      <c r="H54" s="16" t="s">
        <v>1</v>
      </c>
      <c r="I54" s="19" t="n">
        <f aca="false">1.3566/I1</f>
        <v>0.04845</v>
      </c>
      <c r="J54" s="19" t="n">
        <v>0.003</v>
      </c>
      <c r="K54" s="19" t="n">
        <v>0.0022</v>
      </c>
      <c r="L54" s="19" t="n">
        <v>0</v>
      </c>
      <c r="M54" s="19" t="n">
        <v>0</v>
      </c>
      <c r="N54" s="110" t="n">
        <v>0</v>
      </c>
      <c r="O54" s="19" t="n">
        <f aca="false">SUM(I54:M54)</f>
        <v>0.05365</v>
      </c>
      <c r="P54" s="21" t="n">
        <v>28754</v>
      </c>
      <c r="Q54" s="16" t="n">
        <v>15000</v>
      </c>
      <c r="R54" s="15" t="s">
        <v>193</v>
      </c>
      <c r="S54" s="111" t="n">
        <f aca="false">I54*I$1*Q54</f>
        <v>20349</v>
      </c>
      <c r="T54" s="24" t="n">
        <v>592256</v>
      </c>
      <c r="U54" s="24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5"/>
      <c r="B55" s="16"/>
      <c r="C55" s="16"/>
      <c r="D55" s="17"/>
      <c r="E55" s="17"/>
      <c r="F55" s="15"/>
      <c r="G55" s="15"/>
      <c r="H55" s="16"/>
      <c r="I55" s="18"/>
      <c r="J55" s="19"/>
      <c r="K55" s="66"/>
      <c r="L55" s="19"/>
      <c r="M55" s="19"/>
      <c r="N55" s="110"/>
      <c r="O55" s="19"/>
      <c r="P55" s="21"/>
      <c r="Q55" s="16"/>
      <c r="R55" s="16"/>
      <c r="S55" s="112"/>
      <c r="T55" s="24"/>
      <c r="U55" s="24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5"/>
      <c r="B56" s="16"/>
      <c r="C56" s="16"/>
      <c r="D56" s="17"/>
      <c r="E56" s="17"/>
      <c r="F56" s="15"/>
      <c r="G56" s="15"/>
      <c r="H56" s="16"/>
      <c r="I56" s="18"/>
      <c r="J56" s="19"/>
      <c r="K56" s="19"/>
      <c r="L56" s="19"/>
      <c r="M56" s="19"/>
      <c r="N56" s="20"/>
      <c r="O56" s="19"/>
      <c r="P56" s="21"/>
      <c r="Q56" s="67" t="n">
        <f aca="false">SUM(Q53:Q55)</f>
        <v>44750</v>
      </c>
      <c r="R56" s="72" t="s">
        <v>177</v>
      </c>
      <c r="S56" s="33" t="n">
        <f aca="false">SUM(S53:S55)</f>
        <v>210154</v>
      </c>
      <c r="T56" s="23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5"/>
      <c r="B57" s="16"/>
      <c r="C57" s="16"/>
      <c r="D57" s="17"/>
      <c r="E57" s="17"/>
      <c r="F57" s="15"/>
      <c r="G57" s="15"/>
      <c r="H57" s="16"/>
      <c r="I57" s="18"/>
      <c r="J57" s="19"/>
      <c r="K57" s="19"/>
      <c r="L57" s="19"/>
      <c r="M57" s="19"/>
      <c r="N57" s="20"/>
      <c r="O57" s="19"/>
      <c r="P57" s="21"/>
      <c r="Q57" s="69"/>
      <c r="R57" s="72" t="s">
        <v>178</v>
      </c>
      <c r="S57" s="33" t="n">
        <f aca="false">+S53</f>
        <v>189805</v>
      </c>
      <c r="T57" s="23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3.5" hidden="false" customHeight="false" outlineLevel="0" collapsed="false">
      <c r="A58" s="15"/>
      <c r="B58" s="16"/>
      <c r="C58" s="16"/>
      <c r="D58" s="17"/>
      <c r="E58" s="17"/>
      <c r="F58" s="15"/>
      <c r="G58" s="15"/>
      <c r="H58" s="16"/>
      <c r="I58" s="18"/>
      <c r="J58" s="19"/>
      <c r="K58" s="19"/>
      <c r="L58" s="19"/>
      <c r="M58" s="19"/>
      <c r="N58" s="20"/>
      <c r="O58" s="19"/>
      <c r="P58" s="21"/>
      <c r="Q58" s="69"/>
      <c r="R58" s="72" t="s">
        <v>179</v>
      </c>
      <c r="S58" s="102" t="n">
        <f aca="false">+S56-S57</f>
        <v>20349</v>
      </c>
      <c r="T58" s="23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3.5" hidden="false" customHeight="false" outlineLevel="0" collapsed="false">
      <c r="A59" s="54"/>
      <c r="B59" s="56"/>
      <c r="C59" s="56"/>
      <c r="D59" s="57"/>
      <c r="E59" s="57"/>
      <c r="F59" s="54"/>
      <c r="G59" s="54"/>
      <c r="H59" s="56"/>
      <c r="I59" s="59"/>
      <c r="J59" s="60"/>
      <c r="K59" s="60"/>
      <c r="L59" s="60"/>
      <c r="M59" s="60"/>
      <c r="N59" s="61"/>
      <c r="O59" s="60"/>
      <c r="P59" s="113"/>
      <c r="Q59" s="56"/>
      <c r="R59" s="54"/>
      <c r="S59" s="65"/>
      <c r="T59" s="114"/>
      <c r="U59" s="115"/>
      <c r="V59" s="115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</row>
    <row r="60" customFormat="false" ht="12.75" hidden="false" customHeight="false" outlineLevel="0" collapsed="false">
      <c r="A60" s="117" t="s">
        <v>101</v>
      </c>
      <c r="B60" s="118" t="s">
        <v>102</v>
      </c>
      <c r="C60" s="118" t="s">
        <v>103</v>
      </c>
      <c r="D60" s="119" t="s">
        <v>104</v>
      </c>
      <c r="E60" s="119"/>
      <c r="F60" s="117" t="s">
        <v>105</v>
      </c>
      <c r="G60" s="117" t="s">
        <v>106</v>
      </c>
      <c r="H60" s="118" t="s">
        <v>107</v>
      </c>
      <c r="I60" s="120" t="s">
        <v>108</v>
      </c>
      <c r="J60" s="118" t="s">
        <v>109</v>
      </c>
      <c r="K60" s="118" t="s">
        <v>110</v>
      </c>
      <c r="L60" s="118" t="s">
        <v>111</v>
      </c>
      <c r="M60" s="118" t="s">
        <v>112</v>
      </c>
      <c r="N60" s="121" t="s">
        <v>113</v>
      </c>
      <c r="O60" s="118" t="s">
        <v>114</v>
      </c>
      <c r="P60" s="122" t="s">
        <v>115</v>
      </c>
      <c r="Q60" s="118" t="s">
        <v>116</v>
      </c>
      <c r="R60" s="117" t="s">
        <v>117</v>
      </c>
      <c r="S60" s="123" t="s">
        <v>184</v>
      </c>
      <c r="T60" s="24"/>
      <c r="U60" s="24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3.5" hidden="false" customHeight="true" outlineLevel="0" collapsed="false">
      <c r="A61" s="15" t="s">
        <v>185</v>
      </c>
      <c r="B61" s="16" t="s">
        <v>194</v>
      </c>
      <c r="C61" s="16"/>
      <c r="D61" s="17"/>
      <c r="E61" s="17"/>
      <c r="F61" s="15"/>
      <c r="G61" s="15"/>
      <c r="H61" s="16"/>
      <c r="I61" s="18"/>
      <c r="J61" s="19" t="n">
        <v>0</v>
      </c>
      <c r="K61" s="19" t="n">
        <v>0</v>
      </c>
      <c r="L61" s="19" t="n">
        <v>0</v>
      </c>
      <c r="M61" s="19" t="n">
        <v>0</v>
      </c>
      <c r="N61" s="110" t="n">
        <v>0.008</v>
      </c>
      <c r="O61" s="19" t="n">
        <f aca="false">SUM(I61:M61)</f>
        <v>0</v>
      </c>
      <c r="P61" s="21"/>
      <c r="Q61" s="16"/>
      <c r="R61" s="15"/>
      <c r="S61" s="111"/>
      <c r="T61" s="24"/>
      <c r="U61" s="24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3" customFormat="false" ht="12.75" hidden="false" customHeight="false" outlineLevel="0" collapsed="false">
      <c r="A63" s="15"/>
      <c r="B63" s="16"/>
      <c r="C63" s="16"/>
      <c r="D63" s="17"/>
      <c r="E63" s="17"/>
      <c r="F63" s="15"/>
      <c r="G63" s="15"/>
      <c r="H63" s="16"/>
      <c r="I63" s="18"/>
      <c r="J63" s="19"/>
      <c r="K63" s="66"/>
      <c r="L63" s="19"/>
      <c r="M63" s="19"/>
      <c r="N63" s="110"/>
      <c r="O63" s="19"/>
      <c r="P63" s="21"/>
      <c r="Q63" s="16"/>
      <c r="R63" s="16"/>
      <c r="S63" s="22"/>
      <c r="T63" s="24"/>
      <c r="U63" s="24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15"/>
      <c r="B64" s="16"/>
      <c r="C64" s="16"/>
      <c r="D64" s="17"/>
      <c r="E64" s="17"/>
      <c r="F64" s="15"/>
      <c r="G64" s="15"/>
      <c r="H64" s="16"/>
      <c r="I64" s="18"/>
      <c r="J64" s="19"/>
      <c r="K64" s="19"/>
      <c r="L64" s="19"/>
      <c r="M64" s="19"/>
      <c r="N64" s="20"/>
      <c r="O64" s="19"/>
      <c r="P64" s="21"/>
      <c r="Q64" s="67" t="n">
        <f aca="false">SUM(Q61:Q63)</f>
        <v>0</v>
      </c>
      <c r="R64" s="72" t="s">
        <v>177</v>
      </c>
      <c r="S64" s="33" t="n">
        <f aca="false">SUM(S61:S63)</f>
        <v>0</v>
      </c>
      <c r="T64" s="23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false" outlineLevel="0" collapsed="false">
      <c r="A65" s="15"/>
      <c r="B65" s="16"/>
      <c r="C65" s="16"/>
      <c r="D65" s="17"/>
      <c r="E65" s="17"/>
      <c r="F65" s="15"/>
      <c r="G65" s="15"/>
      <c r="H65" s="16"/>
      <c r="I65" s="18"/>
      <c r="J65" s="19"/>
      <c r="K65" s="19"/>
      <c r="L65" s="19"/>
      <c r="M65" s="19"/>
      <c r="N65" s="20"/>
      <c r="O65" s="19"/>
      <c r="P65" s="21"/>
      <c r="Q65" s="69"/>
      <c r="R65" s="72" t="s">
        <v>178</v>
      </c>
      <c r="S65" s="33" t="n">
        <f aca="false">SUM(S61)</f>
        <v>0</v>
      </c>
      <c r="T65" s="23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3.5" hidden="false" customHeight="false" outlineLevel="0" collapsed="false">
      <c r="A66" s="15"/>
      <c r="B66" s="16"/>
      <c r="C66" s="16"/>
      <c r="D66" s="17"/>
      <c r="E66" s="17"/>
      <c r="F66" s="15"/>
      <c r="G66" s="15"/>
      <c r="H66" s="16"/>
      <c r="I66" s="18"/>
      <c r="J66" s="19"/>
      <c r="K66" s="19"/>
      <c r="L66" s="19"/>
      <c r="M66" s="19"/>
      <c r="N66" s="20"/>
      <c r="O66" s="19"/>
      <c r="P66" s="21"/>
      <c r="Q66" s="69"/>
      <c r="R66" s="72" t="s">
        <v>179</v>
      </c>
      <c r="S66" s="102" t="n">
        <f aca="false">+S64-S65</f>
        <v>0</v>
      </c>
      <c r="T66" s="23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3.5" hidden="false" customHeight="false" outlineLevel="0" collapsed="false">
      <c r="A67" s="15"/>
      <c r="B67" s="16"/>
      <c r="C67" s="16"/>
      <c r="D67" s="17"/>
      <c r="E67" s="17"/>
      <c r="F67" s="15"/>
      <c r="G67" s="15"/>
      <c r="H67" s="16"/>
      <c r="I67" s="18"/>
      <c r="J67" s="19"/>
      <c r="K67" s="19"/>
      <c r="L67" s="19"/>
      <c r="M67" s="19"/>
      <c r="N67" s="20"/>
      <c r="O67" s="19"/>
      <c r="P67" s="21"/>
      <c r="Q67" s="16"/>
      <c r="R67" s="15"/>
      <c r="S67" s="22"/>
      <c r="T67" s="23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15"/>
      <c r="B68" s="16"/>
      <c r="C68" s="16"/>
      <c r="D68" s="17"/>
      <c r="E68" s="17"/>
      <c r="F68" s="15"/>
      <c r="G68" s="15"/>
      <c r="H68" s="16"/>
      <c r="I68" s="18"/>
      <c r="J68" s="19"/>
      <c r="K68" s="19"/>
      <c r="L68" s="19"/>
      <c r="M68" s="19"/>
      <c r="N68" s="20"/>
      <c r="O68" s="19"/>
      <c r="P68" s="21"/>
      <c r="Q68" s="16"/>
      <c r="R68" s="15"/>
      <c r="S68" s="22"/>
      <c r="T68" s="23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03" t="s">
        <v>101</v>
      </c>
      <c r="B69" s="104" t="s">
        <v>102</v>
      </c>
      <c r="C69" s="104" t="s">
        <v>103</v>
      </c>
      <c r="D69" s="105" t="s">
        <v>104</v>
      </c>
      <c r="E69" s="105"/>
      <c r="F69" s="103" t="s">
        <v>105</v>
      </c>
      <c r="G69" s="103" t="s">
        <v>106</v>
      </c>
      <c r="H69" s="104" t="s">
        <v>107</v>
      </c>
      <c r="I69" s="106" t="s">
        <v>108</v>
      </c>
      <c r="J69" s="104" t="s">
        <v>109</v>
      </c>
      <c r="K69" s="104" t="s">
        <v>110</v>
      </c>
      <c r="L69" s="104" t="s">
        <v>111</v>
      </c>
      <c r="M69" s="104" t="s">
        <v>112</v>
      </c>
      <c r="N69" s="107" t="s">
        <v>113</v>
      </c>
      <c r="O69" s="104" t="s">
        <v>114</v>
      </c>
      <c r="P69" s="108" t="s">
        <v>115</v>
      </c>
      <c r="Q69" s="104" t="s">
        <v>116</v>
      </c>
      <c r="R69" s="103" t="s">
        <v>117</v>
      </c>
      <c r="S69" s="84" t="s">
        <v>184</v>
      </c>
      <c r="T69" s="86"/>
      <c r="U69" s="86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09"/>
      <c r="CS69" s="109"/>
      <c r="CT69" s="109"/>
      <c r="CU69" s="109"/>
      <c r="CV69" s="109"/>
      <c r="CW69" s="109"/>
      <c r="CX69" s="109"/>
      <c r="CY69" s="109"/>
      <c r="CZ69" s="109"/>
      <c r="DA69" s="109"/>
      <c r="DB69" s="109"/>
      <c r="DC69" s="109"/>
      <c r="DD69" s="109"/>
      <c r="DE69" s="109"/>
      <c r="DF69" s="109"/>
      <c r="DG69" s="109"/>
      <c r="DH69" s="109"/>
      <c r="DI69" s="109"/>
      <c r="DJ69" s="109"/>
      <c r="DK69" s="109"/>
      <c r="DL69" s="109"/>
      <c r="DM69" s="109"/>
      <c r="DN69" s="109"/>
      <c r="DO69" s="109"/>
      <c r="DP69" s="109"/>
      <c r="DQ69" s="109"/>
      <c r="DR69" s="109"/>
      <c r="DS69" s="109"/>
      <c r="DT69" s="109"/>
      <c r="DU69" s="109"/>
      <c r="DV69" s="109"/>
      <c r="DW69" s="109"/>
      <c r="DX69" s="109"/>
      <c r="DY69" s="109"/>
      <c r="DZ69" s="109"/>
      <c r="EA69" s="109"/>
      <c r="EB69" s="109"/>
      <c r="EC69" s="109"/>
      <c r="ED69" s="109"/>
      <c r="EE69" s="109"/>
      <c r="EF69" s="109"/>
      <c r="EG69" s="109"/>
      <c r="EH69" s="109"/>
      <c r="EI69" s="109"/>
      <c r="EJ69" s="109"/>
      <c r="EK69" s="109"/>
      <c r="EL69" s="109"/>
      <c r="EM69" s="109"/>
      <c r="EN69" s="109"/>
      <c r="EO69" s="109"/>
      <c r="EP69" s="109"/>
      <c r="EQ69" s="109"/>
      <c r="ER69" s="109"/>
      <c r="ES69" s="109"/>
      <c r="ET69" s="109"/>
      <c r="EU69" s="109"/>
      <c r="EV69" s="109"/>
      <c r="EW69" s="109"/>
      <c r="EX69" s="109"/>
      <c r="EY69" s="109"/>
      <c r="EZ69" s="109"/>
      <c r="FA69" s="109"/>
      <c r="FB69" s="109"/>
      <c r="FC69" s="109"/>
      <c r="FD69" s="109"/>
      <c r="FE69" s="109"/>
      <c r="FF69" s="109"/>
      <c r="FG69" s="109"/>
      <c r="FH69" s="109"/>
      <c r="FI69" s="109"/>
      <c r="FJ69" s="109"/>
      <c r="FK69" s="109"/>
      <c r="FL69" s="109"/>
      <c r="FM69" s="109"/>
      <c r="FN69" s="109"/>
      <c r="FO69" s="109"/>
      <c r="FP69" s="109"/>
      <c r="FQ69" s="109"/>
      <c r="FR69" s="109"/>
      <c r="FS69" s="109"/>
      <c r="FT69" s="109"/>
      <c r="FU69" s="109"/>
      <c r="FV69" s="109"/>
      <c r="FW69" s="109"/>
      <c r="FX69" s="109"/>
      <c r="FY69" s="109"/>
      <c r="FZ69" s="109"/>
      <c r="GA69" s="109"/>
      <c r="GB69" s="109"/>
      <c r="GC69" s="109"/>
      <c r="GD69" s="109"/>
      <c r="GE69" s="109"/>
      <c r="GF69" s="109"/>
      <c r="GG69" s="109"/>
      <c r="GH69" s="109"/>
      <c r="GI69" s="109"/>
      <c r="GJ69" s="109"/>
      <c r="GK69" s="109"/>
      <c r="GL69" s="109"/>
      <c r="GM69" s="109"/>
      <c r="GN69" s="109"/>
      <c r="GO69" s="109"/>
      <c r="GP69" s="109"/>
      <c r="GQ69" s="109"/>
      <c r="GR69" s="109"/>
      <c r="GS69" s="109"/>
      <c r="GT69" s="109"/>
      <c r="GU69" s="109"/>
      <c r="GV69" s="109"/>
      <c r="GW69" s="109"/>
      <c r="GX69" s="109"/>
      <c r="GY69" s="109"/>
      <c r="GZ69" s="109"/>
      <c r="HA69" s="109"/>
      <c r="HB69" s="109"/>
      <c r="HC69" s="109"/>
      <c r="HD69" s="109"/>
      <c r="HE69" s="109"/>
      <c r="HF69" s="109"/>
      <c r="HG69" s="109"/>
      <c r="HH69" s="109"/>
      <c r="HI69" s="109"/>
      <c r="HJ69" s="109"/>
      <c r="HK69" s="109"/>
      <c r="HL69" s="109"/>
      <c r="HM69" s="109"/>
      <c r="HN69" s="109"/>
      <c r="HO69" s="109"/>
      <c r="HP69" s="109"/>
      <c r="HQ69" s="109"/>
      <c r="HR69" s="109"/>
      <c r="HS69" s="109"/>
      <c r="HT69" s="109"/>
      <c r="HU69" s="109"/>
      <c r="HV69" s="109"/>
      <c r="HW69" s="109"/>
      <c r="HX69" s="109"/>
      <c r="HY69" s="109"/>
      <c r="HZ69" s="109"/>
      <c r="IA69" s="109"/>
      <c r="IB69" s="109"/>
      <c r="IC69" s="109"/>
      <c r="ID69" s="109"/>
      <c r="IE69" s="109"/>
      <c r="IF69" s="109"/>
      <c r="IG69" s="109"/>
      <c r="IH69" s="109"/>
      <c r="II69" s="109"/>
      <c r="IJ69" s="109"/>
      <c r="IK69" s="109"/>
      <c r="IL69" s="109"/>
      <c r="IM69" s="109"/>
      <c r="IN69" s="109"/>
      <c r="IO69" s="109"/>
      <c r="IP69" s="109"/>
      <c r="IQ69" s="109"/>
      <c r="IR69" s="109"/>
      <c r="IS69" s="109"/>
      <c r="IT69" s="109"/>
      <c r="IU69" s="109"/>
      <c r="IV69" s="109"/>
      <c r="IW69" s="109"/>
    </row>
    <row r="70" customFormat="false" ht="12.75" hidden="false" customHeight="false" outlineLevel="0" collapsed="false">
      <c r="A70" s="15"/>
      <c r="B70" s="15"/>
      <c r="C70" s="16"/>
      <c r="D70" s="17"/>
      <c r="E70" s="17"/>
      <c r="F70" s="15"/>
      <c r="G70" s="15"/>
      <c r="H70" s="16"/>
      <c r="I70" s="18"/>
      <c r="J70" s="19"/>
      <c r="K70" s="19"/>
      <c r="L70" s="19"/>
      <c r="M70" s="19"/>
      <c r="N70" s="110"/>
      <c r="O70" s="19"/>
      <c r="P70" s="21"/>
      <c r="Q70" s="16"/>
      <c r="R70" s="15"/>
      <c r="S70" s="111"/>
      <c r="T70" s="24"/>
      <c r="U70" s="24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false" customHeight="false" outlineLevel="0" collapsed="false">
      <c r="A71" s="15"/>
      <c r="B71" s="15"/>
      <c r="C71" s="16"/>
      <c r="D71" s="17"/>
      <c r="E71" s="17"/>
      <c r="F71" s="15"/>
      <c r="G71" s="15"/>
      <c r="H71" s="16"/>
      <c r="I71" s="18"/>
      <c r="J71" s="19"/>
      <c r="K71" s="19"/>
      <c r="L71" s="19"/>
      <c r="M71" s="19"/>
      <c r="N71" s="110"/>
      <c r="O71" s="19"/>
      <c r="P71" s="21"/>
      <c r="Q71" s="16"/>
      <c r="R71" s="15"/>
      <c r="S71" s="111"/>
      <c r="T71" s="24"/>
      <c r="U71" s="24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false" outlineLevel="0" collapsed="false">
      <c r="A72" s="15"/>
      <c r="B72" s="16"/>
      <c r="C72" s="16"/>
      <c r="D72" s="17"/>
      <c r="E72" s="17"/>
      <c r="F72" s="15"/>
      <c r="G72" s="15"/>
      <c r="H72" s="16"/>
      <c r="I72" s="18"/>
      <c r="J72" s="19"/>
      <c r="K72" s="66"/>
      <c r="L72" s="19"/>
      <c r="M72" s="19"/>
      <c r="N72" s="110"/>
      <c r="O72" s="19"/>
      <c r="P72" s="21"/>
      <c r="Q72" s="16"/>
      <c r="R72" s="16"/>
      <c r="S72" s="112"/>
      <c r="T72" s="24"/>
      <c r="U72" s="2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A73" s="15"/>
      <c r="B73" s="16"/>
      <c r="C73" s="16"/>
      <c r="D73" s="17"/>
      <c r="E73" s="17"/>
      <c r="F73" s="15"/>
      <c r="G73" s="15"/>
      <c r="H73" s="16"/>
      <c r="I73" s="18"/>
      <c r="J73" s="19"/>
      <c r="K73" s="19"/>
      <c r="L73" s="19"/>
      <c r="M73" s="19"/>
      <c r="N73" s="20"/>
      <c r="O73" s="19"/>
      <c r="P73" s="21"/>
      <c r="Q73" s="67" t="n">
        <f aca="false">SUM(Q70:Q72)</f>
        <v>0</v>
      </c>
      <c r="R73" s="72" t="s">
        <v>177</v>
      </c>
      <c r="S73" s="33" t="n">
        <f aca="false">SUM(S70:S72)</f>
        <v>0</v>
      </c>
      <c r="T73" s="23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false" outlineLevel="0" collapsed="false">
      <c r="A74" s="15"/>
      <c r="B74" s="16"/>
      <c r="C74" s="16"/>
      <c r="D74" s="17"/>
      <c r="E74" s="17"/>
      <c r="F74" s="15"/>
      <c r="G74" s="15"/>
      <c r="H74" s="16"/>
      <c r="I74" s="18"/>
      <c r="J74" s="19"/>
      <c r="K74" s="19"/>
      <c r="L74" s="19"/>
      <c r="M74" s="19"/>
      <c r="N74" s="20"/>
      <c r="O74" s="19"/>
      <c r="P74" s="21"/>
      <c r="Q74" s="69"/>
      <c r="R74" s="72" t="s">
        <v>178</v>
      </c>
      <c r="S74" s="33" t="n">
        <f aca="false">SUM(S70:S71)</f>
        <v>0</v>
      </c>
      <c r="T74" s="23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3.5" hidden="false" customHeight="false" outlineLevel="0" collapsed="false">
      <c r="A75" s="15"/>
      <c r="B75" s="16"/>
      <c r="C75" s="16"/>
      <c r="D75" s="17"/>
      <c r="E75" s="17"/>
      <c r="F75" s="15"/>
      <c r="G75" s="15"/>
      <c r="H75" s="16"/>
      <c r="I75" s="18"/>
      <c r="J75" s="19"/>
      <c r="K75" s="19"/>
      <c r="L75" s="19"/>
      <c r="M75" s="19"/>
      <c r="N75" s="20"/>
      <c r="O75" s="19"/>
      <c r="P75" s="21"/>
      <c r="Q75" s="69"/>
      <c r="R75" s="72" t="s">
        <v>179</v>
      </c>
      <c r="S75" s="102" t="n">
        <f aca="false">+S73-S74</f>
        <v>0</v>
      </c>
      <c r="T75" s="23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3.5" hidden="false" customHeight="false" outlineLevel="0" collapsed="false">
      <c r="A76" s="15"/>
      <c r="B76" s="16"/>
      <c r="C76" s="16"/>
      <c r="D76" s="17"/>
      <c r="E76" s="17"/>
      <c r="F76" s="15"/>
      <c r="G76" s="15"/>
      <c r="H76" s="16"/>
      <c r="I76" s="18"/>
      <c r="J76" s="19"/>
      <c r="K76" s="19"/>
      <c r="L76" s="19"/>
      <c r="M76" s="19"/>
      <c r="N76" s="20"/>
      <c r="O76" s="19"/>
      <c r="P76" s="21"/>
      <c r="Q76" s="16"/>
      <c r="R76" s="15"/>
      <c r="S76" s="22"/>
      <c r="T76" s="23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03" t="s">
        <v>101</v>
      </c>
      <c r="B77" s="104" t="s">
        <v>102</v>
      </c>
      <c r="C77" s="104" t="s">
        <v>103</v>
      </c>
      <c r="D77" s="105" t="s">
        <v>104</v>
      </c>
      <c r="E77" s="105"/>
      <c r="F77" s="103" t="s">
        <v>105</v>
      </c>
      <c r="G77" s="103" t="s">
        <v>106</v>
      </c>
      <c r="H77" s="104" t="s">
        <v>107</v>
      </c>
      <c r="I77" s="106" t="s">
        <v>108</v>
      </c>
      <c r="J77" s="104" t="s">
        <v>109</v>
      </c>
      <c r="K77" s="104" t="s">
        <v>110</v>
      </c>
      <c r="L77" s="104" t="s">
        <v>111</v>
      </c>
      <c r="M77" s="104" t="s">
        <v>112</v>
      </c>
      <c r="N77" s="107" t="s">
        <v>113</v>
      </c>
      <c r="O77" s="104" t="s">
        <v>114</v>
      </c>
      <c r="P77" s="108" t="s">
        <v>115</v>
      </c>
      <c r="Q77" s="104" t="s">
        <v>116</v>
      </c>
      <c r="R77" s="103" t="s">
        <v>117</v>
      </c>
      <c r="S77" s="84" t="s">
        <v>184</v>
      </c>
      <c r="T77" s="86"/>
      <c r="U77" s="86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09"/>
      <c r="CS77" s="109"/>
      <c r="CT77" s="109"/>
      <c r="CU77" s="109"/>
      <c r="CV77" s="109"/>
      <c r="CW77" s="109"/>
      <c r="CX77" s="109"/>
      <c r="CY77" s="109"/>
      <c r="CZ77" s="109"/>
      <c r="DA77" s="109"/>
      <c r="DB77" s="109"/>
      <c r="DC77" s="109"/>
      <c r="DD77" s="109"/>
      <c r="DE77" s="109"/>
      <c r="DF77" s="109"/>
      <c r="DG77" s="109"/>
      <c r="DH77" s="109"/>
      <c r="DI77" s="109"/>
      <c r="DJ77" s="109"/>
      <c r="DK77" s="109"/>
      <c r="DL77" s="109"/>
      <c r="DM77" s="109"/>
      <c r="DN77" s="109"/>
      <c r="DO77" s="109"/>
      <c r="DP77" s="109"/>
      <c r="DQ77" s="109"/>
      <c r="DR77" s="109"/>
      <c r="DS77" s="109"/>
      <c r="DT77" s="109"/>
      <c r="DU77" s="109"/>
      <c r="DV77" s="109"/>
      <c r="DW77" s="109"/>
      <c r="DX77" s="109"/>
      <c r="DY77" s="109"/>
      <c r="DZ77" s="109"/>
      <c r="EA77" s="109"/>
      <c r="EB77" s="109"/>
      <c r="EC77" s="109"/>
      <c r="ED77" s="109"/>
      <c r="EE77" s="109"/>
      <c r="EF77" s="109"/>
      <c r="EG77" s="109"/>
      <c r="EH77" s="109"/>
      <c r="EI77" s="109"/>
      <c r="EJ77" s="109"/>
      <c r="EK77" s="109"/>
      <c r="EL77" s="109"/>
      <c r="EM77" s="109"/>
      <c r="EN77" s="109"/>
      <c r="EO77" s="109"/>
      <c r="EP77" s="109"/>
      <c r="EQ77" s="109"/>
      <c r="ER77" s="109"/>
      <c r="ES77" s="109"/>
      <c r="ET77" s="109"/>
      <c r="EU77" s="109"/>
      <c r="EV77" s="109"/>
      <c r="EW77" s="109"/>
      <c r="EX77" s="109"/>
      <c r="EY77" s="109"/>
      <c r="EZ77" s="109"/>
      <c r="FA77" s="109"/>
      <c r="FB77" s="109"/>
      <c r="FC77" s="109"/>
      <c r="FD77" s="109"/>
      <c r="FE77" s="109"/>
      <c r="FF77" s="109"/>
      <c r="FG77" s="109"/>
      <c r="FH77" s="109"/>
      <c r="FI77" s="109"/>
      <c r="FJ77" s="109"/>
      <c r="FK77" s="109"/>
      <c r="FL77" s="109"/>
      <c r="FM77" s="109"/>
      <c r="FN77" s="109"/>
      <c r="FO77" s="109"/>
      <c r="FP77" s="109"/>
      <c r="FQ77" s="109"/>
      <c r="FR77" s="109"/>
      <c r="FS77" s="109"/>
      <c r="FT77" s="109"/>
      <c r="FU77" s="109"/>
      <c r="FV77" s="109"/>
      <c r="FW77" s="109"/>
      <c r="FX77" s="109"/>
      <c r="FY77" s="109"/>
      <c r="FZ77" s="109"/>
      <c r="GA77" s="109"/>
      <c r="GB77" s="109"/>
      <c r="GC77" s="109"/>
      <c r="GD77" s="109"/>
      <c r="GE77" s="109"/>
      <c r="GF77" s="109"/>
      <c r="GG77" s="109"/>
      <c r="GH77" s="109"/>
      <c r="GI77" s="109"/>
      <c r="GJ77" s="109"/>
      <c r="GK77" s="109"/>
      <c r="GL77" s="109"/>
      <c r="GM77" s="109"/>
      <c r="GN77" s="109"/>
      <c r="GO77" s="109"/>
      <c r="GP77" s="109"/>
      <c r="GQ77" s="109"/>
      <c r="GR77" s="109"/>
      <c r="GS77" s="109"/>
      <c r="GT77" s="109"/>
      <c r="GU77" s="109"/>
      <c r="GV77" s="109"/>
      <c r="GW77" s="109"/>
      <c r="GX77" s="109"/>
      <c r="GY77" s="109"/>
      <c r="GZ77" s="109"/>
      <c r="HA77" s="109"/>
      <c r="HB77" s="109"/>
      <c r="HC77" s="109"/>
      <c r="HD77" s="109"/>
      <c r="HE77" s="109"/>
      <c r="HF77" s="109"/>
      <c r="HG77" s="109"/>
      <c r="HH77" s="109"/>
      <c r="HI77" s="109"/>
      <c r="HJ77" s="109"/>
      <c r="HK77" s="109"/>
      <c r="HL77" s="109"/>
      <c r="HM77" s="109"/>
      <c r="HN77" s="109"/>
      <c r="HO77" s="109"/>
      <c r="HP77" s="109"/>
      <c r="HQ77" s="109"/>
      <c r="HR77" s="109"/>
      <c r="HS77" s="109"/>
      <c r="HT77" s="109"/>
      <c r="HU77" s="109"/>
      <c r="HV77" s="109"/>
      <c r="HW77" s="109"/>
      <c r="HX77" s="109"/>
      <c r="HY77" s="109"/>
      <c r="HZ77" s="109"/>
      <c r="IA77" s="109"/>
      <c r="IB77" s="109"/>
      <c r="IC77" s="109"/>
      <c r="ID77" s="109"/>
      <c r="IE77" s="109"/>
      <c r="IF77" s="109"/>
      <c r="IG77" s="109"/>
      <c r="IH77" s="109"/>
      <c r="II77" s="109"/>
      <c r="IJ77" s="109"/>
      <c r="IK77" s="109"/>
      <c r="IL77" s="109"/>
      <c r="IM77" s="109"/>
      <c r="IN77" s="109"/>
      <c r="IO77" s="109"/>
      <c r="IP77" s="109"/>
      <c r="IQ77" s="109"/>
      <c r="IR77" s="109"/>
      <c r="IS77" s="109"/>
      <c r="IT77" s="109"/>
      <c r="IU77" s="109"/>
      <c r="IV77" s="109"/>
      <c r="IW77" s="109"/>
    </row>
    <row r="78" customFormat="false" ht="12.75" hidden="false" customHeight="false" outlineLevel="0" collapsed="false">
      <c r="A78" s="15" t="s">
        <v>195</v>
      </c>
      <c r="B78" s="15" t="s">
        <v>196</v>
      </c>
      <c r="C78" s="16" t="s">
        <v>196</v>
      </c>
      <c r="D78" s="17" t="s">
        <v>182</v>
      </c>
      <c r="E78" s="17" t="s">
        <v>182</v>
      </c>
      <c r="F78" s="15" t="s">
        <v>13</v>
      </c>
      <c r="G78" s="15" t="s">
        <v>13</v>
      </c>
      <c r="H78" s="16" t="s">
        <v>1</v>
      </c>
      <c r="I78" s="18" t="n">
        <v>0.0729</v>
      </c>
      <c r="J78" s="19" t="n">
        <v>0.003</v>
      </c>
      <c r="K78" s="19" t="n">
        <v>0.0022</v>
      </c>
      <c r="L78" s="19" t="n">
        <v>0</v>
      </c>
      <c r="M78" s="19" t="n">
        <v>0</v>
      </c>
      <c r="N78" s="110" t="n">
        <v>0</v>
      </c>
      <c r="O78" s="19" t="n">
        <f aca="false">SUM(I78:M78)</f>
        <v>0.0781</v>
      </c>
      <c r="P78" s="21" t="s">
        <v>197</v>
      </c>
      <c r="Q78" s="16" t="n">
        <v>25000</v>
      </c>
      <c r="R78" s="15"/>
      <c r="S78" s="111" t="n">
        <f aca="false">I78*I$1*Q78</f>
        <v>51030</v>
      </c>
      <c r="T78" s="24"/>
      <c r="U78" s="2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5"/>
      <c r="B79" s="15"/>
      <c r="C79" s="16"/>
      <c r="D79" s="17"/>
      <c r="E79" s="17"/>
      <c r="F79" s="15"/>
      <c r="G79" s="15"/>
      <c r="H79" s="16"/>
      <c r="I79" s="18"/>
      <c r="J79" s="19"/>
      <c r="K79" s="19"/>
      <c r="L79" s="19"/>
      <c r="M79" s="19"/>
      <c r="N79" s="110"/>
      <c r="O79" s="19"/>
      <c r="P79" s="21"/>
      <c r="Q79" s="16"/>
      <c r="R79" s="15"/>
      <c r="S79" s="111"/>
      <c r="T79" s="24"/>
      <c r="U79" s="2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5"/>
      <c r="B80" s="16"/>
      <c r="C80" s="16"/>
      <c r="D80" s="17"/>
      <c r="E80" s="17"/>
      <c r="F80" s="15"/>
      <c r="G80" s="15"/>
      <c r="H80" s="16"/>
      <c r="I80" s="18"/>
      <c r="J80" s="19"/>
      <c r="K80" s="66"/>
      <c r="L80" s="19"/>
      <c r="M80" s="19"/>
      <c r="N80" s="110"/>
      <c r="O80" s="19"/>
      <c r="P80" s="21"/>
      <c r="Q80" s="16"/>
      <c r="R80" s="16"/>
      <c r="S80" s="112"/>
      <c r="T80" s="24"/>
      <c r="U80" s="24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5"/>
      <c r="B81" s="16"/>
      <c r="C81" s="16"/>
      <c r="D81" s="17"/>
      <c r="E81" s="17"/>
      <c r="F81" s="15"/>
      <c r="G81" s="15"/>
      <c r="H81" s="16"/>
      <c r="I81" s="18"/>
      <c r="J81" s="19"/>
      <c r="K81" s="19"/>
      <c r="L81" s="19"/>
      <c r="M81" s="19"/>
      <c r="N81" s="20"/>
      <c r="O81" s="19"/>
      <c r="P81" s="21"/>
      <c r="Q81" s="67" t="n">
        <f aca="false">SUM(Q78:Q80)</f>
        <v>25000</v>
      </c>
      <c r="R81" s="72" t="s">
        <v>177</v>
      </c>
      <c r="S81" s="33" t="n">
        <f aca="false">SUM(S78:S80)</f>
        <v>51030</v>
      </c>
      <c r="T81" s="23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5"/>
      <c r="B82" s="16"/>
      <c r="C82" s="16"/>
      <c r="D82" s="17"/>
      <c r="E82" s="17"/>
      <c r="F82" s="15"/>
      <c r="G82" s="15"/>
      <c r="H82" s="16"/>
      <c r="I82" s="18"/>
      <c r="J82" s="19"/>
      <c r="K82" s="19"/>
      <c r="L82" s="19"/>
      <c r="M82" s="19"/>
      <c r="N82" s="20"/>
      <c r="O82" s="19"/>
      <c r="P82" s="21"/>
      <c r="Q82" s="69"/>
      <c r="R82" s="72" t="s">
        <v>178</v>
      </c>
      <c r="S82" s="33" t="n">
        <v>0</v>
      </c>
      <c r="T82" s="23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3.5" hidden="false" customHeight="false" outlineLevel="0" collapsed="false">
      <c r="A83" s="15"/>
      <c r="B83" s="16"/>
      <c r="C83" s="16"/>
      <c r="D83" s="17"/>
      <c r="E83" s="17"/>
      <c r="F83" s="15"/>
      <c r="G83" s="15"/>
      <c r="H83" s="16"/>
      <c r="I83" s="18"/>
      <c r="J83" s="19"/>
      <c r="K83" s="19"/>
      <c r="L83" s="19"/>
      <c r="M83" s="19"/>
      <c r="N83" s="20"/>
      <c r="O83" s="19"/>
      <c r="P83" s="21"/>
      <c r="Q83" s="69"/>
      <c r="R83" s="72" t="s">
        <v>179</v>
      </c>
      <c r="S83" s="102" t="n">
        <f aca="false">+S81-S82</f>
        <v>51030</v>
      </c>
      <c r="T83" s="23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3.5" hidden="false" customHeight="false" outlineLevel="0" collapsed="false">
      <c r="A84" s="15"/>
      <c r="B84" s="16"/>
      <c r="C84" s="16"/>
      <c r="D84" s="17"/>
      <c r="E84" s="17"/>
      <c r="F84" s="15"/>
      <c r="G84" s="15"/>
      <c r="H84" s="16"/>
      <c r="I84" s="18"/>
      <c r="J84" s="19"/>
      <c r="K84" s="19"/>
      <c r="L84" s="19"/>
      <c r="M84" s="19"/>
      <c r="N84" s="20"/>
      <c r="O84" s="19"/>
      <c r="P84" s="21"/>
      <c r="Q84" s="69"/>
      <c r="R84" s="72"/>
      <c r="S84" s="33"/>
      <c r="T84" s="23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03" t="s">
        <v>101</v>
      </c>
      <c r="B85" s="104" t="s">
        <v>102</v>
      </c>
      <c r="C85" s="104" t="s">
        <v>103</v>
      </c>
      <c r="D85" s="105" t="s">
        <v>104</v>
      </c>
      <c r="E85" s="105"/>
      <c r="F85" s="103" t="s">
        <v>105</v>
      </c>
      <c r="G85" s="103" t="s">
        <v>106</v>
      </c>
      <c r="H85" s="104" t="s">
        <v>198</v>
      </c>
      <c r="I85" s="106" t="s">
        <v>108</v>
      </c>
      <c r="J85" s="104" t="s">
        <v>109</v>
      </c>
      <c r="K85" s="104" t="s">
        <v>110</v>
      </c>
      <c r="L85" s="104" t="s">
        <v>111</v>
      </c>
      <c r="M85" s="104" t="s">
        <v>112</v>
      </c>
      <c r="N85" s="124" t="s">
        <v>113</v>
      </c>
      <c r="O85" s="104" t="s">
        <v>114</v>
      </c>
      <c r="P85" s="108" t="s">
        <v>141</v>
      </c>
      <c r="Q85" s="104" t="s">
        <v>116</v>
      </c>
      <c r="R85" s="103" t="s">
        <v>117</v>
      </c>
      <c r="S85" s="84" t="s">
        <v>118</v>
      </c>
      <c r="T85" s="125" t="s">
        <v>142</v>
      </c>
      <c r="U85" s="86"/>
      <c r="V85" s="86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09"/>
      <c r="CO85" s="109"/>
      <c r="CP85" s="109"/>
      <c r="CQ85" s="109"/>
      <c r="CR85" s="109"/>
      <c r="CS85" s="109"/>
      <c r="CT85" s="109"/>
      <c r="CU85" s="109"/>
      <c r="CV85" s="109"/>
      <c r="CW85" s="109"/>
      <c r="CX85" s="109"/>
      <c r="CY85" s="109"/>
      <c r="CZ85" s="109"/>
      <c r="DA85" s="109"/>
      <c r="DB85" s="109"/>
      <c r="DC85" s="109"/>
      <c r="DD85" s="109"/>
      <c r="DE85" s="109"/>
      <c r="DF85" s="109"/>
      <c r="DG85" s="109"/>
      <c r="DH85" s="109"/>
      <c r="DI85" s="109"/>
      <c r="DJ85" s="109"/>
      <c r="DK85" s="109"/>
      <c r="DL85" s="109"/>
      <c r="DM85" s="109"/>
      <c r="DN85" s="109"/>
      <c r="DO85" s="109"/>
      <c r="DP85" s="109"/>
      <c r="DQ85" s="109"/>
      <c r="DR85" s="109"/>
      <c r="DS85" s="109"/>
      <c r="DT85" s="109"/>
      <c r="DU85" s="109"/>
      <c r="DV85" s="109"/>
      <c r="DW85" s="109"/>
      <c r="DX85" s="109"/>
      <c r="DY85" s="109"/>
      <c r="DZ85" s="109"/>
      <c r="EA85" s="109"/>
      <c r="EB85" s="109"/>
      <c r="EC85" s="109"/>
      <c r="ED85" s="109"/>
      <c r="EE85" s="109"/>
      <c r="EF85" s="109"/>
      <c r="EG85" s="109"/>
      <c r="EH85" s="109"/>
      <c r="EI85" s="109"/>
      <c r="EJ85" s="109"/>
      <c r="EK85" s="109"/>
      <c r="EL85" s="109"/>
      <c r="EM85" s="109"/>
      <c r="EN85" s="109"/>
      <c r="EO85" s="109"/>
      <c r="EP85" s="109"/>
      <c r="EQ85" s="109"/>
      <c r="ER85" s="109"/>
      <c r="ES85" s="109"/>
      <c r="ET85" s="109"/>
      <c r="EU85" s="109"/>
      <c r="EV85" s="109"/>
      <c r="EW85" s="109"/>
      <c r="EX85" s="109"/>
      <c r="EY85" s="109"/>
      <c r="EZ85" s="109"/>
      <c r="FA85" s="109"/>
      <c r="FB85" s="109"/>
      <c r="FC85" s="109"/>
      <c r="FD85" s="109"/>
      <c r="FE85" s="109"/>
      <c r="FF85" s="109"/>
      <c r="FG85" s="109"/>
      <c r="FH85" s="109"/>
      <c r="FI85" s="109"/>
      <c r="FJ85" s="109"/>
      <c r="FK85" s="109"/>
      <c r="FL85" s="109"/>
      <c r="FM85" s="109"/>
      <c r="FN85" s="109"/>
      <c r="FO85" s="109"/>
      <c r="FP85" s="109"/>
      <c r="FQ85" s="109"/>
      <c r="FR85" s="109"/>
      <c r="FS85" s="109"/>
      <c r="FT85" s="109"/>
      <c r="FU85" s="109"/>
      <c r="FV85" s="109"/>
      <c r="FW85" s="109"/>
      <c r="FX85" s="109"/>
      <c r="FY85" s="109"/>
      <c r="FZ85" s="109"/>
      <c r="GA85" s="109"/>
      <c r="GB85" s="109"/>
      <c r="GC85" s="109"/>
      <c r="GD85" s="109"/>
      <c r="GE85" s="109"/>
      <c r="GF85" s="109"/>
      <c r="GG85" s="109"/>
      <c r="GH85" s="109"/>
      <c r="GI85" s="109"/>
      <c r="GJ85" s="109"/>
      <c r="GK85" s="109"/>
      <c r="GL85" s="109"/>
      <c r="GM85" s="109"/>
      <c r="GN85" s="109"/>
      <c r="GO85" s="109"/>
      <c r="GP85" s="109"/>
      <c r="GQ85" s="109"/>
      <c r="GR85" s="109"/>
      <c r="GS85" s="109"/>
      <c r="GT85" s="109"/>
      <c r="GU85" s="109"/>
      <c r="GV85" s="109"/>
      <c r="GW85" s="109"/>
      <c r="GX85" s="109"/>
      <c r="GY85" s="109"/>
      <c r="GZ85" s="109"/>
      <c r="HA85" s="109"/>
      <c r="HB85" s="109"/>
      <c r="HC85" s="109"/>
      <c r="HD85" s="109"/>
      <c r="HE85" s="109"/>
      <c r="HF85" s="109"/>
      <c r="HG85" s="109"/>
      <c r="HH85" s="109"/>
      <c r="HI85" s="109"/>
      <c r="HJ85" s="109"/>
      <c r="HK85" s="109"/>
      <c r="HL85" s="109"/>
      <c r="HM85" s="109"/>
      <c r="HN85" s="109"/>
      <c r="HO85" s="109"/>
      <c r="HP85" s="109"/>
      <c r="HQ85" s="109"/>
      <c r="HR85" s="109"/>
      <c r="HS85" s="109"/>
      <c r="HT85" s="109"/>
      <c r="HU85" s="109"/>
      <c r="HV85" s="109"/>
      <c r="HW85" s="109"/>
      <c r="HX85" s="109"/>
      <c r="HY85" s="109"/>
      <c r="HZ85" s="109"/>
      <c r="IA85" s="109"/>
      <c r="IB85" s="109"/>
      <c r="IC85" s="109"/>
      <c r="ID85" s="109"/>
      <c r="IE85" s="109"/>
      <c r="IF85" s="109"/>
      <c r="IG85" s="109"/>
      <c r="IH85" s="109"/>
      <c r="II85" s="109"/>
      <c r="IJ85" s="109"/>
      <c r="IK85" s="109"/>
      <c r="IL85" s="109"/>
      <c r="IM85" s="109"/>
      <c r="IN85" s="109"/>
      <c r="IO85" s="109"/>
      <c r="IP85" s="109"/>
      <c r="IQ85" s="109"/>
      <c r="IR85" s="109"/>
      <c r="IS85" s="109"/>
      <c r="IT85" s="109"/>
      <c r="IU85" s="109"/>
      <c r="IV85" s="109"/>
      <c r="IW85" s="109"/>
    </row>
    <row r="86" customFormat="false" ht="12.75" hidden="false" customHeight="false" outlineLevel="0" collapsed="false">
      <c r="A86" s="15" t="s">
        <v>143</v>
      </c>
      <c r="B86" s="16" t="s">
        <v>199</v>
      </c>
      <c r="C86" s="16" t="s">
        <v>143</v>
      </c>
      <c r="D86" s="17" t="n">
        <v>36892</v>
      </c>
      <c r="E86" s="17" t="n">
        <v>36981</v>
      </c>
      <c r="F86" s="15"/>
      <c r="G86" s="15"/>
      <c r="H86" s="16" t="s">
        <v>37</v>
      </c>
      <c r="I86" s="18" t="n">
        <f aca="false">4.28/I$1</f>
        <v>0.152857142857143</v>
      </c>
      <c r="J86" s="19"/>
      <c r="K86" s="66"/>
      <c r="L86" s="19"/>
      <c r="M86" s="19"/>
      <c r="N86" s="20"/>
      <c r="O86" s="19"/>
      <c r="P86" s="21" t="n">
        <v>4862</v>
      </c>
      <c r="Q86" s="16" t="n">
        <v>40217</v>
      </c>
      <c r="R86" s="16"/>
      <c r="S86" s="22" t="n">
        <f aca="false">I86*I$1*Q86</f>
        <v>172128.76</v>
      </c>
      <c r="T86" s="23" t="n">
        <v>549296</v>
      </c>
      <c r="U86" s="24"/>
      <c r="V86" s="24"/>
    </row>
    <row r="87" customFormat="false" ht="12.75" hidden="false" customHeight="false" outlineLevel="0" collapsed="false">
      <c r="A87" s="15" t="s">
        <v>143</v>
      </c>
      <c r="B87" s="16" t="s">
        <v>199</v>
      </c>
      <c r="C87" s="16" t="s">
        <v>122</v>
      </c>
      <c r="D87" s="17"/>
      <c r="E87" s="17"/>
      <c r="F87" s="15"/>
      <c r="G87" s="15"/>
      <c r="H87" s="16"/>
      <c r="I87" s="18" t="n">
        <f aca="false">4.28/I$1</f>
        <v>0.152857142857143</v>
      </c>
      <c r="J87" s="19"/>
      <c r="K87" s="66"/>
      <c r="L87" s="19"/>
      <c r="M87" s="19"/>
      <c r="N87" s="20"/>
      <c r="O87" s="19"/>
      <c r="P87" s="21" t="n">
        <v>712131</v>
      </c>
      <c r="Q87" s="16" t="n">
        <v>3850</v>
      </c>
      <c r="R87" s="16"/>
      <c r="S87" s="22" t="n">
        <f aca="false">I87*I$1*Q87</f>
        <v>16478</v>
      </c>
      <c r="T87" s="23" t="n">
        <v>234462</v>
      </c>
      <c r="U87" s="24"/>
      <c r="V87" s="24"/>
    </row>
    <row r="88" customFormat="false" ht="12.75" hidden="false" customHeight="false" outlineLevel="0" collapsed="false">
      <c r="A88" s="15"/>
      <c r="B88" s="16"/>
      <c r="C88" s="16"/>
      <c r="D88" s="17"/>
      <c r="E88" s="17"/>
      <c r="F88" s="15"/>
      <c r="G88" s="15"/>
      <c r="H88" s="16"/>
      <c r="I88" s="18"/>
      <c r="J88" s="19"/>
      <c r="K88" s="66"/>
      <c r="L88" s="19"/>
      <c r="M88" s="19"/>
      <c r="N88" s="20"/>
      <c r="O88" s="19"/>
      <c r="P88" s="21"/>
      <c r="Q88" s="32"/>
      <c r="R88" s="16"/>
      <c r="S88" s="111"/>
      <c r="T88" s="23"/>
      <c r="U88" s="24"/>
      <c r="V88" s="24"/>
    </row>
    <row r="89" customFormat="false" ht="12.75" hidden="false" customHeight="false" outlineLevel="0" collapsed="false">
      <c r="A89" s="72"/>
      <c r="B89" s="67"/>
      <c r="C89" s="67"/>
      <c r="D89" s="73"/>
      <c r="E89" s="73"/>
      <c r="F89" s="72"/>
      <c r="G89" s="72"/>
      <c r="H89" s="67"/>
      <c r="I89" s="75"/>
      <c r="J89" s="66"/>
      <c r="K89" s="66"/>
      <c r="L89" s="66"/>
      <c r="M89" s="66"/>
      <c r="N89" s="76"/>
      <c r="O89" s="66"/>
      <c r="P89" s="126"/>
      <c r="Q89" s="67" t="n">
        <f aca="false">SUM(Q86:Q88)</f>
        <v>44067</v>
      </c>
      <c r="R89" s="72" t="s">
        <v>177</v>
      </c>
      <c r="S89" s="33" t="n">
        <f aca="false">SUM(S86:S88)</f>
        <v>188606.76</v>
      </c>
      <c r="T89" s="34"/>
      <c r="U89" s="35"/>
      <c r="V89" s="35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  <c r="GG89" s="127"/>
      <c r="GH89" s="127"/>
      <c r="GI89" s="127"/>
      <c r="GJ89" s="127"/>
      <c r="GK89" s="127"/>
      <c r="GL89" s="127"/>
      <c r="GM89" s="127"/>
      <c r="GN89" s="127"/>
      <c r="GO89" s="127"/>
      <c r="GP89" s="127"/>
      <c r="GQ89" s="127"/>
      <c r="GR89" s="127"/>
      <c r="GS89" s="127"/>
      <c r="GT89" s="127"/>
      <c r="GU89" s="127"/>
      <c r="GV89" s="127"/>
      <c r="GW89" s="127"/>
      <c r="GX89" s="127"/>
      <c r="GY89" s="127"/>
      <c r="GZ89" s="127"/>
      <c r="HA89" s="127"/>
      <c r="HB89" s="127"/>
      <c r="HC89" s="127"/>
      <c r="HD89" s="127"/>
      <c r="HE89" s="127"/>
      <c r="HF89" s="127"/>
      <c r="HG89" s="127"/>
      <c r="HH89" s="127"/>
      <c r="HI89" s="127"/>
      <c r="HJ89" s="127"/>
      <c r="HK89" s="127"/>
      <c r="HL89" s="127"/>
      <c r="HM89" s="127"/>
      <c r="HN89" s="127"/>
      <c r="HO89" s="127"/>
      <c r="HP89" s="127"/>
      <c r="HQ89" s="127"/>
      <c r="HR89" s="127"/>
      <c r="HS89" s="127"/>
      <c r="HT89" s="127"/>
      <c r="HU89" s="127"/>
      <c r="HV89" s="127"/>
      <c r="HW89" s="127"/>
      <c r="HX89" s="127"/>
      <c r="HY89" s="127"/>
      <c r="HZ89" s="127"/>
      <c r="IA89" s="127"/>
      <c r="IB89" s="127"/>
      <c r="IC89" s="127"/>
      <c r="ID89" s="127"/>
      <c r="IE89" s="127"/>
      <c r="IF89" s="127"/>
      <c r="IG89" s="127"/>
      <c r="IH89" s="127"/>
      <c r="II89" s="127"/>
      <c r="IJ89" s="127"/>
      <c r="IK89" s="127"/>
      <c r="IL89" s="127"/>
      <c r="IM89" s="127"/>
      <c r="IN89" s="127"/>
      <c r="IO89" s="127"/>
      <c r="IP89" s="127"/>
      <c r="IQ89" s="127"/>
      <c r="IR89" s="127"/>
      <c r="IS89" s="127"/>
      <c r="IT89" s="127"/>
      <c r="IU89" s="127"/>
      <c r="IV89" s="127"/>
      <c r="IW89" s="127"/>
    </row>
    <row r="90" customFormat="false" ht="12.75" hidden="false" customHeight="false" outlineLevel="0" collapsed="false">
      <c r="A90" s="15"/>
      <c r="B90" s="16"/>
      <c r="C90" s="16"/>
      <c r="D90" s="17"/>
      <c r="E90" s="17"/>
      <c r="F90" s="15"/>
      <c r="G90" s="15"/>
      <c r="H90" s="16"/>
      <c r="I90" s="18"/>
      <c r="J90" s="19"/>
      <c r="K90" s="19"/>
      <c r="L90" s="19"/>
      <c r="M90" s="19"/>
      <c r="N90" s="20"/>
      <c r="O90" s="19"/>
      <c r="P90" s="21"/>
      <c r="Q90" s="69"/>
      <c r="R90" s="72" t="s">
        <v>178</v>
      </c>
      <c r="S90" s="33" t="n">
        <v>0</v>
      </c>
      <c r="T90" s="23"/>
      <c r="U90" s="24"/>
      <c r="V90" s="24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3.5" hidden="false" customHeight="false" outlineLevel="0" collapsed="false">
      <c r="A91" s="15"/>
      <c r="B91" s="16"/>
      <c r="C91" s="16"/>
      <c r="D91" s="17"/>
      <c r="E91" s="17"/>
      <c r="F91" s="15"/>
      <c r="G91" s="15"/>
      <c r="H91" s="16"/>
      <c r="I91" s="18"/>
      <c r="J91" s="19"/>
      <c r="K91" s="19"/>
      <c r="L91" s="19"/>
      <c r="M91" s="19"/>
      <c r="N91" s="20"/>
      <c r="O91" s="19"/>
      <c r="P91" s="21"/>
      <c r="Q91" s="69"/>
      <c r="R91" s="72" t="s">
        <v>179</v>
      </c>
      <c r="S91" s="128" t="n">
        <f aca="false">+S89-S90</f>
        <v>188606.76</v>
      </c>
      <c r="T91" s="23"/>
      <c r="U91" s="24"/>
      <c r="V91" s="24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3.5" hidden="false" customHeight="false" outlineLevel="0" collapsed="false">
      <c r="A92" s="15"/>
      <c r="B92" s="16"/>
      <c r="C92" s="16"/>
      <c r="D92" s="17"/>
      <c r="E92" s="17"/>
      <c r="F92" s="15"/>
      <c r="G92" s="15"/>
      <c r="H92" s="16"/>
      <c r="I92" s="18"/>
      <c r="J92" s="19"/>
      <c r="K92" s="19"/>
      <c r="L92" s="19"/>
      <c r="M92" s="19"/>
      <c r="N92" s="20"/>
      <c r="O92" s="19"/>
      <c r="P92" s="21"/>
      <c r="Q92" s="16"/>
      <c r="R92" s="15"/>
      <c r="S92" s="22"/>
      <c r="T92" s="23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2.75" hidden="false" customHeight="false" outlineLevel="0" collapsed="false">
      <c r="A93" s="103" t="s">
        <v>101</v>
      </c>
      <c r="B93" s="104" t="s">
        <v>102</v>
      </c>
      <c r="C93" s="104" t="s">
        <v>103</v>
      </c>
      <c r="D93" s="105" t="s">
        <v>104</v>
      </c>
      <c r="E93" s="105"/>
      <c r="F93" s="103" t="s">
        <v>105</v>
      </c>
      <c r="G93" s="103" t="s">
        <v>106</v>
      </c>
      <c r="H93" s="104" t="s">
        <v>107</v>
      </c>
      <c r="I93" s="106" t="s">
        <v>108</v>
      </c>
      <c r="J93" s="104" t="s">
        <v>109</v>
      </c>
      <c r="K93" s="104" t="s">
        <v>110</v>
      </c>
      <c r="L93" s="104" t="s">
        <v>111</v>
      </c>
      <c r="M93" s="104" t="s">
        <v>112</v>
      </c>
      <c r="N93" s="107" t="s">
        <v>113</v>
      </c>
      <c r="O93" s="104" t="s">
        <v>114</v>
      </c>
      <c r="P93" s="108" t="s">
        <v>115</v>
      </c>
      <c r="Q93" s="104" t="s">
        <v>116</v>
      </c>
      <c r="R93" s="103" t="s">
        <v>117</v>
      </c>
      <c r="S93" s="84" t="s">
        <v>184</v>
      </c>
      <c r="T93" s="86"/>
      <c r="U93" s="86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  <c r="CN93" s="109"/>
      <c r="CO93" s="109"/>
      <c r="CP93" s="109"/>
      <c r="CQ93" s="109"/>
      <c r="CR93" s="109"/>
      <c r="CS93" s="109"/>
      <c r="CT93" s="109"/>
      <c r="CU93" s="109"/>
      <c r="CV93" s="109"/>
      <c r="CW93" s="109"/>
      <c r="CX93" s="109"/>
      <c r="CY93" s="109"/>
      <c r="CZ93" s="109"/>
      <c r="DA93" s="109"/>
      <c r="DB93" s="109"/>
      <c r="DC93" s="109"/>
      <c r="DD93" s="109"/>
      <c r="DE93" s="109"/>
      <c r="DF93" s="109"/>
      <c r="DG93" s="109"/>
      <c r="DH93" s="109"/>
      <c r="DI93" s="109"/>
      <c r="DJ93" s="109"/>
      <c r="DK93" s="109"/>
      <c r="DL93" s="109"/>
      <c r="DM93" s="109"/>
      <c r="DN93" s="109"/>
      <c r="DO93" s="109"/>
      <c r="DP93" s="109"/>
      <c r="DQ93" s="109"/>
      <c r="DR93" s="109"/>
      <c r="DS93" s="109"/>
      <c r="DT93" s="109"/>
      <c r="DU93" s="109"/>
      <c r="DV93" s="109"/>
      <c r="DW93" s="109"/>
      <c r="DX93" s="109"/>
      <c r="DY93" s="109"/>
      <c r="DZ93" s="109"/>
      <c r="EA93" s="109"/>
      <c r="EB93" s="109"/>
      <c r="EC93" s="109"/>
      <c r="ED93" s="109"/>
      <c r="EE93" s="109"/>
      <c r="EF93" s="109"/>
      <c r="EG93" s="109"/>
      <c r="EH93" s="109"/>
      <c r="EI93" s="109"/>
      <c r="EJ93" s="109"/>
      <c r="EK93" s="109"/>
      <c r="EL93" s="109"/>
      <c r="EM93" s="109"/>
      <c r="EN93" s="109"/>
      <c r="EO93" s="109"/>
      <c r="EP93" s="109"/>
      <c r="EQ93" s="109"/>
      <c r="ER93" s="109"/>
      <c r="ES93" s="109"/>
      <c r="ET93" s="109"/>
      <c r="EU93" s="109"/>
      <c r="EV93" s="109"/>
      <c r="EW93" s="109"/>
      <c r="EX93" s="109"/>
      <c r="EY93" s="109"/>
      <c r="EZ93" s="109"/>
      <c r="FA93" s="109"/>
      <c r="FB93" s="109"/>
      <c r="FC93" s="109"/>
      <c r="FD93" s="109"/>
      <c r="FE93" s="109"/>
      <c r="FF93" s="109"/>
      <c r="FG93" s="109"/>
      <c r="FH93" s="109"/>
      <c r="FI93" s="109"/>
      <c r="FJ93" s="109"/>
      <c r="FK93" s="109"/>
      <c r="FL93" s="109"/>
      <c r="FM93" s="109"/>
      <c r="FN93" s="109"/>
      <c r="FO93" s="109"/>
      <c r="FP93" s="109"/>
      <c r="FQ93" s="109"/>
      <c r="FR93" s="109"/>
      <c r="FS93" s="109"/>
      <c r="FT93" s="109"/>
      <c r="FU93" s="109"/>
      <c r="FV93" s="109"/>
      <c r="FW93" s="109"/>
      <c r="FX93" s="109"/>
      <c r="FY93" s="109"/>
      <c r="FZ93" s="109"/>
      <c r="GA93" s="109"/>
      <c r="GB93" s="109"/>
      <c r="GC93" s="109"/>
      <c r="GD93" s="109"/>
      <c r="GE93" s="109"/>
      <c r="GF93" s="109"/>
      <c r="GG93" s="109"/>
      <c r="GH93" s="109"/>
      <c r="GI93" s="109"/>
      <c r="GJ93" s="109"/>
      <c r="GK93" s="109"/>
      <c r="GL93" s="109"/>
      <c r="GM93" s="109"/>
      <c r="GN93" s="109"/>
      <c r="GO93" s="109"/>
      <c r="GP93" s="109"/>
      <c r="GQ93" s="109"/>
      <c r="GR93" s="109"/>
      <c r="GS93" s="109"/>
      <c r="GT93" s="109"/>
      <c r="GU93" s="109"/>
      <c r="GV93" s="109"/>
      <c r="GW93" s="109"/>
      <c r="GX93" s="109"/>
      <c r="GY93" s="109"/>
      <c r="GZ93" s="109"/>
      <c r="HA93" s="109"/>
      <c r="HB93" s="109"/>
      <c r="HC93" s="109"/>
      <c r="HD93" s="109"/>
      <c r="HE93" s="109"/>
      <c r="HF93" s="109"/>
      <c r="HG93" s="109"/>
      <c r="HH93" s="109"/>
      <c r="HI93" s="109"/>
      <c r="HJ93" s="109"/>
      <c r="HK93" s="109"/>
      <c r="HL93" s="109"/>
      <c r="HM93" s="109"/>
      <c r="HN93" s="109"/>
      <c r="HO93" s="109"/>
      <c r="HP93" s="109"/>
      <c r="HQ93" s="109"/>
      <c r="HR93" s="109"/>
      <c r="HS93" s="109"/>
      <c r="HT93" s="109"/>
      <c r="HU93" s="109"/>
      <c r="HV93" s="109"/>
      <c r="HW93" s="109"/>
      <c r="HX93" s="109"/>
      <c r="HY93" s="109"/>
      <c r="HZ93" s="109"/>
      <c r="IA93" s="109"/>
      <c r="IB93" s="109"/>
      <c r="IC93" s="109"/>
      <c r="ID93" s="109"/>
      <c r="IE93" s="109"/>
      <c r="IF93" s="109"/>
      <c r="IG93" s="109"/>
      <c r="IH93" s="109"/>
      <c r="II93" s="109"/>
      <c r="IJ93" s="109"/>
      <c r="IK93" s="109"/>
      <c r="IL93" s="109"/>
      <c r="IM93" s="109"/>
      <c r="IN93" s="109"/>
      <c r="IO93" s="109"/>
      <c r="IP93" s="109"/>
      <c r="IQ93" s="109"/>
      <c r="IR93" s="109"/>
      <c r="IS93" s="109"/>
      <c r="IT93" s="109"/>
      <c r="IU93" s="109"/>
      <c r="IV93" s="109"/>
      <c r="IW93" s="109"/>
    </row>
    <row r="94" customFormat="false" ht="12.75" hidden="false" customHeight="false" outlineLevel="0" collapsed="false">
      <c r="A94" s="15" t="s">
        <v>185</v>
      </c>
      <c r="B94" s="16" t="s">
        <v>200</v>
      </c>
      <c r="C94" s="16" t="s">
        <v>201</v>
      </c>
      <c r="D94" s="17" t="n">
        <v>36526</v>
      </c>
      <c r="E94" s="17" t="n">
        <v>37560</v>
      </c>
      <c r="F94" s="15" t="s">
        <v>202</v>
      </c>
      <c r="G94" s="15" t="s">
        <v>202</v>
      </c>
      <c r="H94" s="16" t="s">
        <v>146</v>
      </c>
      <c r="I94" s="18" t="n">
        <f aca="false">5.2701/I$1</f>
        <v>0.188217857142857</v>
      </c>
      <c r="J94" s="19" t="n">
        <v>0</v>
      </c>
      <c r="K94" s="19" t="n">
        <v>0</v>
      </c>
      <c r="L94" s="19" t="n">
        <v>0</v>
      </c>
      <c r="M94" s="19" t="n">
        <v>0</v>
      </c>
      <c r="N94" s="110" t="n">
        <v>0.0369</v>
      </c>
      <c r="O94" s="19" t="n">
        <v>0</v>
      </c>
      <c r="P94" s="21" t="n">
        <v>1440</v>
      </c>
      <c r="Q94" s="16" t="n">
        <v>4803</v>
      </c>
      <c r="R94" s="22" t="s">
        <v>1</v>
      </c>
      <c r="S94" s="22" t="n">
        <f aca="false">+I94*Q94*I1</f>
        <v>25312.2903</v>
      </c>
      <c r="T94" s="24" t="n">
        <v>251724</v>
      </c>
      <c r="U94" s="24"/>
      <c r="V94" s="1" t="s">
        <v>203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false" customHeight="false" outlineLevel="0" collapsed="false">
      <c r="A95" s="15" t="s">
        <v>185</v>
      </c>
      <c r="B95" s="16" t="s">
        <v>200</v>
      </c>
      <c r="C95" s="16" t="s">
        <v>201</v>
      </c>
      <c r="D95" s="17" t="n">
        <v>36526</v>
      </c>
      <c r="E95" s="17" t="n">
        <v>37560</v>
      </c>
      <c r="F95" s="15" t="s">
        <v>202</v>
      </c>
      <c r="G95" s="15" t="s">
        <v>202</v>
      </c>
      <c r="H95" s="16" t="s">
        <v>146</v>
      </c>
      <c r="I95" s="18" t="n">
        <f aca="false">5.45/I$1</f>
        <v>0.194642857142857</v>
      </c>
      <c r="J95" s="19" t="n">
        <v>0</v>
      </c>
      <c r="K95" s="19" t="n">
        <v>0</v>
      </c>
      <c r="L95" s="19" t="n">
        <v>0</v>
      </c>
      <c r="M95" s="19" t="n">
        <v>0</v>
      </c>
      <c r="N95" s="110" t="n">
        <v>0.0369</v>
      </c>
      <c r="O95" s="19" t="n">
        <v>0</v>
      </c>
      <c r="P95" s="21" t="n">
        <v>1548</v>
      </c>
      <c r="Q95" s="16" t="n">
        <v>3841</v>
      </c>
      <c r="R95" s="22" t="s">
        <v>1</v>
      </c>
      <c r="S95" s="22" t="n">
        <f aca="false">+I95*Q95*I1</f>
        <v>20933.45</v>
      </c>
      <c r="T95" s="24" t="n">
        <v>251745</v>
      </c>
      <c r="U95" s="24"/>
      <c r="V95" s="1" t="s">
        <v>203</v>
      </c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false" customHeight="false" outlineLevel="0" collapsed="false">
      <c r="A96" s="15" t="s">
        <v>185</v>
      </c>
      <c r="B96" s="16" t="s">
        <v>200</v>
      </c>
      <c r="C96" s="16" t="s">
        <v>201</v>
      </c>
      <c r="D96" s="17" t="n">
        <v>36039</v>
      </c>
      <c r="E96" s="17" t="n">
        <v>37560</v>
      </c>
      <c r="F96" s="15" t="s">
        <v>204</v>
      </c>
      <c r="G96" s="15"/>
      <c r="H96" s="16" t="s">
        <v>146</v>
      </c>
      <c r="I96" s="18" t="n">
        <v>0.0185</v>
      </c>
      <c r="J96" s="19" t="n">
        <v>0</v>
      </c>
      <c r="K96" s="19" t="n">
        <v>0</v>
      </c>
      <c r="L96" s="19" t="n">
        <v>0</v>
      </c>
      <c r="M96" s="19" t="n">
        <v>0</v>
      </c>
      <c r="N96" s="110" t="n">
        <v>0.0369</v>
      </c>
      <c r="O96" s="19" t="n">
        <v>0</v>
      </c>
      <c r="P96" s="21" t="n">
        <v>2210</v>
      </c>
      <c r="Q96" s="16" t="n">
        <v>709765</v>
      </c>
      <c r="R96" s="22" t="s">
        <v>205</v>
      </c>
      <c r="S96" s="22" t="n">
        <f aca="false">+Q96*I96</f>
        <v>13130.6525</v>
      </c>
      <c r="T96" s="24" t="n">
        <v>251751</v>
      </c>
      <c r="U96" s="24" t="n">
        <v>96005270</v>
      </c>
      <c r="V96" s="1" t="s">
        <v>203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false" customHeight="false" outlineLevel="0" collapsed="false">
      <c r="A97" s="15" t="s">
        <v>185</v>
      </c>
      <c r="B97" s="16" t="s">
        <v>200</v>
      </c>
      <c r="C97" s="16" t="s">
        <v>201</v>
      </c>
      <c r="D97" s="17" t="n">
        <v>36039</v>
      </c>
      <c r="E97" s="17" t="n">
        <v>37560</v>
      </c>
      <c r="F97" s="15" t="s">
        <v>204</v>
      </c>
      <c r="G97" s="15"/>
      <c r="H97" s="16" t="s">
        <v>146</v>
      </c>
      <c r="I97" s="18" t="n">
        <f aca="false">1.15/I$1</f>
        <v>0.0410714285714286</v>
      </c>
      <c r="J97" s="19" t="n">
        <v>0</v>
      </c>
      <c r="K97" s="19" t="n">
        <v>0</v>
      </c>
      <c r="L97" s="19" t="n">
        <v>0</v>
      </c>
      <c r="M97" s="19" t="n">
        <v>0</v>
      </c>
      <c r="N97" s="110" t="n">
        <v>0.0369</v>
      </c>
      <c r="O97" s="19" t="n">
        <v>0</v>
      </c>
      <c r="P97" s="21" t="n">
        <v>2210</v>
      </c>
      <c r="Q97" s="16" t="n">
        <v>14388</v>
      </c>
      <c r="R97" s="22" t="s">
        <v>205</v>
      </c>
      <c r="S97" s="22" t="n">
        <f aca="false">+I97*Q97*I1</f>
        <v>16546.2</v>
      </c>
      <c r="T97" s="24" t="n">
        <v>251751</v>
      </c>
      <c r="U97" s="24" t="n">
        <v>96005270</v>
      </c>
      <c r="V97" s="1" t="s">
        <v>203</v>
      </c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false" customHeight="false" outlineLevel="0" collapsed="false">
      <c r="A98" s="15" t="s">
        <v>185</v>
      </c>
      <c r="B98" s="16" t="s">
        <v>200</v>
      </c>
      <c r="C98" s="16" t="s">
        <v>206</v>
      </c>
      <c r="D98" s="17" t="n">
        <v>36039</v>
      </c>
      <c r="E98" s="17" t="n">
        <v>37560</v>
      </c>
      <c r="F98" s="15" t="s">
        <v>204</v>
      </c>
      <c r="G98" s="15"/>
      <c r="H98" s="16" t="s">
        <v>146</v>
      </c>
      <c r="I98" s="18" t="n">
        <v>0.0185</v>
      </c>
      <c r="J98" s="19" t="n">
        <v>0</v>
      </c>
      <c r="K98" s="19" t="n">
        <v>0</v>
      </c>
      <c r="L98" s="19" t="n">
        <v>0</v>
      </c>
      <c r="M98" s="19" t="n">
        <v>0</v>
      </c>
      <c r="N98" s="110" t="n">
        <v>0.0369</v>
      </c>
      <c r="O98" s="19" t="n">
        <v>0</v>
      </c>
      <c r="P98" s="21" t="n">
        <v>2076</v>
      </c>
      <c r="Q98" s="16" t="n">
        <v>11827</v>
      </c>
      <c r="R98" s="22" t="s">
        <v>207</v>
      </c>
      <c r="S98" s="22" t="n">
        <f aca="false">+I98*Q98</f>
        <v>218.7995</v>
      </c>
      <c r="T98" s="24" t="n">
        <v>251691</v>
      </c>
      <c r="U98" s="24" t="n">
        <v>96006727</v>
      </c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2.75" hidden="false" customHeight="false" outlineLevel="0" collapsed="false">
      <c r="A99" s="15" t="s">
        <v>185</v>
      </c>
      <c r="B99" s="16" t="s">
        <v>200</v>
      </c>
      <c r="C99" s="16" t="s">
        <v>206</v>
      </c>
      <c r="D99" s="17" t="n">
        <v>36039</v>
      </c>
      <c r="E99" s="17" t="n">
        <v>37560</v>
      </c>
      <c r="F99" s="15" t="s">
        <v>204</v>
      </c>
      <c r="G99" s="15"/>
      <c r="H99" s="16"/>
      <c r="I99" s="18" t="n">
        <f aca="false">1.15/I$1</f>
        <v>0.0410714285714286</v>
      </c>
      <c r="J99" s="19"/>
      <c r="K99" s="19"/>
      <c r="L99" s="19"/>
      <c r="M99" s="19"/>
      <c r="N99" s="110"/>
      <c r="O99" s="19"/>
      <c r="P99" s="21" t="n">
        <v>2076</v>
      </c>
      <c r="Q99" s="16" t="n">
        <v>209</v>
      </c>
      <c r="R99" s="22" t="s">
        <v>207</v>
      </c>
      <c r="S99" s="22" t="n">
        <f aca="false">+I99*Q99*I1</f>
        <v>240.35</v>
      </c>
      <c r="T99" s="24" t="n">
        <v>251691</v>
      </c>
      <c r="U99" s="24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false" customHeight="false" outlineLevel="0" collapsed="false">
      <c r="A100" s="15" t="s">
        <v>185</v>
      </c>
      <c r="B100" s="16" t="s">
        <v>200</v>
      </c>
      <c r="C100" s="16" t="s">
        <v>206</v>
      </c>
      <c r="D100" s="17" t="n">
        <v>36039</v>
      </c>
      <c r="E100" s="17" t="n">
        <v>37560</v>
      </c>
      <c r="F100" s="15" t="s">
        <v>202</v>
      </c>
      <c r="G100" s="15" t="s">
        <v>202</v>
      </c>
      <c r="H100" s="16" t="s">
        <v>146</v>
      </c>
      <c r="I100" s="18" t="n">
        <f aca="false">5.61/I$1</f>
        <v>0.200357142857143</v>
      </c>
      <c r="J100" s="19" t="n">
        <v>0</v>
      </c>
      <c r="K100" s="19" t="n">
        <v>0</v>
      </c>
      <c r="L100" s="19" t="n">
        <v>0</v>
      </c>
      <c r="M100" s="19" t="n">
        <v>0</v>
      </c>
      <c r="N100" s="110" t="n">
        <v>0.0369</v>
      </c>
      <c r="O100" s="19" t="n">
        <v>0</v>
      </c>
      <c r="P100" s="21" t="n">
        <v>1339</v>
      </c>
      <c r="Q100" s="16" t="n">
        <v>90</v>
      </c>
      <c r="R100" s="22" t="s">
        <v>208</v>
      </c>
      <c r="S100" s="22" t="n">
        <f aca="false">+I100*Q100*I1</f>
        <v>504.9</v>
      </c>
      <c r="T100" s="24" t="n">
        <v>251714</v>
      </c>
      <c r="U100" s="24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2" hidden="false" customHeight="true" outlineLevel="0" collapsed="false">
      <c r="A101" s="15" t="s">
        <v>209</v>
      </c>
      <c r="B101" s="16" t="s">
        <v>210</v>
      </c>
      <c r="C101" s="16" t="s">
        <v>210</v>
      </c>
      <c r="D101" s="17" t="n">
        <v>36465</v>
      </c>
      <c r="E101" s="17" t="n">
        <v>36951</v>
      </c>
      <c r="F101" s="15" t="s">
        <v>211</v>
      </c>
      <c r="G101" s="15" t="s">
        <v>156</v>
      </c>
      <c r="H101" s="16" t="s">
        <v>146</v>
      </c>
      <c r="I101" s="18" t="n">
        <f aca="false">2.26/I$1</f>
        <v>0.0807142857142857</v>
      </c>
      <c r="J101" s="19" t="n">
        <v>0.0009</v>
      </c>
      <c r="K101" s="19" t="n">
        <v>0.0022</v>
      </c>
      <c r="L101" s="19" t="n">
        <v>0.0075</v>
      </c>
      <c r="M101" s="19" t="n">
        <v>0</v>
      </c>
      <c r="N101" s="110" t="n">
        <v>0.005</v>
      </c>
      <c r="O101" s="19" t="n">
        <f aca="false">SUM(I101:M101)</f>
        <v>0.0913142857142857</v>
      </c>
      <c r="P101" s="21" t="n">
        <v>31468</v>
      </c>
      <c r="Q101" s="16" t="n">
        <v>1600</v>
      </c>
      <c r="R101" s="129" t="s">
        <v>1</v>
      </c>
      <c r="S101" s="22" t="n">
        <f aca="false">I101*$I$1*Q101</f>
        <v>3616</v>
      </c>
      <c r="T101" s="24" t="n">
        <v>125103</v>
      </c>
      <c r="U101" s="24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" hidden="false" customHeight="true" outlineLevel="0" collapsed="false">
      <c r="A102" s="15" t="s">
        <v>209</v>
      </c>
      <c r="B102" s="16" t="s">
        <v>200</v>
      </c>
      <c r="C102" s="16" t="s">
        <v>212</v>
      </c>
      <c r="D102" s="17" t="n">
        <v>36923</v>
      </c>
      <c r="E102" s="17" t="n">
        <v>36981</v>
      </c>
      <c r="F102" s="15" t="s">
        <v>213</v>
      </c>
      <c r="G102" s="15" t="s">
        <v>214</v>
      </c>
      <c r="H102" s="16" t="s">
        <v>146</v>
      </c>
      <c r="I102" s="18" t="n">
        <v>0.1587</v>
      </c>
      <c r="J102" s="19"/>
      <c r="K102" s="19"/>
      <c r="L102" s="19"/>
      <c r="M102" s="19"/>
      <c r="N102" s="110"/>
      <c r="O102" s="19"/>
      <c r="P102" s="21" t="n">
        <v>36035</v>
      </c>
      <c r="Q102" s="16" t="n">
        <v>144000</v>
      </c>
      <c r="R102" s="129"/>
      <c r="S102" s="22" t="n">
        <f aca="false">I102*Q102*I1</f>
        <v>639878.4</v>
      </c>
      <c r="T102" s="24" t="n">
        <v>579088</v>
      </c>
      <c r="U102" s="24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" hidden="false" customHeight="true" outlineLevel="0" collapsed="false">
      <c r="A103" s="15"/>
      <c r="B103" s="16"/>
      <c r="C103" s="16"/>
      <c r="D103" s="17"/>
      <c r="E103" s="17"/>
      <c r="F103" s="15"/>
      <c r="G103" s="15"/>
      <c r="H103" s="16"/>
      <c r="I103" s="18"/>
      <c r="J103" s="19"/>
      <c r="K103" s="19"/>
      <c r="L103" s="19"/>
      <c r="M103" s="19"/>
      <c r="N103" s="110"/>
      <c r="O103" s="19"/>
      <c r="P103" s="21"/>
      <c r="Q103" s="16"/>
      <c r="R103" s="129"/>
      <c r="S103" s="22"/>
      <c r="T103" s="24"/>
      <c r="U103" s="24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2" hidden="false" customHeight="true" outlineLevel="0" collapsed="false">
      <c r="A104" s="15"/>
      <c r="B104" s="16"/>
      <c r="C104" s="16"/>
      <c r="D104" s="17"/>
      <c r="E104" s="17"/>
      <c r="F104" s="15"/>
      <c r="G104" s="15"/>
      <c r="H104" s="16"/>
      <c r="I104" s="24"/>
      <c r="J104" s="19"/>
      <c r="K104" s="19"/>
      <c r="L104" s="19"/>
      <c r="M104" s="19"/>
      <c r="N104" s="110"/>
      <c r="O104" s="19"/>
      <c r="P104" s="21"/>
      <c r="Q104" s="16"/>
      <c r="R104" s="129"/>
      <c r="S104" s="23"/>
      <c r="T104" s="24"/>
      <c r="U104" s="24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false" customHeight="false" outlineLevel="0" collapsed="false">
      <c r="A105" s="72" t="s">
        <v>1</v>
      </c>
      <c r="B105" s="67" t="s">
        <v>1</v>
      </c>
      <c r="C105" s="67" t="s">
        <v>1</v>
      </c>
      <c r="D105" s="73" t="s">
        <v>1</v>
      </c>
      <c r="E105" s="73" t="s">
        <v>1</v>
      </c>
      <c r="F105" s="72" t="s">
        <v>1</v>
      </c>
      <c r="G105" s="72" t="s">
        <v>1</v>
      </c>
      <c r="H105" s="67" t="s">
        <v>1</v>
      </c>
      <c r="I105" s="75" t="s">
        <v>1</v>
      </c>
      <c r="J105" s="66" t="s">
        <v>1</v>
      </c>
      <c r="K105" s="66" t="s">
        <v>1</v>
      </c>
      <c r="L105" s="66" t="s">
        <v>1</v>
      </c>
      <c r="M105" s="66" t="s">
        <v>215</v>
      </c>
      <c r="N105" s="130" t="s">
        <v>1</v>
      </c>
      <c r="O105" s="66" t="s">
        <v>1</v>
      </c>
      <c r="P105" s="126" t="s">
        <v>1</v>
      </c>
      <c r="Q105" s="67" t="s">
        <v>1</v>
      </c>
      <c r="R105" s="72" t="s">
        <v>1</v>
      </c>
      <c r="S105" s="33"/>
      <c r="T105" s="35"/>
      <c r="U105" s="35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127"/>
      <c r="CG105" s="127"/>
      <c r="CH105" s="127"/>
      <c r="CI105" s="127"/>
      <c r="CJ105" s="127"/>
      <c r="CK105" s="127"/>
      <c r="CL105" s="127"/>
      <c r="CM105" s="127"/>
      <c r="CN105" s="127"/>
      <c r="CO105" s="127"/>
      <c r="CP105" s="127"/>
      <c r="CQ105" s="127"/>
      <c r="CR105" s="127"/>
      <c r="CS105" s="127"/>
      <c r="CT105" s="127"/>
      <c r="CU105" s="127"/>
      <c r="CV105" s="127"/>
      <c r="CW105" s="127"/>
      <c r="CX105" s="127"/>
      <c r="CY105" s="127"/>
      <c r="CZ105" s="127"/>
      <c r="DA105" s="127"/>
      <c r="DB105" s="127"/>
      <c r="DC105" s="127"/>
      <c r="DD105" s="127"/>
      <c r="DE105" s="127"/>
      <c r="DF105" s="127"/>
      <c r="DG105" s="127"/>
      <c r="DH105" s="127"/>
      <c r="DI105" s="127"/>
      <c r="DJ105" s="127"/>
      <c r="DK105" s="127"/>
      <c r="DL105" s="127"/>
      <c r="DM105" s="127"/>
      <c r="DN105" s="127"/>
      <c r="DO105" s="127"/>
      <c r="DP105" s="127"/>
      <c r="DQ105" s="127"/>
      <c r="DR105" s="127"/>
      <c r="DS105" s="127"/>
      <c r="DT105" s="127"/>
      <c r="DU105" s="127"/>
      <c r="DV105" s="127"/>
      <c r="DW105" s="127"/>
      <c r="DX105" s="127"/>
      <c r="DY105" s="127"/>
      <c r="DZ105" s="127"/>
      <c r="EA105" s="127"/>
      <c r="EB105" s="127"/>
      <c r="EC105" s="127"/>
      <c r="ED105" s="127"/>
      <c r="EE105" s="127"/>
      <c r="EF105" s="127"/>
      <c r="EG105" s="127"/>
      <c r="EH105" s="127"/>
      <c r="EI105" s="127"/>
      <c r="EJ105" s="127"/>
      <c r="EK105" s="127"/>
      <c r="EL105" s="127"/>
      <c r="EM105" s="127"/>
      <c r="EN105" s="127"/>
      <c r="EO105" s="127"/>
      <c r="EP105" s="127"/>
      <c r="EQ105" s="127"/>
      <c r="ER105" s="127"/>
      <c r="ES105" s="127"/>
      <c r="ET105" s="127"/>
      <c r="EU105" s="127"/>
      <c r="EV105" s="127"/>
      <c r="EW105" s="127"/>
      <c r="EX105" s="127"/>
      <c r="EY105" s="127"/>
      <c r="EZ105" s="127"/>
      <c r="FA105" s="127"/>
      <c r="FB105" s="127"/>
      <c r="FC105" s="127"/>
      <c r="FD105" s="127"/>
      <c r="FE105" s="127"/>
      <c r="FF105" s="127"/>
      <c r="FG105" s="127"/>
      <c r="FH105" s="127"/>
      <c r="FI105" s="127"/>
      <c r="FJ105" s="127"/>
      <c r="FK105" s="127"/>
      <c r="FL105" s="127"/>
      <c r="FM105" s="127"/>
      <c r="FN105" s="127"/>
      <c r="FO105" s="127"/>
      <c r="FP105" s="127"/>
      <c r="FQ105" s="127"/>
      <c r="FR105" s="127"/>
      <c r="FS105" s="127"/>
      <c r="FT105" s="127"/>
      <c r="FU105" s="127"/>
      <c r="FV105" s="127"/>
      <c r="FW105" s="127"/>
      <c r="FX105" s="127"/>
      <c r="FY105" s="127"/>
      <c r="FZ105" s="127"/>
      <c r="GA105" s="127"/>
      <c r="GB105" s="127"/>
      <c r="GC105" s="127"/>
      <c r="GD105" s="127"/>
      <c r="GE105" s="127"/>
      <c r="GF105" s="127"/>
      <c r="GG105" s="127"/>
      <c r="GH105" s="127"/>
      <c r="GI105" s="127"/>
      <c r="GJ105" s="127"/>
      <c r="GK105" s="127"/>
      <c r="GL105" s="127"/>
      <c r="GM105" s="127"/>
      <c r="GN105" s="127"/>
      <c r="GO105" s="127"/>
      <c r="GP105" s="127"/>
      <c r="GQ105" s="127"/>
      <c r="GR105" s="127"/>
      <c r="GS105" s="127"/>
      <c r="GT105" s="127"/>
      <c r="GU105" s="127"/>
      <c r="GV105" s="127"/>
      <c r="GW105" s="127"/>
      <c r="GX105" s="127"/>
      <c r="GY105" s="127"/>
      <c r="GZ105" s="127"/>
      <c r="HA105" s="127"/>
      <c r="HB105" s="127"/>
      <c r="HC105" s="127"/>
      <c r="HD105" s="127"/>
      <c r="HE105" s="127"/>
      <c r="HF105" s="127"/>
      <c r="HG105" s="127"/>
      <c r="HH105" s="127"/>
      <c r="HI105" s="127"/>
      <c r="HJ105" s="127"/>
      <c r="HK105" s="127"/>
      <c r="HL105" s="127"/>
      <c r="HM105" s="127"/>
      <c r="HN105" s="127"/>
      <c r="HO105" s="127"/>
      <c r="HP105" s="127"/>
      <c r="HQ105" s="127"/>
      <c r="HR105" s="127"/>
      <c r="HS105" s="127"/>
      <c r="HT105" s="127"/>
      <c r="HU105" s="127"/>
      <c r="HV105" s="127"/>
      <c r="HW105" s="127"/>
      <c r="HX105" s="127"/>
      <c r="HY105" s="127"/>
      <c r="HZ105" s="127"/>
      <c r="IA105" s="127"/>
      <c r="IB105" s="127"/>
      <c r="IC105" s="127"/>
      <c r="ID105" s="127"/>
      <c r="IE105" s="127"/>
      <c r="IF105" s="127"/>
      <c r="IG105" s="127"/>
      <c r="IH105" s="127"/>
      <c r="II105" s="127"/>
      <c r="IJ105" s="127"/>
      <c r="IK105" s="127"/>
      <c r="IL105" s="127"/>
      <c r="IM105" s="127"/>
      <c r="IN105" s="127"/>
      <c r="IO105" s="127"/>
      <c r="IP105" s="127"/>
      <c r="IQ105" s="127"/>
      <c r="IR105" s="127"/>
      <c r="IS105" s="127"/>
      <c r="IT105" s="127"/>
      <c r="IU105" s="127"/>
      <c r="IV105" s="127"/>
      <c r="IW105" s="127"/>
    </row>
    <row r="106" customFormat="false" ht="12.75" hidden="false" customHeight="false" outlineLevel="0" collapsed="false">
      <c r="A106" s="72"/>
      <c r="B106" s="67"/>
      <c r="C106" s="67"/>
      <c r="D106" s="73"/>
      <c r="E106" s="73"/>
      <c r="F106" s="72"/>
      <c r="G106" s="72"/>
      <c r="H106" s="67"/>
      <c r="I106" s="75"/>
      <c r="J106" s="66"/>
      <c r="K106" s="66"/>
      <c r="L106" s="66"/>
      <c r="M106" s="66"/>
      <c r="N106" s="76"/>
      <c r="O106" s="66"/>
      <c r="P106" s="126"/>
      <c r="Q106" s="67" t="n">
        <f aca="false">SUM(Q94:Q105)</f>
        <v>890523</v>
      </c>
      <c r="R106" s="72" t="s">
        <v>177</v>
      </c>
      <c r="S106" s="33" t="n">
        <f aca="false">SUM(S94:S105)</f>
        <v>720381.0423</v>
      </c>
      <c r="T106" s="34"/>
      <c r="U106" s="35"/>
      <c r="V106" s="35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  <c r="DC106" s="127"/>
      <c r="DD106" s="127"/>
      <c r="DE106" s="127"/>
      <c r="DF106" s="127"/>
      <c r="DG106" s="127"/>
      <c r="DH106" s="127"/>
      <c r="DI106" s="127"/>
      <c r="DJ106" s="127"/>
      <c r="DK106" s="127"/>
      <c r="DL106" s="12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7"/>
      <c r="EA106" s="127"/>
      <c r="EB106" s="127"/>
      <c r="EC106" s="127"/>
      <c r="ED106" s="127"/>
      <c r="EE106" s="127"/>
      <c r="EF106" s="127"/>
      <c r="EG106" s="127"/>
      <c r="EH106" s="127"/>
      <c r="EI106" s="127"/>
      <c r="EJ106" s="127"/>
      <c r="EK106" s="127"/>
      <c r="EL106" s="127"/>
      <c r="EM106" s="127"/>
      <c r="EN106" s="127"/>
      <c r="EO106" s="127"/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127"/>
      <c r="FG106" s="127"/>
      <c r="FH106" s="127"/>
      <c r="FI106" s="127"/>
      <c r="FJ106" s="127"/>
      <c r="FK106" s="127"/>
      <c r="FL106" s="127"/>
      <c r="FM106" s="127"/>
      <c r="FN106" s="127"/>
      <c r="FO106" s="127"/>
      <c r="FP106" s="127"/>
      <c r="FQ106" s="127"/>
      <c r="FR106" s="127"/>
      <c r="FS106" s="127"/>
      <c r="FT106" s="127"/>
      <c r="FU106" s="127"/>
      <c r="FV106" s="127"/>
      <c r="FW106" s="127"/>
      <c r="FX106" s="127"/>
      <c r="FY106" s="127"/>
      <c r="FZ106" s="127"/>
      <c r="GA106" s="127"/>
      <c r="GB106" s="127"/>
      <c r="GC106" s="127"/>
      <c r="GD106" s="127"/>
      <c r="GE106" s="127"/>
      <c r="GF106" s="127"/>
      <c r="GG106" s="127"/>
      <c r="GH106" s="127"/>
      <c r="GI106" s="127"/>
      <c r="GJ106" s="127"/>
      <c r="GK106" s="127"/>
      <c r="GL106" s="127"/>
      <c r="GM106" s="127"/>
      <c r="GN106" s="127"/>
      <c r="GO106" s="127"/>
      <c r="GP106" s="127"/>
      <c r="GQ106" s="127"/>
      <c r="GR106" s="127"/>
      <c r="GS106" s="127"/>
      <c r="GT106" s="127"/>
      <c r="GU106" s="127"/>
      <c r="GV106" s="127"/>
      <c r="GW106" s="127"/>
      <c r="GX106" s="127"/>
      <c r="GY106" s="127"/>
      <c r="GZ106" s="127"/>
      <c r="HA106" s="127"/>
      <c r="HB106" s="127"/>
      <c r="HC106" s="127"/>
      <c r="HD106" s="127"/>
      <c r="HE106" s="127"/>
      <c r="HF106" s="127"/>
      <c r="HG106" s="127"/>
      <c r="HH106" s="127"/>
      <c r="HI106" s="127"/>
      <c r="HJ106" s="127"/>
      <c r="HK106" s="127"/>
      <c r="HL106" s="127"/>
      <c r="HM106" s="127"/>
      <c r="HN106" s="127"/>
      <c r="HO106" s="127"/>
      <c r="HP106" s="127"/>
      <c r="HQ106" s="127"/>
      <c r="HR106" s="127"/>
      <c r="HS106" s="127"/>
      <c r="HT106" s="127"/>
      <c r="HU106" s="127"/>
      <c r="HV106" s="127"/>
      <c r="HW106" s="127"/>
      <c r="HX106" s="127"/>
      <c r="HY106" s="127"/>
      <c r="HZ106" s="127"/>
      <c r="IA106" s="127"/>
      <c r="IB106" s="127"/>
      <c r="IC106" s="127"/>
      <c r="ID106" s="127"/>
      <c r="IE106" s="127"/>
      <c r="IF106" s="127"/>
      <c r="IG106" s="127"/>
      <c r="IH106" s="127"/>
      <c r="II106" s="127"/>
      <c r="IJ106" s="127"/>
      <c r="IK106" s="127"/>
      <c r="IL106" s="127"/>
      <c r="IM106" s="127"/>
      <c r="IN106" s="127"/>
      <c r="IO106" s="127"/>
      <c r="IP106" s="127"/>
      <c r="IQ106" s="127"/>
      <c r="IR106" s="127"/>
      <c r="IS106" s="127"/>
      <c r="IT106" s="127"/>
      <c r="IU106" s="127"/>
      <c r="IV106" s="127"/>
      <c r="IW106" s="127"/>
    </row>
    <row r="107" customFormat="false" ht="12.75" hidden="false" customHeight="false" outlineLevel="0" collapsed="false">
      <c r="A107" s="15"/>
      <c r="B107" s="16"/>
      <c r="C107" s="16"/>
      <c r="D107" s="17"/>
      <c r="E107" s="17"/>
      <c r="F107" s="15"/>
      <c r="G107" s="15"/>
      <c r="H107" s="16"/>
      <c r="I107" s="18"/>
      <c r="J107" s="19"/>
      <c r="K107" s="19"/>
      <c r="L107" s="19"/>
      <c r="M107" s="19"/>
      <c r="N107" s="20"/>
      <c r="O107" s="19"/>
      <c r="P107" s="21"/>
      <c r="Q107" s="69"/>
      <c r="R107" s="72" t="s">
        <v>178</v>
      </c>
      <c r="S107" s="33" t="n">
        <f aca="false">SUM(S94:S100)</f>
        <v>76886.6423</v>
      </c>
      <c r="T107" s="23"/>
      <c r="U107" s="24"/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3.5" hidden="false" customHeight="false" outlineLevel="0" collapsed="false">
      <c r="A108" s="15"/>
      <c r="B108" s="16"/>
      <c r="C108" s="16"/>
      <c r="D108" s="17"/>
      <c r="E108" s="17"/>
      <c r="F108" s="15"/>
      <c r="G108" s="15"/>
      <c r="H108" s="16"/>
      <c r="I108" s="18"/>
      <c r="J108" s="19"/>
      <c r="K108" s="19"/>
      <c r="L108" s="19"/>
      <c r="M108" s="19"/>
      <c r="N108" s="20"/>
      <c r="O108" s="19"/>
      <c r="P108" s="21"/>
      <c r="Q108" s="69"/>
      <c r="R108" s="72" t="s">
        <v>179</v>
      </c>
      <c r="S108" s="102" t="n">
        <f aca="false">+S106-S107</f>
        <v>643494.4</v>
      </c>
      <c r="T108" s="23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3.5" hidden="false" customHeight="false" outlineLevel="0" collapsed="false">
      <c r="A109" s="15"/>
      <c r="B109" s="16"/>
      <c r="C109" s="16"/>
      <c r="D109" s="17"/>
      <c r="E109" s="17"/>
      <c r="F109" s="15"/>
      <c r="G109" s="15"/>
      <c r="H109" s="16"/>
      <c r="I109" s="18"/>
      <c r="J109" s="19"/>
      <c r="K109" s="19"/>
      <c r="L109" s="19"/>
      <c r="M109" s="19"/>
      <c r="N109" s="20"/>
      <c r="O109" s="19"/>
      <c r="P109" s="21"/>
      <c r="Q109" s="16"/>
      <c r="R109" s="15"/>
      <c r="S109" s="22"/>
      <c r="T109" s="23"/>
      <c r="U109" s="24"/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103" t="s">
        <v>101</v>
      </c>
      <c r="B110" s="104" t="s">
        <v>102</v>
      </c>
      <c r="C110" s="104" t="s">
        <v>103</v>
      </c>
      <c r="D110" s="105" t="s">
        <v>104</v>
      </c>
      <c r="E110" s="105"/>
      <c r="F110" s="103" t="s">
        <v>105</v>
      </c>
      <c r="G110" s="103" t="s">
        <v>106</v>
      </c>
      <c r="H110" s="104" t="s">
        <v>198</v>
      </c>
      <c r="I110" s="106" t="s">
        <v>108</v>
      </c>
      <c r="J110" s="104" t="s">
        <v>109</v>
      </c>
      <c r="K110" s="104" t="s">
        <v>110</v>
      </c>
      <c r="L110" s="104" t="s">
        <v>111</v>
      </c>
      <c r="M110" s="104" t="s">
        <v>112</v>
      </c>
      <c r="N110" s="124" t="s">
        <v>113</v>
      </c>
      <c r="O110" s="104" t="s">
        <v>114</v>
      </c>
      <c r="P110" s="108" t="s">
        <v>141</v>
      </c>
      <c r="Q110" s="104" t="s">
        <v>116</v>
      </c>
      <c r="R110" s="103" t="s">
        <v>117</v>
      </c>
      <c r="S110" s="84" t="s">
        <v>118</v>
      </c>
      <c r="T110" s="125" t="s">
        <v>142</v>
      </c>
      <c r="U110" s="86"/>
      <c r="V110" s="86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  <c r="BS110" s="109"/>
      <c r="BT110" s="109"/>
      <c r="BU110" s="109"/>
      <c r="BV110" s="109"/>
      <c r="BW110" s="109"/>
      <c r="BX110" s="109"/>
      <c r="BY110" s="109"/>
      <c r="BZ110" s="109"/>
      <c r="CA110" s="109"/>
      <c r="CB110" s="109"/>
      <c r="CC110" s="109"/>
      <c r="CD110" s="109"/>
      <c r="CE110" s="109"/>
      <c r="CF110" s="109"/>
      <c r="CG110" s="109"/>
      <c r="CH110" s="109"/>
      <c r="CI110" s="109"/>
      <c r="CJ110" s="109"/>
      <c r="CK110" s="109"/>
      <c r="CL110" s="109"/>
      <c r="CM110" s="109"/>
      <c r="CN110" s="109"/>
      <c r="CO110" s="109"/>
      <c r="CP110" s="109"/>
      <c r="CQ110" s="109"/>
      <c r="CR110" s="109"/>
      <c r="CS110" s="109"/>
      <c r="CT110" s="109"/>
      <c r="CU110" s="109"/>
      <c r="CV110" s="109"/>
      <c r="CW110" s="109"/>
      <c r="CX110" s="109"/>
      <c r="CY110" s="109"/>
      <c r="CZ110" s="109"/>
      <c r="DA110" s="109"/>
      <c r="DB110" s="109"/>
      <c r="DC110" s="109"/>
      <c r="DD110" s="109"/>
      <c r="DE110" s="109"/>
      <c r="DF110" s="109"/>
      <c r="DG110" s="109"/>
      <c r="DH110" s="109"/>
      <c r="DI110" s="109"/>
      <c r="DJ110" s="109"/>
      <c r="DK110" s="109"/>
      <c r="DL110" s="109"/>
      <c r="DM110" s="109"/>
      <c r="DN110" s="109"/>
      <c r="DO110" s="109"/>
      <c r="DP110" s="109"/>
      <c r="DQ110" s="109"/>
      <c r="DR110" s="109"/>
      <c r="DS110" s="109"/>
      <c r="DT110" s="109"/>
      <c r="DU110" s="109"/>
      <c r="DV110" s="109"/>
      <c r="DW110" s="109"/>
      <c r="DX110" s="109"/>
      <c r="DY110" s="109"/>
      <c r="DZ110" s="109"/>
      <c r="EA110" s="109"/>
      <c r="EB110" s="109"/>
      <c r="EC110" s="109"/>
      <c r="ED110" s="109"/>
      <c r="EE110" s="109"/>
      <c r="EF110" s="109"/>
      <c r="EG110" s="109"/>
      <c r="EH110" s="109"/>
      <c r="EI110" s="109"/>
      <c r="EJ110" s="109"/>
      <c r="EK110" s="109"/>
      <c r="EL110" s="109"/>
      <c r="EM110" s="109"/>
      <c r="EN110" s="109"/>
      <c r="EO110" s="109"/>
      <c r="EP110" s="109"/>
      <c r="EQ110" s="109"/>
      <c r="ER110" s="109"/>
      <c r="ES110" s="109"/>
      <c r="ET110" s="109"/>
      <c r="EU110" s="109"/>
      <c r="EV110" s="109"/>
      <c r="EW110" s="109"/>
      <c r="EX110" s="109"/>
      <c r="EY110" s="109"/>
      <c r="EZ110" s="109"/>
      <c r="FA110" s="109"/>
      <c r="FB110" s="109"/>
      <c r="FC110" s="109"/>
      <c r="FD110" s="109"/>
      <c r="FE110" s="109"/>
      <c r="FF110" s="109"/>
      <c r="FG110" s="109"/>
      <c r="FH110" s="109"/>
      <c r="FI110" s="109"/>
      <c r="FJ110" s="109"/>
      <c r="FK110" s="109"/>
      <c r="FL110" s="109"/>
      <c r="FM110" s="109"/>
      <c r="FN110" s="109"/>
      <c r="FO110" s="109"/>
      <c r="FP110" s="109"/>
      <c r="FQ110" s="109"/>
      <c r="FR110" s="109"/>
      <c r="FS110" s="109"/>
      <c r="FT110" s="109"/>
      <c r="FU110" s="109"/>
      <c r="FV110" s="109"/>
      <c r="FW110" s="109"/>
      <c r="FX110" s="109"/>
      <c r="FY110" s="109"/>
      <c r="FZ110" s="109"/>
      <c r="GA110" s="109"/>
      <c r="GB110" s="109"/>
      <c r="GC110" s="109"/>
      <c r="GD110" s="109"/>
      <c r="GE110" s="109"/>
      <c r="GF110" s="109"/>
      <c r="GG110" s="109"/>
      <c r="GH110" s="109"/>
      <c r="GI110" s="109"/>
      <c r="GJ110" s="109"/>
      <c r="GK110" s="109"/>
      <c r="GL110" s="109"/>
      <c r="GM110" s="109"/>
      <c r="GN110" s="109"/>
      <c r="GO110" s="109"/>
      <c r="GP110" s="109"/>
      <c r="GQ110" s="109"/>
      <c r="GR110" s="109"/>
      <c r="GS110" s="109"/>
      <c r="GT110" s="109"/>
      <c r="GU110" s="109"/>
      <c r="GV110" s="109"/>
      <c r="GW110" s="109"/>
      <c r="GX110" s="109"/>
      <c r="GY110" s="109"/>
      <c r="GZ110" s="109"/>
      <c r="HA110" s="109"/>
      <c r="HB110" s="109"/>
      <c r="HC110" s="109"/>
      <c r="HD110" s="109"/>
      <c r="HE110" s="109"/>
      <c r="HF110" s="109"/>
      <c r="HG110" s="109"/>
      <c r="HH110" s="109"/>
      <c r="HI110" s="109"/>
      <c r="HJ110" s="109"/>
      <c r="HK110" s="109"/>
      <c r="HL110" s="109"/>
      <c r="HM110" s="109"/>
      <c r="HN110" s="109"/>
      <c r="HO110" s="109"/>
      <c r="HP110" s="109"/>
      <c r="HQ110" s="109"/>
      <c r="HR110" s="109"/>
      <c r="HS110" s="109"/>
      <c r="HT110" s="109"/>
      <c r="HU110" s="109"/>
      <c r="HV110" s="109"/>
      <c r="HW110" s="109"/>
      <c r="HX110" s="109"/>
      <c r="HY110" s="109"/>
      <c r="HZ110" s="109"/>
      <c r="IA110" s="109"/>
      <c r="IB110" s="109"/>
      <c r="IC110" s="109"/>
      <c r="ID110" s="109"/>
      <c r="IE110" s="109"/>
      <c r="IF110" s="109"/>
      <c r="IG110" s="109"/>
      <c r="IH110" s="109"/>
      <c r="II110" s="109"/>
      <c r="IJ110" s="109"/>
      <c r="IK110" s="109"/>
      <c r="IL110" s="109"/>
      <c r="IM110" s="109"/>
      <c r="IN110" s="109"/>
      <c r="IO110" s="109"/>
      <c r="IP110" s="109"/>
      <c r="IQ110" s="109"/>
      <c r="IR110" s="109"/>
      <c r="IS110" s="109"/>
      <c r="IT110" s="109"/>
      <c r="IU110" s="109"/>
      <c r="IV110" s="109"/>
      <c r="IW110" s="109"/>
    </row>
    <row r="111" customFormat="false" ht="12.75" hidden="false" customHeight="false" outlineLevel="0" collapsed="false">
      <c r="A111" s="131" t="s">
        <v>137</v>
      </c>
      <c r="B111" s="132" t="s">
        <v>216</v>
      </c>
      <c r="C111" s="132" t="s">
        <v>217</v>
      </c>
      <c r="D111" s="133" t="n">
        <v>36923</v>
      </c>
      <c r="E111" s="133" t="n">
        <v>36950</v>
      </c>
      <c r="F111" s="131" t="s">
        <v>218</v>
      </c>
      <c r="G111" s="131" t="s">
        <v>218</v>
      </c>
      <c r="H111" s="132" t="s">
        <v>219</v>
      </c>
      <c r="I111" s="134" t="n">
        <f aca="false">0.152*0.0328767</f>
        <v>0.0049972584</v>
      </c>
      <c r="J111" s="135"/>
      <c r="K111" s="135"/>
      <c r="L111" s="135"/>
      <c r="M111" s="135"/>
      <c r="N111" s="136"/>
      <c r="O111" s="135"/>
      <c r="P111" s="137" t="n">
        <v>894681</v>
      </c>
      <c r="Q111" s="132" t="n">
        <v>1300</v>
      </c>
      <c r="R111" s="131" t="s">
        <v>220</v>
      </c>
      <c r="S111" s="138" t="n">
        <f aca="false">I111*$I$1*Q111</f>
        <v>181.90020576</v>
      </c>
      <c r="T111" s="139" t="n">
        <v>594422</v>
      </c>
      <c r="U111" s="139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  <c r="CP111" s="140"/>
      <c r="CQ111" s="140"/>
      <c r="CR111" s="140"/>
      <c r="CS111" s="140"/>
      <c r="CT111" s="140"/>
      <c r="CU111" s="140"/>
      <c r="CV111" s="140"/>
      <c r="CW111" s="140"/>
      <c r="CX111" s="140"/>
      <c r="CY111" s="140"/>
      <c r="CZ111" s="140"/>
      <c r="DA111" s="140"/>
      <c r="DB111" s="140"/>
      <c r="DC111" s="140"/>
      <c r="DD111" s="140"/>
      <c r="DE111" s="140"/>
      <c r="DF111" s="140"/>
      <c r="DG111" s="140"/>
      <c r="DH111" s="140"/>
      <c r="DI111" s="140"/>
      <c r="DJ111" s="140"/>
      <c r="DK111" s="140"/>
      <c r="DL111" s="140"/>
      <c r="DM111" s="140"/>
      <c r="DN111" s="140"/>
      <c r="DO111" s="140"/>
      <c r="DP111" s="140"/>
      <c r="DQ111" s="140"/>
      <c r="DR111" s="140"/>
      <c r="DS111" s="140"/>
      <c r="DT111" s="140"/>
      <c r="DU111" s="140"/>
      <c r="DV111" s="140"/>
      <c r="DW111" s="140"/>
      <c r="DX111" s="140"/>
      <c r="DY111" s="140"/>
      <c r="DZ111" s="140"/>
      <c r="EA111" s="140"/>
      <c r="EB111" s="140"/>
      <c r="EC111" s="140"/>
      <c r="ED111" s="140"/>
      <c r="EE111" s="140"/>
      <c r="EF111" s="140"/>
      <c r="EG111" s="140"/>
      <c r="EH111" s="140"/>
      <c r="EI111" s="140"/>
      <c r="EJ111" s="140"/>
      <c r="EK111" s="140"/>
      <c r="EL111" s="140"/>
      <c r="EM111" s="140"/>
      <c r="EN111" s="140"/>
      <c r="EO111" s="140"/>
      <c r="EP111" s="140"/>
      <c r="EQ111" s="140"/>
      <c r="ER111" s="140"/>
      <c r="ES111" s="140"/>
      <c r="ET111" s="140"/>
      <c r="EU111" s="140"/>
      <c r="EV111" s="140"/>
      <c r="EW111" s="140"/>
      <c r="EX111" s="140"/>
      <c r="EY111" s="140"/>
      <c r="EZ111" s="140"/>
      <c r="FA111" s="140"/>
      <c r="FB111" s="140"/>
      <c r="FC111" s="140"/>
      <c r="FD111" s="140"/>
      <c r="FE111" s="140"/>
      <c r="FF111" s="140"/>
      <c r="FG111" s="140"/>
      <c r="FH111" s="140"/>
      <c r="FI111" s="140"/>
      <c r="FJ111" s="140"/>
      <c r="FK111" s="140"/>
      <c r="FL111" s="140"/>
      <c r="FM111" s="140"/>
      <c r="FN111" s="140"/>
      <c r="FO111" s="140"/>
      <c r="FP111" s="140"/>
      <c r="FQ111" s="140"/>
      <c r="FR111" s="140"/>
      <c r="FS111" s="140"/>
      <c r="FT111" s="140"/>
      <c r="FU111" s="140"/>
      <c r="FV111" s="140"/>
      <c r="FW111" s="140"/>
      <c r="FX111" s="140"/>
      <c r="FY111" s="140"/>
      <c r="FZ111" s="140"/>
      <c r="GA111" s="140"/>
      <c r="GB111" s="140"/>
      <c r="GC111" s="140"/>
      <c r="GD111" s="140"/>
      <c r="GE111" s="140"/>
      <c r="GF111" s="140"/>
      <c r="GG111" s="140"/>
      <c r="GH111" s="140"/>
      <c r="GI111" s="140"/>
      <c r="GJ111" s="140"/>
      <c r="GK111" s="140"/>
      <c r="GL111" s="140"/>
      <c r="GM111" s="140"/>
      <c r="GN111" s="140"/>
      <c r="GO111" s="140"/>
      <c r="GP111" s="140"/>
      <c r="GQ111" s="140"/>
      <c r="GR111" s="140"/>
      <c r="GS111" s="140"/>
      <c r="GT111" s="140"/>
      <c r="GU111" s="140"/>
      <c r="GV111" s="140"/>
      <c r="GW111" s="140"/>
      <c r="GX111" s="140"/>
      <c r="GY111" s="140"/>
      <c r="GZ111" s="140"/>
      <c r="HA111" s="140"/>
      <c r="HB111" s="140"/>
      <c r="HC111" s="140"/>
      <c r="HD111" s="140"/>
      <c r="HE111" s="140"/>
      <c r="HF111" s="140"/>
      <c r="HG111" s="140"/>
      <c r="HH111" s="140"/>
      <c r="HI111" s="140"/>
      <c r="HJ111" s="140"/>
      <c r="HK111" s="140"/>
      <c r="HL111" s="140"/>
      <c r="HM111" s="140"/>
      <c r="HN111" s="140"/>
      <c r="HO111" s="140"/>
      <c r="HP111" s="140"/>
      <c r="HQ111" s="140"/>
      <c r="HR111" s="140"/>
      <c r="HS111" s="140"/>
      <c r="HT111" s="140"/>
      <c r="HU111" s="140"/>
      <c r="HV111" s="140"/>
      <c r="HW111" s="140"/>
      <c r="HX111" s="140"/>
      <c r="HY111" s="140"/>
      <c r="HZ111" s="140"/>
      <c r="IA111" s="140"/>
      <c r="IB111" s="140"/>
      <c r="IC111" s="140"/>
      <c r="ID111" s="140"/>
      <c r="IE111" s="140"/>
      <c r="IF111" s="140"/>
      <c r="IG111" s="140"/>
      <c r="IH111" s="140"/>
      <c r="II111" s="140"/>
      <c r="IJ111" s="140"/>
      <c r="IK111" s="140"/>
      <c r="IL111" s="140"/>
      <c r="IM111" s="140"/>
      <c r="IN111" s="140"/>
      <c r="IO111" s="140"/>
      <c r="IP111" s="140"/>
      <c r="IQ111" s="140"/>
      <c r="IR111" s="140"/>
      <c r="IS111" s="140"/>
      <c r="IT111" s="140"/>
      <c r="IU111" s="140"/>
      <c r="IV111" s="140"/>
      <c r="IW111" s="140"/>
    </row>
    <row r="112" customFormat="false" ht="12.75" hidden="false" customHeight="false" outlineLevel="0" collapsed="false">
      <c r="A112" s="131" t="s">
        <v>137</v>
      </c>
      <c r="B112" s="132" t="s">
        <v>216</v>
      </c>
      <c r="C112" s="132" t="s">
        <v>217</v>
      </c>
      <c r="D112" s="133" t="n">
        <v>36923</v>
      </c>
      <c r="E112" s="133" t="n">
        <v>36950</v>
      </c>
      <c r="F112" s="131" t="s">
        <v>218</v>
      </c>
      <c r="G112" s="131" t="s">
        <v>218</v>
      </c>
      <c r="H112" s="132" t="s">
        <v>221</v>
      </c>
      <c r="I112" s="134" t="n">
        <f aca="false">0.152*0.0328767</f>
        <v>0.0049972584</v>
      </c>
      <c r="J112" s="135"/>
      <c r="K112" s="135"/>
      <c r="L112" s="135"/>
      <c r="M112" s="135"/>
      <c r="N112" s="136"/>
      <c r="O112" s="135"/>
      <c r="P112" s="137" t="n">
        <v>894682</v>
      </c>
      <c r="Q112" s="132" t="n">
        <v>2500</v>
      </c>
      <c r="R112" s="131" t="s">
        <v>222</v>
      </c>
      <c r="S112" s="138" t="n">
        <f aca="false">I112*$I$1*Q112</f>
        <v>349.808088</v>
      </c>
      <c r="T112" s="139" t="n">
        <v>594446</v>
      </c>
      <c r="U112" s="139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140"/>
      <c r="CL112" s="140"/>
      <c r="CM112" s="140"/>
      <c r="CN112" s="140"/>
      <c r="CO112" s="140"/>
      <c r="CP112" s="140"/>
      <c r="CQ112" s="140"/>
      <c r="CR112" s="140"/>
      <c r="CS112" s="140"/>
      <c r="CT112" s="140"/>
      <c r="CU112" s="140"/>
      <c r="CV112" s="140"/>
      <c r="CW112" s="140"/>
      <c r="CX112" s="140"/>
      <c r="CY112" s="140"/>
      <c r="CZ112" s="140"/>
      <c r="DA112" s="140"/>
      <c r="DB112" s="140"/>
      <c r="DC112" s="140"/>
      <c r="DD112" s="140"/>
      <c r="DE112" s="140"/>
      <c r="DF112" s="140"/>
      <c r="DG112" s="140"/>
      <c r="DH112" s="140"/>
      <c r="DI112" s="140"/>
      <c r="DJ112" s="140"/>
      <c r="DK112" s="140"/>
      <c r="DL112" s="140"/>
      <c r="DM112" s="140"/>
      <c r="DN112" s="140"/>
      <c r="DO112" s="140"/>
      <c r="DP112" s="140"/>
      <c r="DQ112" s="140"/>
      <c r="DR112" s="140"/>
      <c r="DS112" s="140"/>
      <c r="DT112" s="140"/>
      <c r="DU112" s="140"/>
      <c r="DV112" s="140"/>
      <c r="DW112" s="140"/>
      <c r="DX112" s="140"/>
      <c r="DY112" s="140"/>
      <c r="DZ112" s="140"/>
      <c r="EA112" s="140"/>
      <c r="EB112" s="140"/>
      <c r="EC112" s="140"/>
      <c r="ED112" s="140"/>
      <c r="EE112" s="140"/>
      <c r="EF112" s="140"/>
      <c r="EG112" s="140"/>
      <c r="EH112" s="140"/>
      <c r="EI112" s="140"/>
      <c r="EJ112" s="140"/>
      <c r="EK112" s="140"/>
      <c r="EL112" s="140"/>
      <c r="EM112" s="140"/>
      <c r="EN112" s="140"/>
      <c r="EO112" s="140"/>
      <c r="EP112" s="140"/>
      <c r="EQ112" s="140"/>
      <c r="ER112" s="140"/>
      <c r="ES112" s="140"/>
      <c r="ET112" s="140"/>
      <c r="EU112" s="140"/>
      <c r="EV112" s="140"/>
      <c r="EW112" s="140"/>
      <c r="EX112" s="140"/>
      <c r="EY112" s="140"/>
      <c r="EZ112" s="140"/>
      <c r="FA112" s="140"/>
      <c r="FB112" s="140"/>
      <c r="FC112" s="140"/>
      <c r="FD112" s="140"/>
      <c r="FE112" s="140"/>
      <c r="FF112" s="140"/>
      <c r="FG112" s="140"/>
      <c r="FH112" s="140"/>
      <c r="FI112" s="140"/>
      <c r="FJ112" s="140"/>
      <c r="FK112" s="140"/>
      <c r="FL112" s="140"/>
      <c r="FM112" s="140"/>
      <c r="FN112" s="140"/>
      <c r="FO112" s="140"/>
      <c r="FP112" s="140"/>
      <c r="FQ112" s="140"/>
      <c r="FR112" s="140"/>
      <c r="FS112" s="140"/>
      <c r="FT112" s="140"/>
      <c r="FU112" s="140"/>
      <c r="FV112" s="140"/>
      <c r="FW112" s="140"/>
      <c r="FX112" s="140"/>
      <c r="FY112" s="140"/>
      <c r="FZ112" s="140"/>
      <c r="GA112" s="140"/>
      <c r="GB112" s="140"/>
      <c r="GC112" s="140"/>
      <c r="GD112" s="140"/>
      <c r="GE112" s="140"/>
      <c r="GF112" s="140"/>
      <c r="GG112" s="140"/>
      <c r="GH112" s="140"/>
      <c r="GI112" s="140"/>
      <c r="GJ112" s="140"/>
      <c r="GK112" s="140"/>
      <c r="GL112" s="140"/>
      <c r="GM112" s="140"/>
      <c r="GN112" s="140"/>
      <c r="GO112" s="140"/>
      <c r="GP112" s="140"/>
      <c r="GQ112" s="140"/>
      <c r="GR112" s="140"/>
      <c r="GS112" s="140"/>
      <c r="GT112" s="140"/>
      <c r="GU112" s="140"/>
      <c r="GV112" s="140"/>
      <c r="GW112" s="140"/>
      <c r="GX112" s="140"/>
      <c r="GY112" s="140"/>
      <c r="GZ112" s="140"/>
      <c r="HA112" s="140"/>
      <c r="HB112" s="140"/>
      <c r="HC112" s="140"/>
      <c r="HD112" s="140"/>
      <c r="HE112" s="140"/>
      <c r="HF112" s="140"/>
      <c r="HG112" s="140"/>
      <c r="HH112" s="140"/>
      <c r="HI112" s="140"/>
      <c r="HJ112" s="140"/>
      <c r="HK112" s="140"/>
      <c r="HL112" s="140"/>
      <c r="HM112" s="140"/>
      <c r="HN112" s="140"/>
      <c r="HO112" s="140"/>
      <c r="HP112" s="140"/>
      <c r="HQ112" s="140"/>
      <c r="HR112" s="140"/>
      <c r="HS112" s="140"/>
      <c r="HT112" s="140"/>
      <c r="HU112" s="140"/>
      <c r="HV112" s="140"/>
      <c r="HW112" s="140"/>
      <c r="HX112" s="140"/>
      <c r="HY112" s="140"/>
      <c r="HZ112" s="140"/>
      <c r="IA112" s="140"/>
      <c r="IB112" s="140"/>
      <c r="IC112" s="140"/>
      <c r="ID112" s="140"/>
      <c r="IE112" s="140"/>
      <c r="IF112" s="140"/>
      <c r="IG112" s="140"/>
      <c r="IH112" s="140"/>
      <c r="II112" s="140"/>
      <c r="IJ112" s="140"/>
      <c r="IK112" s="140"/>
      <c r="IL112" s="140"/>
      <c r="IM112" s="140"/>
      <c r="IN112" s="140"/>
      <c r="IO112" s="140"/>
      <c r="IP112" s="140"/>
      <c r="IQ112" s="140"/>
      <c r="IR112" s="140"/>
      <c r="IS112" s="140"/>
      <c r="IT112" s="140"/>
      <c r="IU112" s="140"/>
      <c r="IV112" s="140"/>
      <c r="IW112" s="140"/>
    </row>
    <row r="113" customFormat="false" ht="12.75" hidden="false" customHeight="false" outlineLevel="0" collapsed="false">
      <c r="A113" s="131" t="s">
        <v>137</v>
      </c>
      <c r="B113" s="132" t="s">
        <v>216</v>
      </c>
      <c r="C113" s="132" t="s">
        <v>217</v>
      </c>
      <c r="D113" s="133" t="n">
        <v>36923</v>
      </c>
      <c r="E113" s="133" t="n">
        <v>36950</v>
      </c>
      <c r="F113" s="131" t="s">
        <v>223</v>
      </c>
      <c r="G113" s="131" t="s">
        <v>223</v>
      </c>
      <c r="H113" s="132" t="s">
        <v>221</v>
      </c>
      <c r="I113" s="134" t="n">
        <f aca="false">0.304*0.0328767</f>
        <v>0.0099945168</v>
      </c>
      <c r="J113" s="135"/>
      <c r="K113" s="135"/>
      <c r="L113" s="135"/>
      <c r="M113" s="135"/>
      <c r="N113" s="136"/>
      <c r="O113" s="135"/>
      <c r="P113" s="137" t="n">
        <v>894678</v>
      </c>
      <c r="Q113" s="132" t="n">
        <v>5900</v>
      </c>
      <c r="R113" s="131" t="s">
        <v>224</v>
      </c>
      <c r="S113" s="138" t="n">
        <f aca="false">I113*$I$1*Q113</f>
        <v>1651.09417536</v>
      </c>
      <c r="T113" s="139" t="n">
        <v>594447</v>
      </c>
      <c r="U113" s="139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  <c r="CP113" s="140"/>
      <c r="CQ113" s="140"/>
      <c r="CR113" s="140"/>
      <c r="CS113" s="140"/>
      <c r="CT113" s="140"/>
      <c r="CU113" s="140"/>
      <c r="CV113" s="140"/>
      <c r="CW113" s="140"/>
      <c r="CX113" s="140"/>
      <c r="CY113" s="140"/>
      <c r="CZ113" s="140"/>
      <c r="DA113" s="140"/>
      <c r="DB113" s="140"/>
      <c r="DC113" s="140"/>
      <c r="DD113" s="140"/>
      <c r="DE113" s="140"/>
      <c r="DF113" s="140"/>
      <c r="DG113" s="140"/>
      <c r="DH113" s="140"/>
      <c r="DI113" s="140"/>
      <c r="DJ113" s="140"/>
      <c r="DK113" s="140"/>
      <c r="DL113" s="140"/>
      <c r="DM113" s="140"/>
      <c r="DN113" s="140"/>
      <c r="DO113" s="140"/>
      <c r="DP113" s="140"/>
      <c r="DQ113" s="140"/>
      <c r="DR113" s="140"/>
      <c r="DS113" s="140"/>
      <c r="DT113" s="140"/>
      <c r="DU113" s="140"/>
      <c r="DV113" s="140"/>
      <c r="DW113" s="140"/>
      <c r="DX113" s="140"/>
      <c r="DY113" s="140"/>
      <c r="DZ113" s="140"/>
      <c r="EA113" s="140"/>
      <c r="EB113" s="140"/>
      <c r="EC113" s="140"/>
      <c r="ED113" s="140"/>
      <c r="EE113" s="140"/>
      <c r="EF113" s="140"/>
      <c r="EG113" s="140"/>
      <c r="EH113" s="140"/>
      <c r="EI113" s="140"/>
      <c r="EJ113" s="140"/>
      <c r="EK113" s="140"/>
      <c r="EL113" s="140"/>
      <c r="EM113" s="140"/>
      <c r="EN113" s="140"/>
      <c r="EO113" s="140"/>
      <c r="EP113" s="140"/>
      <c r="EQ113" s="140"/>
      <c r="ER113" s="140"/>
      <c r="ES113" s="140"/>
      <c r="ET113" s="140"/>
      <c r="EU113" s="140"/>
      <c r="EV113" s="140"/>
      <c r="EW113" s="140"/>
      <c r="EX113" s="140"/>
      <c r="EY113" s="140"/>
      <c r="EZ113" s="140"/>
      <c r="FA113" s="140"/>
      <c r="FB113" s="140"/>
      <c r="FC113" s="140"/>
      <c r="FD113" s="140"/>
      <c r="FE113" s="140"/>
      <c r="FF113" s="140"/>
      <c r="FG113" s="140"/>
      <c r="FH113" s="140"/>
      <c r="FI113" s="140"/>
      <c r="FJ113" s="140"/>
      <c r="FK113" s="140"/>
      <c r="FL113" s="140"/>
      <c r="FM113" s="140"/>
      <c r="FN113" s="140"/>
      <c r="FO113" s="140"/>
      <c r="FP113" s="140"/>
      <c r="FQ113" s="140"/>
      <c r="FR113" s="140"/>
      <c r="FS113" s="140"/>
      <c r="FT113" s="140"/>
      <c r="FU113" s="140"/>
      <c r="FV113" s="140"/>
      <c r="FW113" s="140"/>
      <c r="FX113" s="140"/>
      <c r="FY113" s="140"/>
      <c r="FZ113" s="140"/>
      <c r="GA113" s="140"/>
      <c r="GB113" s="140"/>
      <c r="GC113" s="140"/>
      <c r="GD113" s="140"/>
      <c r="GE113" s="140"/>
      <c r="GF113" s="140"/>
      <c r="GG113" s="140"/>
      <c r="GH113" s="140"/>
      <c r="GI113" s="140"/>
      <c r="GJ113" s="140"/>
      <c r="GK113" s="140"/>
      <c r="GL113" s="140"/>
      <c r="GM113" s="140"/>
      <c r="GN113" s="140"/>
      <c r="GO113" s="140"/>
      <c r="GP113" s="140"/>
      <c r="GQ113" s="140"/>
      <c r="GR113" s="140"/>
      <c r="GS113" s="140"/>
      <c r="GT113" s="140"/>
      <c r="GU113" s="140"/>
      <c r="GV113" s="140"/>
      <c r="GW113" s="140"/>
      <c r="GX113" s="140"/>
      <c r="GY113" s="140"/>
      <c r="GZ113" s="140"/>
      <c r="HA113" s="140"/>
      <c r="HB113" s="140"/>
      <c r="HC113" s="140"/>
      <c r="HD113" s="140"/>
      <c r="HE113" s="140"/>
      <c r="HF113" s="140"/>
      <c r="HG113" s="140"/>
      <c r="HH113" s="140"/>
      <c r="HI113" s="140"/>
      <c r="HJ113" s="140"/>
      <c r="HK113" s="140"/>
      <c r="HL113" s="140"/>
      <c r="HM113" s="140"/>
      <c r="HN113" s="140"/>
      <c r="HO113" s="140"/>
      <c r="HP113" s="140"/>
      <c r="HQ113" s="140"/>
      <c r="HR113" s="140"/>
      <c r="HS113" s="140"/>
      <c r="HT113" s="140"/>
      <c r="HU113" s="140"/>
      <c r="HV113" s="140"/>
      <c r="HW113" s="140"/>
      <c r="HX113" s="140"/>
      <c r="HY113" s="140"/>
      <c r="HZ113" s="140"/>
      <c r="IA113" s="140"/>
      <c r="IB113" s="140"/>
      <c r="IC113" s="140"/>
      <c r="ID113" s="140"/>
      <c r="IE113" s="140"/>
      <c r="IF113" s="140"/>
      <c r="IG113" s="140"/>
      <c r="IH113" s="140"/>
      <c r="II113" s="140"/>
      <c r="IJ113" s="140"/>
      <c r="IK113" s="140"/>
      <c r="IL113" s="140"/>
      <c r="IM113" s="140"/>
      <c r="IN113" s="140"/>
      <c r="IO113" s="140"/>
      <c r="IP113" s="140"/>
      <c r="IQ113" s="140"/>
      <c r="IR113" s="140"/>
      <c r="IS113" s="140"/>
      <c r="IT113" s="140"/>
      <c r="IU113" s="140"/>
      <c r="IV113" s="140"/>
      <c r="IW113" s="140"/>
    </row>
    <row r="114" customFormat="false" ht="12.75" hidden="false" customHeight="false" outlineLevel="0" collapsed="false">
      <c r="A114" s="131" t="s">
        <v>137</v>
      </c>
      <c r="B114" s="132" t="s">
        <v>216</v>
      </c>
      <c r="C114" s="132" t="s">
        <v>217</v>
      </c>
      <c r="D114" s="133" t="n">
        <v>36923</v>
      </c>
      <c r="E114" s="133" t="n">
        <v>36950</v>
      </c>
      <c r="F114" s="131" t="s">
        <v>223</v>
      </c>
      <c r="G114" s="131" t="s">
        <v>223</v>
      </c>
      <c r="H114" s="132" t="s">
        <v>219</v>
      </c>
      <c r="I114" s="134" t="n">
        <f aca="false">0.304*0.0328767</f>
        <v>0.0099945168</v>
      </c>
      <c r="J114" s="135"/>
      <c r="K114" s="135"/>
      <c r="L114" s="135"/>
      <c r="M114" s="135"/>
      <c r="N114" s="136"/>
      <c r="O114" s="135"/>
      <c r="P114" s="137" t="n">
        <v>894677</v>
      </c>
      <c r="Q114" s="132" t="n">
        <v>3100</v>
      </c>
      <c r="R114" s="131" t="s">
        <v>225</v>
      </c>
      <c r="S114" s="138" t="n">
        <f aca="false">I114*$I$1*Q114</f>
        <v>867.52405824</v>
      </c>
      <c r="T114" s="139" t="n">
        <v>594452</v>
      </c>
      <c r="U114" s="139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  <c r="CP114" s="140"/>
      <c r="CQ114" s="140"/>
      <c r="CR114" s="140"/>
      <c r="CS114" s="140"/>
      <c r="CT114" s="140"/>
      <c r="CU114" s="140"/>
      <c r="CV114" s="140"/>
      <c r="CW114" s="140"/>
      <c r="CX114" s="140"/>
      <c r="CY114" s="140"/>
      <c r="CZ114" s="140"/>
      <c r="DA114" s="140"/>
      <c r="DB114" s="140"/>
      <c r="DC114" s="140"/>
      <c r="DD114" s="140"/>
      <c r="DE114" s="140"/>
      <c r="DF114" s="140"/>
      <c r="DG114" s="140"/>
      <c r="DH114" s="140"/>
      <c r="DI114" s="140"/>
      <c r="DJ114" s="140"/>
      <c r="DK114" s="140"/>
      <c r="DL114" s="140"/>
      <c r="DM114" s="140"/>
      <c r="DN114" s="140"/>
      <c r="DO114" s="140"/>
      <c r="DP114" s="140"/>
      <c r="DQ114" s="140"/>
      <c r="DR114" s="140"/>
      <c r="DS114" s="140"/>
      <c r="DT114" s="140"/>
      <c r="DU114" s="140"/>
      <c r="DV114" s="140"/>
      <c r="DW114" s="140"/>
      <c r="DX114" s="140"/>
      <c r="DY114" s="140"/>
      <c r="DZ114" s="140"/>
      <c r="EA114" s="140"/>
      <c r="EB114" s="140"/>
      <c r="EC114" s="140"/>
      <c r="ED114" s="140"/>
      <c r="EE114" s="140"/>
      <c r="EF114" s="140"/>
      <c r="EG114" s="140"/>
      <c r="EH114" s="140"/>
      <c r="EI114" s="140"/>
      <c r="EJ114" s="140"/>
      <c r="EK114" s="140"/>
      <c r="EL114" s="140"/>
      <c r="EM114" s="140"/>
      <c r="EN114" s="140"/>
      <c r="EO114" s="140"/>
      <c r="EP114" s="140"/>
      <c r="EQ114" s="140"/>
      <c r="ER114" s="140"/>
      <c r="ES114" s="140"/>
      <c r="ET114" s="140"/>
      <c r="EU114" s="140"/>
      <c r="EV114" s="140"/>
      <c r="EW114" s="140"/>
      <c r="EX114" s="140"/>
      <c r="EY114" s="140"/>
      <c r="EZ114" s="140"/>
      <c r="FA114" s="140"/>
      <c r="FB114" s="140"/>
      <c r="FC114" s="140"/>
      <c r="FD114" s="140"/>
      <c r="FE114" s="140"/>
      <c r="FF114" s="140"/>
      <c r="FG114" s="140"/>
      <c r="FH114" s="140"/>
      <c r="FI114" s="140"/>
      <c r="FJ114" s="140"/>
      <c r="FK114" s="140"/>
      <c r="FL114" s="140"/>
      <c r="FM114" s="140"/>
      <c r="FN114" s="140"/>
      <c r="FO114" s="140"/>
      <c r="FP114" s="140"/>
      <c r="FQ114" s="140"/>
      <c r="FR114" s="140"/>
      <c r="FS114" s="140"/>
      <c r="FT114" s="140"/>
      <c r="FU114" s="140"/>
      <c r="FV114" s="140"/>
      <c r="FW114" s="140"/>
      <c r="FX114" s="140"/>
      <c r="FY114" s="140"/>
      <c r="FZ114" s="140"/>
      <c r="GA114" s="140"/>
      <c r="GB114" s="140"/>
      <c r="GC114" s="140"/>
      <c r="GD114" s="140"/>
      <c r="GE114" s="140"/>
      <c r="GF114" s="140"/>
      <c r="GG114" s="140"/>
      <c r="GH114" s="140"/>
      <c r="GI114" s="140"/>
      <c r="GJ114" s="140"/>
      <c r="GK114" s="140"/>
      <c r="GL114" s="140"/>
      <c r="GM114" s="140"/>
      <c r="GN114" s="140"/>
      <c r="GO114" s="140"/>
      <c r="GP114" s="140"/>
      <c r="GQ114" s="140"/>
      <c r="GR114" s="140"/>
      <c r="GS114" s="140"/>
      <c r="GT114" s="140"/>
      <c r="GU114" s="140"/>
      <c r="GV114" s="140"/>
      <c r="GW114" s="140"/>
      <c r="GX114" s="140"/>
      <c r="GY114" s="140"/>
      <c r="GZ114" s="140"/>
      <c r="HA114" s="140"/>
      <c r="HB114" s="140"/>
      <c r="HC114" s="140"/>
      <c r="HD114" s="140"/>
      <c r="HE114" s="140"/>
      <c r="HF114" s="140"/>
      <c r="HG114" s="140"/>
      <c r="HH114" s="140"/>
      <c r="HI114" s="140"/>
      <c r="HJ114" s="140"/>
      <c r="HK114" s="140"/>
      <c r="HL114" s="140"/>
      <c r="HM114" s="140"/>
      <c r="HN114" s="140"/>
      <c r="HO114" s="140"/>
      <c r="HP114" s="140"/>
      <c r="HQ114" s="140"/>
      <c r="HR114" s="140"/>
      <c r="HS114" s="140"/>
      <c r="HT114" s="140"/>
      <c r="HU114" s="140"/>
      <c r="HV114" s="140"/>
      <c r="HW114" s="140"/>
      <c r="HX114" s="140"/>
      <c r="HY114" s="140"/>
      <c r="HZ114" s="140"/>
      <c r="IA114" s="140"/>
      <c r="IB114" s="140"/>
      <c r="IC114" s="140"/>
      <c r="ID114" s="140"/>
      <c r="IE114" s="140"/>
      <c r="IF114" s="140"/>
      <c r="IG114" s="140"/>
      <c r="IH114" s="140"/>
      <c r="II114" s="140"/>
      <c r="IJ114" s="140"/>
      <c r="IK114" s="140"/>
      <c r="IL114" s="140"/>
      <c r="IM114" s="140"/>
      <c r="IN114" s="140"/>
      <c r="IO114" s="140"/>
      <c r="IP114" s="140"/>
      <c r="IQ114" s="140"/>
      <c r="IR114" s="140"/>
      <c r="IS114" s="140"/>
      <c r="IT114" s="140"/>
      <c r="IU114" s="140"/>
      <c r="IV114" s="140"/>
      <c r="IW114" s="140"/>
    </row>
    <row r="115" customFormat="false" ht="12.75" hidden="false" customHeight="false" outlineLevel="0" collapsed="false">
      <c r="A115" s="72" t="s">
        <v>137</v>
      </c>
      <c r="B115" s="67" t="s">
        <v>216</v>
      </c>
      <c r="C115" s="67" t="s">
        <v>226</v>
      </c>
      <c r="D115" s="73" t="n">
        <v>36896</v>
      </c>
      <c r="E115" s="73" t="n">
        <v>36922</v>
      </c>
      <c r="F115" s="72" t="s">
        <v>227</v>
      </c>
      <c r="G115" s="72" t="s">
        <v>228</v>
      </c>
      <c r="H115" s="67" t="s">
        <v>219</v>
      </c>
      <c r="I115" s="141" t="n">
        <f aca="false">0.1521/31</f>
        <v>0.00490645161290323</v>
      </c>
      <c r="J115" s="66"/>
      <c r="K115" s="66"/>
      <c r="L115" s="66"/>
      <c r="M115" s="66"/>
      <c r="N115" s="130"/>
      <c r="O115" s="66"/>
      <c r="P115" s="126"/>
      <c r="Q115" s="67"/>
      <c r="R115" s="72"/>
      <c r="S115" s="22" t="n">
        <f aca="false">+Q115*I115*31</f>
        <v>0</v>
      </c>
      <c r="T115" s="35"/>
      <c r="U115" s="35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  <c r="BR115" s="127"/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7"/>
      <c r="CE115" s="127"/>
      <c r="CF115" s="127"/>
      <c r="CG115" s="127"/>
      <c r="CH115" s="127"/>
      <c r="CI115" s="127"/>
      <c r="CJ115" s="127"/>
      <c r="CK115" s="127"/>
      <c r="CL115" s="127"/>
      <c r="CM115" s="127"/>
      <c r="CN115" s="127"/>
      <c r="CO115" s="127"/>
      <c r="CP115" s="127"/>
      <c r="CQ115" s="127"/>
      <c r="CR115" s="127"/>
      <c r="CS115" s="127"/>
      <c r="CT115" s="127"/>
      <c r="CU115" s="127"/>
      <c r="CV115" s="127"/>
      <c r="CW115" s="127"/>
      <c r="CX115" s="127"/>
      <c r="CY115" s="127"/>
      <c r="CZ115" s="127"/>
      <c r="DA115" s="127"/>
      <c r="DB115" s="127"/>
      <c r="DC115" s="127"/>
      <c r="DD115" s="127"/>
      <c r="DE115" s="127"/>
      <c r="DF115" s="127"/>
      <c r="DG115" s="127"/>
      <c r="DH115" s="127"/>
      <c r="DI115" s="127"/>
      <c r="DJ115" s="127"/>
      <c r="DK115" s="127"/>
      <c r="DL115" s="127"/>
      <c r="DM115" s="127"/>
      <c r="DN115" s="127"/>
      <c r="DO115" s="127"/>
      <c r="DP115" s="127"/>
      <c r="DQ115" s="127"/>
      <c r="DR115" s="127"/>
      <c r="DS115" s="127"/>
      <c r="DT115" s="127"/>
      <c r="DU115" s="127"/>
      <c r="DV115" s="127"/>
      <c r="DW115" s="127"/>
      <c r="DX115" s="127"/>
      <c r="DY115" s="127"/>
      <c r="DZ115" s="127"/>
      <c r="EA115" s="127"/>
      <c r="EB115" s="127"/>
      <c r="EC115" s="127"/>
      <c r="ED115" s="127"/>
      <c r="EE115" s="127"/>
      <c r="EF115" s="127"/>
      <c r="EG115" s="127"/>
      <c r="EH115" s="127"/>
      <c r="EI115" s="127"/>
      <c r="EJ115" s="127"/>
      <c r="EK115" s="127"/>
      <c r="EL115" s="127"/>
      <c r="EM115" s="127"/>
      <c r="EN115" s="127"/>
      <c r="EO115" s="127"/>
      <c r="EP115" s="127"/>
      <c r="EQ115" s="127"/>
      <c r="ER115" s="127"/>
      <c r="ES115" s="127"/>
      <c r="ET115" s="127"/>
      <c r="EU115" s="127"/>
      <c r="EV115" s="127"/>
      <c r="EW115" s="127"/>
      <c r="EX115" s="127"/>
      <c r="EY115" s="127"/>
      <c r="EZ115" s="127"/>
      <c r="FA115" s="127"/>
      <c r="FB115" s="127"/>
      <c r="FC115" s="127"/>
      <c r="FD115" s="127"/>
      <c r="FE115" s="127"/>
      <c r="FF115" s="127"/>
      <c r="FG115" s="127"/>
      <c r="FH115" s="127"/>
      <c r="FI115" s="127"/>
      <c r="FJ115" s="127"/>
      <c r="FK115" s="127"/>
      <c r="FL115" s="127"/>
      <c r="FM115" s="127"/>
      <c r="FN115" s="127"/>
      <c r="FO115" s="127"/>
      <c r="FP115" s="127"/>
      <c r="FQ115" s="127"/>
      <c r="FR115" s="127"/>
      <c r="FS115" s="127"/>
      <c r="FT115" s="127"/>
      <c r="FU115" s="127"/>
      <c r="FV115" s="127"/>
      <c r="FW115" s="127"/>
      <c r="FX115" s="127"/>
      <c r="FY115" s="127"/>
      <c r="FZ115" s="127"/>
      <c r="GA115" s="127"/>
      <c r="GB115" s="127"/>
      <c r="GC115" s="127"/>
      <c r="GD115" s="127"/>
      <c r="GE115" s="127"/>
      <c r="GF115" s="127"/>
      <c r="GG115" s="127"/>
      <c r="GH115" s="127"/>
      <c r="GI115" s="127"/>
      <c r="GJ115" s="127"/>
      <c r="GK115" s="127"/>
      <c r="GL115" s="127"/>
      <c r="GM115" s="127"/>
      <c r="GN115" s="127"/>
      <c r="GO115" s="127"/>
      <c r="GP115" s="127"/>
      <c r="GQ115" s="127"/>
      <c r="GR115" s="127"/>
      <c r="GS115" s="127"/>
      <c r="GT115" s="127"/>
      <c r="GU115" s="127"/>
      <c r="GV115" s="127"/>
      <c r="GW115" s="127"/>
      <c r="GX115" s="127"/>
      <c r="GY115" s="127"/>
      <c r="GZ115" s="127"/>
      <c r="HA115" s="127"/>
      <c r="HB115" s="127"/>
      <c r="HC115" s="127"/>
      <c r="HD115" s="127"/>
      <c r="HE115" s="127"/>
      <c r="HF115" s="127"/>
      <c r="HG115" s="127"/>
      <c r="HH115" s="127"/>
      <c r="HI115" s="127"/>
      <c r="HJ115" s="127"/>
      <c r="HK115" s="127"/>
      <c r="HL115" s="127"/>
      <c r="HM115" s="127"/>
      <c r="HN115" s="127"/>
      <c r="HO115" s="127"/>
      <c r="HP115" s="127"/>
      <c r="HQ115" s="127"/>
      <c r="HR115" s="127"/>
      <c r="HS115" s="127"/>
      <c r="HT115" s="127"/>
      <c r="HU115" s="127"/>
      <c r="HV115" s="127"/>
      <c r="HW115" s="127"/>
      <c r="HX115" s="127"/>
      <c r="HY115" s="127"/>
      <c r="HZ115" s="127"/>
      <c r="IA115" s="127"/>
      <c r="IB115" s="127"/>
      <c r="IC115" s="127"/>
      <c r="ID115" s="127"/>
      <c r="IE115" s="127"/>
      <c r="IF115" s="127"/>
      <c r="IG115" s="127"/>
      <c r="IH115" s="127"/>
      <c r="II115" s="127"/>
      <c r="IJ115" s="127"/>
      <c r="IK115" s="127"/>
      <c r="IL115" s="127"/>
      <c r="IM115" s="127"/>
      <c r="IN115" s="127"/>
      <c r="IO115" s="127"/>
      <c r="IP115" s="127"/>
      <c r="IQ115" s="127"/>
      <c r="IR115" s="127"/>
      <c r="IS115" s="127"/>
      <c r="IT115" s="127"/>
      <c r="IU115" s="127"/>
      <c r="IV115" s="127"/>
      <c r="IW115" s="127"/>
    </row>
    <row r="116" customFormat="false" ht="12.75" hidden="false" customHeight="false" outlineLevel="0" collapsed="false">
      <c r="A116" s="131" t="s">
        <v>137</v>
      </c>
      <c r="B116" s="132" t="s">
        <v>216</v>
      </c>
      <c r="C116" s="132" t="s">
        <v>216</v>
      </c>
      <c r="D116" s="133" t="n">
        <v>36923</v>
      </c>
      <c r="E116" s="133" t="n">
        <v>36950</v>
      </c>
      <c r="F116" s="131" t="s">
        <v>229</v>
      </c>
      <c r="G116" s="131" t="s">
        <v>223</v>
      </c>
      <c r="H116" s="132" t="s">
        <v>221</v>
      </c>
      <c r="I116" s="134" t="n">
        <v>0.05</v>
      </c>
      <c r="J116" s="135"/>
      <c r="K116" s="135"/>
      <c r="L116" s="135"/>
      <c r="M116" s="135"/>
      <c r="N116" s="136"/>
      <c r="O116" s="135"/>
      <c r="P116" s="137" t="n">
        <v>910042</v>
      </c>
      <c r="Q116" s="132" t="n">
        <v>75000</v>
      </c>
      <c r="R116" s="131" t="s">
        <v>230</v>
      </c>
      <c r="S116" s="138" t="n">
        <f aca="false">I116*$I$1*Q116</f>
        <v>105000</v>
      </c>
      <c r="T116" s="139" t="n">
        <v>589233</v>
      </c>
      <c r="U116" s="139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  <c r="CN116" s="140"/>
      <c r="CO116" s="140"/>
      <c r="CP116" s="140"/>
      <c r="CQ116" s="140"/>
      <c r="CR116" s="140"/>
      <c r="CS116" s="140"/>
      <c r="CT116" s="140"/>
      <c r="CU116" s="140"/>
      <c r="CV116" s="140"/>
      <c r="CW116" s="140"/>
      <c r="CX116" s="140"/>
      <c r="CY116" s="140"/>
      <c r="CZ116" s="140"/>
      <c r="DA116" s="140"/>
      <c r="DB116" s="140"/>
      <c r="DC116" s="140"/>
      <c r="DD116" s="140"/>
      <c r="DE116" s="140"/>
      <c r="DF116" s="140"/>
      <c r="DG116" s="140"/>
      <c r="DH116" s="140"/>
      <c r="DI116" s="140"/>
      <c r="DJ116" s="140"/>
      <c r="DK116" s="140"/>
      <c r="DL116" s="140"/>
      <c r="DM116" s="140"/>
      <c r="DN116" s="140"/>
      <c r="DO116" s="140"/>
      <c r="DP116" s="140"/>
      <c r="DQ116" s="140"/>
      <c r="DR116" s="140"/>
      <c r="DS116" s="140"/>
      <c r="DT116" s="140"/>
      <c r="DU116" s="140"/>
      <c r="DV116" s="140"/>
      <c r="DW116" s="140"/>
      <c r="DX116" s="140"/>
      <c r="DY116" s="140"/>
      <c r="DZ116" s="140"/>
      <c r="EA116" s="140"/>
      <c r="EB116" s="140"/>
      <c r="EC116" s="140"/>
      <c r="ED116" s="140"/>
      <c r="EE116" s="140"/>
      <c r="EF116" s="140"/>
      <c r="EG116" s="140"/>
      <c r="EH116" s="140"/>
      <c r="EI116" s="140"/>
      <c r="EJ116" s="140"/>
      <c r="EK116" s="140"/>
      <c r="EL116" s="140"/>
      <c r="EM116" s="140"/>
      <c r="EN116" s="140"/>
      <c r="EO116" s="140"/>
      <c r="EP116" s="140"/>
      <c r="EQ116" s="140"/>
      <c r="ER116" s="140"/>
      <c r="ES116" s="140"/>
      <c r="ET116" s="140"/>
      <c r="EU116" s="140"/>
      <c r="EV116" s="140"/>
      <c r="EW116" s="140"/>
      <c r="EX116" s="140"/>
      <c r="EY116" s="140"/>
      <c r="EZ116" s="140"/>
      <c r="FA116" s="140"/>
      <c r="FB116" s="140"/>
      <c r="FC116" s="140"/>
      <c r="FD116" s="140"/>
      <c r="FE116" s="140"/>
      <c r="FF116" s="140"/>
      <c r="FG116" s="140"/>
      <c r="FH116" s="140"/>
      <c r="FI116" s="140"/>
      <c r="FJ116" s="140"/>
      <c r="FK116" s="140"/>
      <c r="FL116" s="140"/>
      <c r="FM116" s="140"/>
      <c r="FN116" s="140"/>
      <c r="FO116" s="140"/>
      <c r="FP116" s="140"/>
      <c r="FQ116" s="140"/>
      <c r="FR116" s="140"/>
      <c r="FS116" s="140"/>
      <c r="FT116" s="140"/>
      <c r="FU116" s="140"/>
      <c r="FV116" s="140"/>
      <c r="FW116" s="140"/>
      <c r="FX116" s="140"/>
      <c r="FY116" s="140"/>
      <c r="FZ116" s="140"/>
      <c r="GA116" s="140"/>
      <c r="GB116" s="140"/>
      <c r="GC116" s="140"/>
      <c r="GD116" s="140"/>
      <c r="GE116" s="140"/>
      <c r="GF116" s="140"/>
      <c r="GG116" s="140"/>
      <c r="GH116" s="140"/>
      <c r="GI116" s="140"/>
      <c r="GJ116" s="140"/>
      <c r="GK116" s="140"/>
      <c r="GL116" s="140"/>
      <c r="GM116" s="140"/>
      <c r="GN116" s="140"/>
      <c r="GO116" s="140"/>
      <c r="GP116" s="140"/>
      <c r="GQ116" s="140"/>
      <c r="GR116" s="140"/>
      <c r="GS116" s="140"/>
      <c r="GT116" s="140"/>
      <c r="GU116" s="140"/>
      <c r="GV116" s="140"/>
      <c r="GW116" s="140"/>
      <c r="GX116" s="140"/>
      <c r="GY116" s="140"/>
      <c r="GZ116" s="140"/>
      <c r="HA116" s="140"/>
      <c r="HB116" s="140"/>
      <c r="HC116" s="140"/>
      <c r="HD116" s="140"/>
      <c r="HE116" s="140"/>
      <c r="HF116" s="140"/>
      <c r="HG116" s="140"/>
      <c r="HH116" s="140"/>
      <c r="HI116" s="140"/>
      <c r="HJ116" s="140"/>
      <c r="HK116" s="140"/>
      <c r="HL116" s="140"/>
      <c r="HM116" s="140"/>
      <c r="HN116" s="140"/>
      <c r="HO116" s="140"/>
      <c r="HP116" s="140"/>
      <c r="HQ116" s="140"/>
      <c r="HR116" s="140"/>
      <c r="HS116" s="140"/>
      <c r="HT116" s="140"/>
      <c r="HU116" s="140"/>
      <c r="HV116" s="140"/>
      <c r="HW116" s="140"/>
      <c r="HX116" s="140"/>
      <c r="HY116" s="140"/>
      <c r="HZ116" s="140"/>
      <c r="IA116" s="140"/>
      <c r="IB116" s="140"/>
      <c r="IC116" s="140"/>
      <c r="ID116" s="140"/>
      <c r="IE116" s="140"/>
      <c r="IF116" s="140"/>
      <c r="IG116" s="140"/>
      <c r="IH116" s="140"/>
      <c r="II116" s="140"/>
      <c r="IJ116" s="140"/>
      <c r="IK116" s="140"/>
      <c r="IL116" s="140"/>
      <c r="IM116" s="140"/>
      <c r="IN116" s="140"/>
      <c r="IO116" s="140"/>
      <c r="IP116" s="140"/>
      <c r="IQ116" s="140"/>
      <c r="IR116" s="140"/>
      <c r="IS116" s="140"/>
      <c r="IT116" s="140"/>
      <c r="IU116" s="140"/>
      <c r="IV116" s="140"/>
      <c r="IW116" s="140"/>
    </row>
    <row r="117" customFormat="false" ht="12.75" hidden="false" customHeight="false" outlineLevel="0" collapsed="false">
      <c r="A117" s="15"/>
      <c r="B117" s="16"/>
      <c r="C117" s="16"/>
      <c r="D117" s="17"/>
      <c r="E117" s="17"/>
      <c r="F117" s="15"/>
      <c r="G117" s="15"/>
      <c r="H117" s="16"/>
      <c r="I117" s="18"/>
      <c r="J117" s="19"/>
      <c r="K117" s="66"/>
      <c r="L117" s="19"/>
      <c r="M117" s="19"/>
      <c r="N117" s="20"/>
      <c r="O117" s="19"/>
      <c r="P117" s="21"/>
      <c r="Q117" s="32"/>
      <c r="R117" s="16"/>
      <c r="S117" s="111"/>
      <c r="T117" s="23"/>
      <c r="U117" s="24"/>
      <c r="V117" s="24"/>
    </row>
    <row r="118" customFormat="false" ht="12.75" hidden="false" customHeight="false" outlineLevel="0" collapsed="false">
      <c r="A118" s="72"/>
      <c r="B118" s="67"/>
      <c r="C118" s="67"/>
      <c r="D118" s="73"/>
      <c r="E118" s="73"/>
      <c r="F118" s="72"/>
      <c r="G118" s="72"/>
      <c r="H118" s="67"/>
      <c r="I118" s="75"/>
      <c r="J118" s="66"/>
      <c r="K118" s="66"/>
      <c r="L118" s="66"/>
      <c r="M118" s="66"/>
      <c r="N118" s="76"/>
      <c r="O118" s="66"/>
      <c r="P118" s="126"/>
      <c r="Q118" s="67" t="n">
        <f aca="false">SUM(Q117)</f>
        <v>0</v>
      </c>
      <c r="R118" s="72" t="s">
        <v>177</v>
      </c>
      <c r="S118" s="33" t="n">
        <f aca="false">SUM(S111:S117)</f>
        <v>108050.32652736</v>
      </c>
      <c r="T118" s="34"/>
      <c r="U118" s="35"/>
      <c r="V118" s="35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27"/>
      <c r="CG118" s="127"/>
      <c r="CH118" s="127"/>
      <c r="CI118" s="127"/>
      <c r="CJ118" s="127"/>
      <c r="CK118" s="127"/>
      <c r="CL118" s="127"/>
      <c r="CM118" s="127"/>
      <c r="CN118" s="127"/>
      <c r="CO118" s="127"/>
      <c r="CP118" s="127"/>
      <c r="CQ118" s="127"/>
      <c r="CR118" s="127"/>
      <c r="CS118" s="127"/>
      <c r="CT118" s="127"/>
      <c r="CU118" s="127"/>
      <c r="CV118" s="127"/>
      <c r="CW118" s="127"/>
      <c r="CX118" s="127"/>
      <c r="CY118" s="127"/>
      <c r="CZ118" s="127"/>
      <c r="DA118" s="127"/>
      <c r="DB118" s="127"/>
      <c r="DC118" s="127"/>
      <c r="DD118" s="127"/>
      <c r="DE118" s="127"/>
      <c r="DF118" s="127"/>
      <c r="DG118" s="127"/>
      <c r="DH118" s="127"/>
      <c r="DI118" s="127"/>
      <c r="DJ118" s="127"/>
      <c r="DK118" s="127"/>
      <c r="DL118" s="127"/>
      <c r="DM118" s="127"/>
      <c r="DN118" s="127"/>
      <c r="DO118" s="127"/>
      <c r="DP118" s="127"/>
      <c r="DQ118" s="127"/>
      <c r="DR118" s="127"/>
      <c r="DS118" s="127"/>
      <c r="DT118" s="127"/>
      <c r="DU118" s="127"/>
      <c r="DV118" s="127"/>
      <c r="DW118" s="127"/>
      <c r="DX118" s="127"/>
      <c r="DY118" s="127"/>
      <c r="DZ118" s="127"/>
      <c r="EA118" s="127"/>
      <c r="EB118" s="127"/>
      <c r="EC118" s="127"/>
      <c r="ED118" s="127"/>
      <c r="EE118" s="127"/>
      <c r="EF118" s="127"/>
      <c r="EG118" s="127"/>
      <c r="EH118" s="127"/>
      <c r="EI118" s="127"/>
      <c r="EJ118" s="127"/>
      <c r="EK118" s="127"/>
      <c r="EL118" s="127"/>
      <c r="EM118" s="127"/>
      <c r="EN118" s="127"/>
      <c r="EO118" s="127"/>
      <c r="EP118" s="127"/>
      <c r="EQ118" s="127"/>
      <c r="ER118" s="127"/>
      <c r="ES118" s="127"/>
      <c r="ET118" s="127"/>
      <c r="EU118" s="127"/>
      <c r="EV118" s="127"/>
      <c r="EW118" s="127"/>
      <c r="EX118" s="127"/>
      <c r="EY118" s="127"/>
      <c r="EZ118" s="127"/>
      <c r="FA118" s="127"/>
      <c r="FB118" s="127"/>
      <c r="FC118" s="127"/>
      <c r="FD118" s="127"/>
      <c r="FE118" s="127"/>
      <c r="FF118" s="127"/>
      <c r="FG118" s="127"/>
      <c r="FH118" s="127"/>
      <c r="FI118" s="127"/>
      <c r="FJ118" s="127"/>
      <c r="FK118" s="127"/>
      <c r="FL118" s="127"/>
      <c r="FM118" s="127"/>
      <c r="FN118" s="127"/>
      <c r="FO118" s="127"/>
      <c r="FP118" s="127"/>
      <c r="FQ118" s="127"/>
      <c r="FR118" s="127"/>
      <c r="FS118" s="127"/>
      <c r="FT118" s="127"/>
      <c r="FU118" s="127"/>
      <c r="FV118" s="127"/>
      <c r="FW118" s="127"/>
      <c r="FX118" s="127"/>
      <c r="FY118" s="127"/>
      <c r="FZ118" s="127"/>
      <c r="GA118" s="127"/>
      <c r="GB118" s="127"/>
      <c r="GC118" s="127"/>
      <c r="GD118" s="127"/>
      <c r="GE118" s="127"/>
      <c r="GF118" s="127"/>
      <c r="GG118" s="127"/>
      <c r="GH118" s="127"/>
      <c r="GI118" s="127"/>
      <c r="GJ118" s="127"/>
      <c r="GK118" s="127"/>
      <c r="GL118" s="127"/>
      <c r="GM118" s="127"/>
      <c r="GN118" s="127"/>
      <c r="GO118" s="127"/>
      <c r="GP118" s="127"/>
      <c r="GQ118" s="127"/>
      <c r="GR118" s="127"/>
      <c r="GS118" s="127"/>
      <c r="GT118" s="127"/>
      <c r="GU118" s="127"/>
      <c r="GV118" s="127"/>
      <c r="GW118" s="127"/>
      <c r="GX118" s="127"/>
      <c r="GY118" s="127"/>
      <c r="GZ118" s="127"/>
      <c r="HA118" s="127"/>
      <c r="HB118" s="127"/>
      <c r="HC118" s="127"/>
      <c r="HD118" s="127"/>
      <c r="HE118" s="127"/>
      <c r="HF118" s="127"/>
      <c r="HG118" s="127"/>
      <c r="HH118" s="127"/>
      <c r="HI118" s="127"/>
      <c r="HJ118" s="127"/>
      <c r="HK118" s="127"/>
      <c r="HL118" s="127"/>
      <c r="HM118" s="127"/>
      <c r="HN118" s="127"/>
      <c r="HO118" s="127"/>
      <c r="HP118" s="127"/>
      <c r="HQ118" s="127"/>
      <c r="HR118" s="127"/>
      <c r="HS118" s="127"/>
      <c r="HT118" s="127"/>
      <c r="HU118" s="127"/>
      <c r="HV118" s="127"/>
      <c r="HW118" s="127"/>
      <c r="HX118" s="127"/>
      <c r="HY118" s="127"/>
      <c r="HZ118" s="127"/>
      <c r="IA118" s="127"/>
      <c r="IB118" s="127"/>
      <c r="IC118" s="127"/>
      <c r="ID118" s="127"/>
      <c r="IE118" s="127"/>
      <c r="IF118" s="127"/>
      <c r="IG118" s="127"/>
      <c r="IH118" s="127"/>
      <c r="II118" s="127"/>
      <c r="IJ118" s="127"/>
      <c r="IK118" s="127"/>
      <c r="IL118" s="127"/>
      <c r="IM118" s="127"/>
      <c r="IN118" s="127"/>
      <c r="IO118" s="127"/>
      <c r="IP118" s="127"/>
      <c r="IQ118" s="127"/>
      <c r="IR118" s="127"/>
      <c r="IS118" s="127"/>
      <c r="IT118" s="127"/>
      <c r="IU118" s="127"/>
      <c r="IV118" s="127"/>
      <c r="IW118" s="127"/>
    </row>
    <row r="119" customFormat="false" ht="12.75" hidden="false" customHeight="false" outlineLevel="0" collapsed="false">
      <c r="A119" s="15"/>
      <c r="B119" s="16"/>
      <c r="C119" s="16"/>
      <c r="D119" s="17"/>
      <c r="E119" s="17"/>
      <c r="F119" s="15"/>
      <c r="G119" s="15"/>
      <c r="H119" s="16"/>
      <c r="I119" s="18"/>
      <c r="J119" s="19"/>
      <c r="K119" s="19"/>
      <c r="L119" s="19"/>
      <c r="M119" s="19"/>
      <c r="N119" s="20"/>
      <c r="O119" s="19"/>
      <c r="P119" s="21"/>
      <c r="Q119" s="69"/>
      <c r="R119" s="72" t="s">
        <v>178</v>
      </c>
      <c r="S119" s="33" t="n">
        <v>0</v>
      </c>
      <c r="T119" s="23"/>
      <c r="U119" s="24"/>
      <c r="V119" s="24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3.5" hidden="false" customHeight="false" outlineLevel="0" collapsed="false">
      <c r="A120" s="15"/>
      <c r="B120" s="16"/>
      <c r="C120" s="16"/>
      <c r="D120" s="17"/>
      <c r="E120" s="17"/>
      <c r="F120" s="15"/>
      <c r="G120" s="15"/>
      <c r="H120" s="16"/>
      <c r="I120" s="18"/>
      <c r="J120" s="19"/>
      <c r="K120" s="19"/>
      <c r="L120" s="19"/>
      <c r="M120" s="19"/>
      <c r="N120" s="20"/>
      <c r="O120" s="19"/>
      <c r="P120" s="21"/>
      <c r="Q120" s="69"/>
      <c r="R120" s="72" t="s">
        <v>179</v>
      </c>
      <c r="S120" s="128" t="n">
        <f aca="false">+S118-S119</f>
        <v>108050.32652736</v>
      </c>
      <c r="T120" s="23"/>
      <c r="U120" s="24"/>
      <c r="V120" s="24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3.5" hidden="false" customHeight="false" outlineLevel="0" collapsed="false">
      <c r="A121" s="15"/>
      <c r="B121" s="16"/>
      <c r="C121" s="16"/>
      <c r="D121" s="17"/>
      <c r="E121" s="17"/>
      <c r="F121" s="15"/>
      <c r="G121" s="15"/>
      <c r="H121" s="16"/>
      <c r="I121" s="18"/>
      <c r="J121" s="19"/>
      <c r="K121" s="19"/>
      <c r="L121" s="19"/>
      <c r="M121" s="19"/>
      <c r="N121" s="20"/>
      <c r="O121" s="19"/>
      <c r="P121" s="21"/>
      <c r="Q121" s="16"/>
      <c r="R121" s="15"/>
      <c r="S121" s="22"/>
      <c r="T121" s="23"/>
      <c r="U121" s="24"/>
      <c r="V121" s="24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103" t="s">
        <v>101</v>
      </c>
      <c r="B122" s="104" t="s">
        <v>102</v>
      </c>
      <c r="C122" s="104" t="s">
        <v>103</v>
      </c>
      <c r="D122" s="105" t="s">
        <v>104</v>
      </c>
      <c r="E122" s="105"/>
      <c r="F122" s="103" t="s">
        <v>105</v>
      </c>
      <c r="G122" s="103" t="s">
        <v>106</v>
      </c>
      <c r="H122" s="104" t="s">
        <v>107</v>
      </c>
      <c r="I122" s="106" t="s">
        <v>108</v>
      </c>
      <c r="J122" s="104" t="s">
        <v>109</v>
      </c>
      <c r="K122" s="104" t="s">
        <v>110</v>
      </c>
      <c r="L122" s="104" t="s">
        <v>111</v>
      </c>
      <c r="M122" s="104" t="s">
        <v>112</v>
      </c>
      <c r="N122" s="107" t="s">
        <v>113</v>
      </c>
      <c r="O122" s="104" t="s">
        <v>114</v>
      </c>
      <c r="P122" s="108" t="s">
        <v>115</v>
      </c>
      <c r="Q122" s="104" t="s">
        <v>116</v>
      </c>
      <c r="R122" s="103" t="s">
        <v>117</v>
      </c>
      <c r="S122" s="84" t="s">
        <v>184</v>
      </c>
      <c r="T122" s="86"/>
      <c r="U122" s="86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09"/>
      <c r="BY122" s="109"/>
      <c r="BZ122" s="109"/>
      <c r="CA122" s="109"/>
      <c r="CB122" s="109"/>
      <c r="CC122" s="109"/>
      <c r="CD122" s="109"/>
      <c r="CE122" s="109"/>
      <c r="CF122" s="109"/>
      <c r="CG122" s="109"/>
      <c r="CH122" s="109"/>
      <c r="CI122" s="109"/>
      <c r="CJ122" s="109"/>
      <c r="CK122" s="109"/>
      <c r="CL122" s="109"/>
      <c r="CM122" s="109"/>
      <c r="CN122" s="109"/>
      <c r="CO122" s="109"/>
      <c r="CP122" s="109"/>
      <c r="CQ122" s="109"/>
      <c r="CR122" s="109"/>
      <c r="CS122" s="109"/>
      <c r="CT122" s="109"/>
      <c r="CU122" s="109"/>
      <c r="CV122" s="109"/>
      <c r="CW122" s="109"/>
      <c r="CX122" s="109"/>
      <c r="CY122" s="109"/>
      <c r="CZ122" s="109"/>
      <c r="DA122" s="109"/>
      <c r="DB122" s="109"/>
      <c r="DC122" s="109"/>
      <c r="DD122" s="109"/>
      <c r="DE122" s="109"/>
      <c r="DF122" s="109"/>
      <c r="DG122" s="109"/>
      <c r="DH122" s="109"/>
      <c r="DI122" s="109"/>
      <c r="DJ122" s="109"/>
      <c r="DK122" s="109"/>
      <c r="DL122" s="109"/>
      <c r="DM122" s="109"/>
      <c r="DN122" s="109"/>
      <c r="DO122" s="109"/>
      <c r="DP122" s="109"/>
      <c r="DQ122" s="109"/>
      <c r="DR122" s="109"/>
      <c r="DS122" s="109"/>
      <c r="DT122" s="109"/>
      <c r="DU122" s="109"/>
      <c r="DV122" s="109"/>
      <c r="DW122" s="109"/>
      <c r="DX122" s="109"/>
      <c r="DY122" s="109"/>
      <c r="DZ122" s="109"/>
      <c r="EA122" s="109"/>
      <c r="EB122" s="109"/>
      <c r="EC122" s="109"/>
      <c r="ED122" s="109"/>
      <c r="EE122" s="109"/>
      <c r="EF122" s="109"/>
      <c r="EG122" s="109"/>
      <c r="EH122" s="109"/>
      <c r="EI122" s="109"/>
      <c r="EJ122" s="109"/>
      <c r="EK122" s="109"/>
      <c r="EL122" s="109"/>
      <c r="EM122" s="109"/>
      <c r="EN122" s="109"/>
      <c r="EO122" s="109"/>
      <c r="EP122" s="109"/>
      <c r="EQ122" s="109"/>
      <c r="ER122" s="109"/>
      <c r="ES122" s="109"/>
      <c r="ET122" s="109"/>
      <c r="EU122" s="109"/>
      <c r="EV122" s="109"/>
      <c r="EW122" s="109"/>
      <c r="EX122" s="109"/>
      <c r="EY122" s="109"/>
      <c r="EZ122" s="109"/>
      <c r="FA122" s="109"/>
      <c r="FB122" s="109"/>
      <c r="FC122" s="109"/>
      <c r="FD122" s="109"/>
      <c r="FE122" s="109"/>
      <c r="FF122" s="109"/>
      <c r="FG122" s="109"/>
      <c r="FH122" s="109"/>
      <c r="FI122" s="109"/>
      <c r="FJ122" s="109"/>
      <c r="FK122" s="109"/>
      <c r="FL122" s="109"/>
      <c r="FM122" s="109"/>
      <c r="FN122" s="109"/>
      <c r="FO122" s="109"/>
      <c r="FP122" s="109"/>
      <c r="FQ122" s="109"/>
      <c r="FR122" s="109"/>
      <c r="FS122" s="109"/>
      <c r="FT122" s="109"/>
      <c r="FU122" s="109"/>
      <c r="FV122" s="109"/>
      <c r="FW122" s="109"/>
      <c r="FX122" s="109"/>
      <c r="FY122" s="109"/>
      <c r="FZ122" s="109"/>
      <c r="GA122" s="109"/>
      <c r="GB122" s="109"/>
      <c r="GC122" s="109"/>
      <c r="GD122" s="109"/>
      <c r="GE122" s="109"/>
      <c r="GF122" s="109"/>
      <c r="GG122" s="109"/>
      <c r="GH122" s="109"/>
      <c r="GI122" s="109"/>
      <c r="GJ122" s="109"/>
      <c r="GK122" s="109"/>
      <c r="GL122" s="109"/>
      <c r="GM122" s="109"/>
      <c r="GN122" s="109"/>
      <c r="GO122" s="109"/>
      <c r="GP122" s="109"/>
      <c r="GQ122" s="109"/>
      <c r="GR122" s="109"/>
      <c r="GS122" s="109"/>
      <c r="GT122" s="109"/>
      <c r="GU122" s="109"/>
      <c r="GV122" s="109"/>
      <c r="GW122" s="109"/>
      <c r="GX122" s="109"/>
      <c r="GY122" s="109"/>
      <c r="GZ122" s="109"/>
      <c r="HA122" s="109"/>
      <c r="HB122" s="109"/>
      <c r="HC122" s="109"/>
      <c r="HD122" s="109"/>
      <c r="HE122" s="109"/>
      <c r="HF122" s="109"/>
      <c r="HG122" s="109"/>
      <c r="HH122" s="109"/>
      <c r="HI122" s="109"/>
      <c r="HJ122" s="109"/>
      <c r="HK122" s="109"/>
      <c r="HL122" s="109"/>
      <c r="HM122" s="109"/>
      <c r="HN122" s="109"/>
      <c r="HO122" s="109"/>
      <c r="HP122" s="109"/>
      <c r="HQ122" s="109"/>
      <c r="HR122" s="109"/>
      <c r="HS122" s="109"/>
      <c r="HT122" s="109"/>
      <c r="HU122" s="109"/>
      <c r="HV122" s="109"/>
      <c r="HW122" s="109"/>
      <c r="HX122" s="109"/>
      <c r="HY122" s="109"/>
      <c r="HZ122" s="109"/>
      <c r="IA122" s="109"/>
      <c r="IB122" s="109"/>
      <c r="IC122" s="109"/>
      <c r="ID122" s="109"/>
      <c r="IE122" s="109"/>
      <c r="IF122" s="109"/>
      <c r="IG122" s="109"/>
      <c r="IH122" s="109"/>
      <c r="II122" s="109"/>
      <c r="IJ122" s="109"/>
      <c r="IK122" s="109"/>
      <c r="IL122" s="109"/>
      <c r="IM122" s="109"/>
      <c r="IN122" s="109"/>
      <c r="IO122" s="109"/>
      <c r="IP122" s="109"/>
      <c r="IQ122" s="109"/>
      <c r="IR122" s="109"/>
      <c r="IS122" s="109"/>
      <c r="IT122" s="109"/>
      <c r="IU122" s="109"/>
      <c r="IV122" s="109"/>
      <c r="IW122" s="109"/>
    </row>
    <row r="123" customFormat="false" ht="12.75" hidden="false" customHeight="false" outlineLevel="0" collapsed="false">
      <c r="A123" s="72" t="s">
        <v>137</v>
      </c>
      <c r="B123" s="67" t="s">
        <v>231</v>
      </c>
      <c r="C123" s="67" t="s">
        <v>232</v>
      </c>
      <c r="D123" s="73" t="n">
        <v>36831</v>
      </c>
      <c r="E123" s="73" t="n">
        <v>36981</v>
      </c>
      <c r="F123" s="72" t="s">
        <v>233</v>
      </c>
      <c r="G123" s="72" t="s">
        <v>234</v>
      </c>
      <c r="H123" s="67" t="s">
        <v>235</v>
      </c>
      <c r="I123" s="75" t="n">
        <v>0.005</v>
      </c>
      <c r="J123" s="66"/>
      <c r="K123" s="66"/>
      <c r="L123" s="66"/>
      <c r="M123" s="66"/>
      <c r="N123" s="130"/>
      <c r="O123" s="66"/>
      <c r="P123" s="126" t="s">
        <v>236</v>
      </c>
      <c r="Q123" s="67" t="n">
        <v>18225</v>
      </c>
      <c r="R123" s="72" t="s">
        <v>237</v>
      </c>
      <c r="S123" s="33" t="n">
        <f aca="false">+I123*Q123*I$1</f>
        <v>2551.5</v>
      </c>
      <c r="T123" s="35" t="n">
        <v>457211</v>
      </c>
      <c r="U123" s="35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127"/>
      <c r="CG123" s="127"/>
      <c r="CH123" s="127"/>
      <c r="CI123" s="127"/>
      <c r="CJ123" s="127"/>
      <c r="CK123" s="127"/>
      <c r="CL123" s="127"/>
      <c r="CM123" s="127"/>
      <c r="CN123" s="127"/>
      <c r="CO123" s="127"/>
      <c r="CP123" s="127"/>
      <c r="CQ123" s="127"/>
      <c r="CR123" s="127"/>
      <c r="CS123" s="127"/>
      <c r="CT123" s="127"/>
      <c r="CU123" s="127"/>
      <c r="CV123" s="127"/>
      <c r="CW123" s="127"/>
      <c r="CX123" s="127"/>
      <c r="CY123" s="127"/>
      <c r="CZ123" s="127"/>
      <c r="DA123" s="127"/>
      <c r="DB123" s="127"/>
      <c r="DC123" s="127"/>
      <c r="DD123" s="127"/>
      <c r="DE123" s="127"/>
      <c r="DF123" s="127"/>
      <c r="DG123" s="127"/>
      <c r="DH123" s="127"/>
      <c r="DI123" s="127"/>
      <c r="DJ123" s="127"/>
      <c r="DK123" s="127"/>
      <c r="DL123" s="127"/>
      <c r="DM123" s="127"/>
      <c r="DN123" s="127"/>
      <c r="DO123" s="127"/>
      <c r="DP123" s="127"/>
      <c r="DQ123" s="127"/>
      <c r="DR123" s="127"/>
      <c r="DS123" s="127"/>
      <c r="DT123" s="127"/>
      <c r="DU123" s="127"/>
      <c r="DV123" s="127"/>
      <c r="DW123" s="127"/>
      <c r="DX123" s="127"/>
      <c r="DY123" s="127"/>
      <c r="DZ123" s="127"/>
      <c r="EA123" s="127"/>
      <c r="EB123" s="127"/>
      <c r="EC123" s="127"/>
      <c r="ED123" s="127"/>
      <c r="EE123" s="127"/>
      <c r="EF123" s="127"/>
      <c r="EG123" s="127"/>
      <c r="EH123" s="127"/>
      <c r="EI123" s="127"/>
      <c r="EJ123" s="127"/>
      <c r="EK123" s="127"/>
      <c r="EL123" s="127"/>
      <c r="EM123" s="127"/>
      <c r="EN123" s="127"/>
      <c r="EO123" s="127"/>
      <c r="EP123" s="127"/>
      <c r="EQ123" s="127"/>
      <c r="ER123" s="127"/>
      <c r="ES123" s="127"/>
      <c r="ET123" s="127"/>
      <c r="EU123" s="127"/>
      <c r="EV123" s="127"/>
      <c r="EW123" s="127"/>
      <c r="EX123" s="127"/>
      <c r="EY123" s="127"/>
      <c r="EZ123" s="127"/>
      <c r="FA123" s="127"/>
      <c r="FB123" s="127"/>
      <c r="FC123" s="127"/>
      <c r="FD123" s="127"/>
      <c r="FE123" s="127"/>
      <c r="FF123" s="127"/>
      <c r="FG123" s="127"/>
      <c r="FH123" s="127"/>
      <c r="FI123" s="127"/>
      <c r="FJ123" s="127"/>
      <c r="FK123" s="127"/>
      <c r="FL123" s="127"/>
      <c r="FM123" s="127"/>
      <c r="FN123" s="127"/>
      <c r="FO123" s="127"/>
      <c r="FP123" s="127"/>
      <c r="FQ123" s="127"/>
      <c r="FR123" s="127"/>
      <c r="FS123" s="127"/>
      <c r="FT123" s="127"/>
      <c r="FU123" s="127"/>
      <c r="FV123" s="127"/>
      <c r="FW123" s="127"/>
      <c r="FX123" s="127"/>
      <c r="FY123" s="127"/>
      <c r="FZ123" s="127"/>
      <c r="GA123" s="127"/>
      <c r="GB123" s="127"/>
      <c r="GC123" s="127"/>
      <c r="GD123" s="127"/>
      <c r="GE123" s="127"/>
      <c r="GF123" s="127"/>
      <c r="GG123" s="127"/>
      <c r="GH123" s="127"/>
      <c r="GI123" s="127"/>
      <c r="GJ123" s="127"/>
      <c r="GK123" s="127"/>
      <c r="GL123" s="127"/>
      <c r="GM123" s="127"/>
      <c r="GN123" s="127"/>
      <c r="GO123" s="127"/>
      <c r="GP123" s="127"/>
      <c r="GQ123" s="127"/>
      <c r="GR123" s="127"/>
      <c r="GS123" s="127"/>
      <c r="GT123" s="127"/>
      <c r="GU123" s="127"/>
      <c r="GV123" s="127"/>
      <c r="GW123" s="127"/>
      <c r="GX123" s="127"/>
      <c r="GY123" s="127"/>
      <c r="GZ123" s="127"/>
      <c r="HA123" s="127"/>
      <c r="HB123" s="127"/>
      <c r="HC123" s="127"/>
      <c r="HD123" s="127"/>
      <c r="HE123" s="127"/>
      <c r="HF123" s="127"/>
      <c r="HG123" s="127"/>
      <c r="HH123" s="127"/>
      <c r="HI123" s="127"/>
      <c r="HJ123" s="127"/>
      <c r="HK123" s="127"/>
      <c r="HL123" s="127"/>
      <c r="HM123" s="127"/>
      <c r="HN123" s="127"/>
      <c r="HO123" s="127"/>
      <c r="HP123" s="127"/>
      <c r="HQ123" s="127"/>
      <c r="HR123" s="127"/>
      <c r="HS123" s="127"/>
      <c r="HT123" s="127"/>
      <c r="HU123" s="127"/>
      <c r="HV123" s="127"/>
      <c r="HW123" s="127"/>
      <c r="HX123" s="127"/>
      <c r="HY123" s="127"/>
      <c r="HZ123" s="127"/>
      <c r="IA123" s="127"/>
      <c r="IB123" s="127"/>
      <c r="IC123" s="127"/>
      <c r="ID123" s="127"/>
      <c r="IE123" s="127"/>
      <c r="IF123" s="127"/>
      <c r="IG123" s="127"/>
      <c r="IH123" s="127"/>
      <c r="II123" s="127"/>
      <c r="IJ123" s="127"/>
      <c r="IK123" s="127"/>
      <c r="IL123" s="127"/>
      <c r="IM123" s="127"/>
      <c r="IN123" s="127"/>
      <c r="IO123" s="127"/>
      <c r="IP123" s="127"/>
      <c r="IQ123" s="127"/>
      <c r="IR123" s="127"/>
      <c r="IS123" s="127"/>
      <c r="IT123" s="127"/>
      <c r="IU123" s="127"/>
      <c r="IV123" s="127"/>
      <c r="IW123" s="127"/>
    </row>
    <row r="124" customFormat="false" ht="12.75" hidden="false" customHeight="false" outlineLevel="0" collapsed="false">
      <c r="A124" s="72" t="s">
        <v>137</v>
      </c>
      <c r="B124" s="67" t="s">
        <v>231</v>
      </c>
      <c r="C124" s="67" t="s">
        <v>232</v>
      </c>
      <c r="D124" s="73" t="n">
        <v>36861</v>
      </c>
      <c r="E124" s="73" t="n">
        <v>36981</v>
      </c>
      <c r="F124" s="72" t="s">
        <v>233</v>
      </c>
      <c r="G124" s="72" t="s">
        <v>234</v>
      </c>
      <c r="H124" s="67" t="s">
        <v>235</v>
      </c>
      <c r="I124" s="75" t="n">
        <v>0.005</v>
      </c>
      <c r="J124" s="66"/>
      <c r="K124" s="66"/>
      <c r="L124" s="66"/>
      <c r="M124" s="66"/>
      <c r="N124" s="130"/>
      <c r="O124" s="66"/>
      <c r="P124" s="126" t="s">
        <v>238</v>
      </c>
      <c r="Q124" s="67" t="n">
        <v>10000</v>
      </c>
      <c r="R124" s="72" t="s">
        <v>239</v>
      </c>
      <c r="S124" s="33" t="n">
        <f aca="false">+I124*Q124*I$1</f>
        <v>1400</v>
      </c>
      <c r="T124" s="35" t="n">
        <v>506635</v>
      </c>
      <c r="U124" s="35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  <c r="CU124" s="127"/>
      <c r="CV124" s="127"/>
      <c r="CW124" s="127"/>
      <c r="CX124" s="127"/>
      <c r="CY124" s="127"/>
      <c r="CZ124" s="127"/>
      <c r="DA124" s="127"/>
      <c r="DB124" s="127"/>
      <c r="DC124" s="127"/>
      <c r="DD124" s="127"/>
      <c r="DE124" s="127"/>
      <c r="DF124" s="127"/>
      <c r="DG124" s="127"/>
      <c r="DH124" s="127"/>
      <c r="DI124" s="127"/>
      <c r="DJ124" s="127"/>
      <c r="DK124" s="127"/>
      <c r="DL124" s="127"/>
      <c r="DM124" s="127"/>
      <c r="DN124" s="127"/>
      <c r="DO124" s="127"/>
      <c r="DP124" s="127"/>
      <c r="DQ124" s="127"/>
      <c r="DR124" s="127"/>
      <c r="DS124" s="127"/>
      <c r="DT124" s="127"/>
      <c r="DU124" s="127"/>
      <c r="DV124" s="127"/>
      <c r="DW124" s="127"/>
      <c r="DX124" s="127"/>
      <c r="DY124" s="127"/>
      <c r="DZ124" s="127"/>
      <c r="EA124" s="127"/>
      <c r="EB124" s="127"/>
      <c r="EC124" s="127"/>
      <c r="ED124" s="127"/>
      <c r="EE124" s="127"/>
      <c r="EF124" s="127"/>
      <c r="EG124" s="127"/>
      <c r="EH124" s="127"/>
      <c r="EI124" s="127"/>
      <c r="EJ124" s="127"/>
      <c r="EK124" s="127"/>
      <c r="EL124" s="127"/>
      <c r="EM124" s="127"/>
      <c r="EN124" s="127"/>
      <c r="EO124" s="127"/>
      <c r="EP124" s="127"/>
      <c r="EQ124" s="127"/>
      <c r="ER124" s="127"/>
      <c r="ES124" s="127"/>
      <c r="ET124" s="127"/>
      <c r="EU124" s="127"/>
      <c r="EV124" s="127"/>
      <c r="EW124" s="127"/>
      <c r="EX124" s="127"/>
      <c r="EY124" s="127"/>
      <c r="EZ124" s="127"/>
      <c r="FA124" s="127"/>
      <c r="FB124" s="127"/>
      <c r="FC124" s="127"/>
      <c r="FD124" s="127"/>
      <c r="FE124" s="127"/>
      <c r="FF124" s="127"/>
      <c r="FG124" s="127"/>
      <c r="FH124" s="127"/>
      <c r="FI124" s="127"/>
      <c r="FJ124" s="127"/>
      <c r="FK124" s="127"/>
      <c r="FL124" s="127"/>
      <c r="FM124" s="127"/>
      <c r="FN124" s="127"/>
      <c r="FO124" s="127"/>
      <c r="FP124" s="127"/>
      <c r="FQ124" s="127"/>
      <c r="FR124" s="127"/>
      <c r="FS124" s="127"/>
      <c r="FT124" s="127"/>
      <c r="FU124" s="127"/>
      <c r="FV124" s="127"/>
      <c r="FW124" s="127"/>
      <c r="FX124" s="127"/>
      <c r="FY124" s="127"/>
      <c r="FZ124" s="127"/>
      <c r="GA124" s="127"/>
      <c r="GB124" s="127"/>
      <c r="GC124" s="127"/>
      <c r="GD124" s="127"/>
      <c r="GE124" s="127"/>
      <c r="GF124" s="127"/>
      <c r="GG124" s="127"/>
      <c r="GH124" s="127"/>
      <c r="GI124" s="127"/>
      <c r="GJ124" s="127"/>
      <c r="GK124" s="127"/>
      <c r="GL124" s="127"/>
      <c r="GM124" s="127"/>
      <c r="GN124" s="127"/>
      <c r="GO124" s="127"/>
      <c r="GP124" s="127"/>
      <c r="GQ124" s="127"/>
      <c r="GR124" s="127"/>
      <c r="GS124" s="127"/>
      <c r="GT124" s="127"/>
      <c r="GU124" s="127"/>
      <c r="GV124" s="127"/>
      <c r="GW124" s="127"/>
      <c r="GX124" s="127"/>
      <c r="GY124" s="127"/>
      <c r="GZ124" s="127"/>
      <c r="HA124" s="127"/>
      <c r="HB124" s="127"/>
      <c r="HC124" s="127"/>
      <c r="HD124" s="127"/>
      <c r="HE124" s="127"/>
      <c r="HF124" s="127"/>
      <c r="HG124" s="127"/>
      <c r="HH124" s="127"/>
      <c r="HI124" s="127"/>
      <c r="HJ124" s="127"/>
      <c r="HK124" s="127"/>
      <c r="HL124" s="127"/>
      <c r="HM124" s="127"/>
      <c r="HN124" s="127"/>
      <c r="HO124" s="127"/>
      <c r="HP124" s="127"/>
      <c r="HQ124" s="127"/>
      <c r="HR124" s="127"/>
      <c r="HS124" s="127"/>
      <c r="HT124" s="127"/>
      <c r="HU124" s="127"/>
      <c r="HV124" s="127"/>
      <c r="HW124" s="127"/>
      <c r="HX124" s="127"/>
      <c r="HY124" s="127"/>
      <c r="HZ124" s="127"/>
      <c r="IA124" s="127"/>
      <c r="IB124" s="127"/>
      <c r="IC124" s="127"/>
      <c r="ID124" s="127"/>
      <c r="IE124" s="127"/>
      <c r="IF124" s="127"/>
      <c r="IG124" s="127"/>
      <c r="IH124" s="127"/>
      <c r="II124" s="127"/>
      <c r="IJ124" s="127"/>
      <c r="IK124" s="127"/>
      <c r="IL124" s="127"/>
      <c r="IM124" s="127"/>
      <c r="IN124" s="127"/>
      <c r="IO124" s="127"/>
      <c r="IP124" s="127"/>
      <c r="IQ124" s="127"/>
      <c r="IR124" s="127"/>
      <c r="IS124" s="127"/>
      <c r="IT124" s="127"/>
      <c r="IU124" s="127"/>
      <c r="IV124" s="127"/>
      <c r="IW124" s="127"/>
    </row>
    <row r="125" customFormat="false" ht="12.75" hidden="false" customHeight="false" outlineLevel="0" collapsed="false">
      <c r="A125" s="72" t="s">
        <v>137</v>
      </c>
      <c r="B125" s="67" t="s">
        <v>231</v>
      </c>
      <c r="C125" s="67" t="s">
        <v>232</v>
      </c>
      <c r="D125" s="73" t="n">
        <v>36931</v>
      </c>
      <c r="E125" s="73" t="n">
        <v>36950</v>
      </c>
      <c r="F125" s="72" t="s">
        <v>240</v>
      </c>
      <c r="G125" s="72" t="s">
        <v>240</v>
      </c>
      <c r="H125" s="67" t="s">
        <v>235</v>
      </c>
      <c r="I125" s="75" t="n">
        <v>0.005</v>
      </c>
      <c r="J125" s="66"/>
      <c r="K125" s="66"/>
      <c r="L125" s="66"/>
      <c r="M125" s="66"/>
      <c r="N125" s="130"/>
      <c r="O125" s="66"/>
      <c r="P125" s="126" t="s">
        <v>241</v>
      </c>
      <c r="Q125" s="67" t="n">
        <v>18000</v>
      </c>
      <c r="R125" s="72" t="s">
        <v>242</v>
      </c>
      <c r="S125" s="33" t="n">
        <f aca="false">+I125*Q125*I$1</f>
        <v>2520</v>
      </c>
      <c r="T125" s="35" t="n">
        <v>612032</v>
      </c>
      <c r="U125" s="35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7"/>
      <c r="CD125" s="127"/>
      <c r="CE125" s="127"/>
      <c r="CF125" s="127"/>
      <c r="CG125" s="127"/>
      <c r="CH125" s="127"/>
      <c r="CI125" s="127"/>
      <c r="CJ125" s="127"/>
      <c r="CK125" s="127"/>
      <c r="CL125" s="127"/>
      <c r="CM125" s="127"/>
      <c r="CN125" s="127"/>
      <c r="CO125" s="127"/>
      <c r="CP125" s="127"/>
      <c r="CQ125" s="127"/>
      <c r="CR125" s="127"/>
      <c r="CS125" s="127"/>
      <c r="CT125" s="127"/>
      <c r="CU125" s="127"/>
      <c r="CV125" s="127"/>
      <c r="CW125" s="127"/>
      <c r="CX125" s="127"/>
      <c r="CY125" s="127"/>
      <c r="CZ125" s="127"/>
      <c r="DA125" s="127"/>
      <c r="DB125" s="127"/>
      <c r="DC125" s="127"/>
      <c r="DD125" s="127"/>
      <c r="DE125" s="127"/>
      <c r="DF125" s="127"/>
      <c r="DG125" s="127"/>
      <c r="DH125" s="127"/>
      <c r="DI125" s="127"/>
      <c r="DJ125" s="127"/>
      <c r="DK125" s="127"/>
      <c r="DL125" s="127"/>
      <c r="DM125" s="127"/>
      <c r="DN125" s="127"/>
      <c r="DO125" s="127"/>
      <c r="DP125" s="127"/>
      <c r="DQ125" s="127"/>
      <c r="DR125" s="127"/>
      <c r="DS125" s="127"/>
      <c r="DT125" s="127"/>
      <c r="DU125" s="127"/>
      <c r="DV125" s="127"/>
      <c r="DW125" s="127"/>
      <c r="DX125" s="127"/>
      <c r="DY125" s="127"/>
      <c r="DZ125" s="127"/>
      <c r="EA125" s="127"/>
      <c r="EB125" s="127"/>
      <c r="EC125" s="127"/>
      <c r="ED125" s="127"/>
      <c r="EE125" s="127"/>
      <c r="EF125" s="127"/>
      <c r="EG125" s="127"/>
      <c r="EH125" s="127"/>
      <c r="EI125" s="127"/>
      <c r="EJ125" s="127"/>
      <c r="EK125" s="127"/>
      <c r="EL125" s="127"/>
      <c r="EM125" s="127"/>
      <c r="EN125" s="127"/>
      <c r="EO125" s="127"/>
      <c r="EP125" s="127"/>
      <c r="EQ125" s="127"/>
      <c r="ER125" s="127"/>
      <c r="ES125" s="127"/>
      <c r="ET125" s="127"/>
      <c r="EU125" s="127"/>
      <c r="EV125" s="127"/>
      <c r="EW125" s="127"/>
      <c r="EX125" s="127"/>
      <c r="EY125" s="127"/>
      <c r="EZ125" s="127"/>
      <c r="FA125" s="127"/>
      <c r="FB125" s="127"/>
      <c r="FC125" s="127"/>
      <c r="FD125" s="127"/>
      <c r="FE125" s="127"/>
      <c r="FF125" s="127"/>
      <c r="FG125" s="127"/>
      <c r="FH125" s="127"/>
      <c r="FI125" s="127"/>
      <c r="FJ125" s="127"/>
      <c r="FK125" s="127"/>
      <c r="FL125" s="127"/>
      <c r="FM125" s="127"/>
      <c r="FN125" s="127"/>
      <c r="FO125" s="127"/>
      <c r="FP125" s="127"/>
      <c r="FQ125" s="127"/>
      <c r="FR125" s="127"/>
      <c r="FS125" s="127"/>
      <c r="FT125" s="127"/>
      <c r="FU125" s="127"/>
      <c r="FV125" s="127"/>
      <c r="FW125" s="127"/>
      <c r="FX125" s="127"/>
      <c r="FY125" s="127"/>
      <c r="FZ125" s="127"/>
      <c r="GA125" s="127"/>
      <c r="GB125" s="127"/>
      <c r="GC125" s="127"/>
      <c r="GD125" s="127"/>
      <c r="GE125" s="127"/>
      <c r="GF125" s="127"/>
      <c r="GG125" s="127"/>
      <c r="GH125" s="127"/>
      <c r="GI125" s="127"/>
      <c r="GJ125" s="127"/>
      <c r="GK125" s="127"/>
      <c r="GL125" s="127"/>
      <c r="GM125" s="127"/>
      <c r="GN125" s="127"/>
      <c r="GO125" s="127"/>
      <c r="GP125" s="127"/>
      <c r="GQ125" s="127"/>
      <c r="GR125" s="127"/>
      <c r="GS125" s="127"/>
      <c r="GT125" s="127"/>
      <c r="GU125" s="127"/>
      <c r="GV125" s="127"/>
      <c r="GW125" s="127"/>
      <c r="GX125" s="127"/>
      <c r="GY125" s="127"/>
      <c r="GZ125" s="127"/>
      <c r="HA125" s="127"/>
      <c r="HB125" s="127"/>
      <c r="HC125" s="127"/>
      <c r="HD125" s="127"/>
      <c r="HE125" s="127"/>
      <c r="HF125" s="127"/>
      <c r="HG125" s="127"/>
      <c r="HH125" s="127"/>
      <c r="HI125" s="127"/>
      <c r="HJ125" s="127"/>
      <c r="HK125" s="127"/>
      <c r="HL125" s="127"/>
      <c r="HM125" s="127"/>
      <c r="HN125" s="127"/>
      <c r="HO125" s="127"/>
      <c r="HP125" s="127"/>
      <c r="HQ125" s="127"/>
      <c r="HR125" s="127"/>
      <c r="HS125" s="127"/>
      <c r="HT125" s="127"/>
      <c r="HU125" s="127"/>
      <c r="HV125" s="127"/>
      <c r="HW125" s="127"/>
      <c r="HX125" s="127"/>
      <c r="HY125" s="127"/>
      <c r="HZ125" s="127"/>
      <c r="IA125" s="127"/>
      <c r="IB125" s="127"/>
      <c r="IC125" s="127"/>
      <c r="ID125" s="127"/>
      <c r="IE125" s="127"/>
      <c r="IF125" s="127"/>
      <c r="IG125" s="127"/>
      <c r="IH125" s="127"/>
      <c r="II125" s="127"/>
      <c r="IJ125" s="127"/>
      <c r="IK125" s="127"/>
      <c r="IL125" s="127"/>
      <c r="IM125" s="127"/>
      <c r="IN125" s="127"/>
      <c r="IO125" s="127"/>
      <c r="IP125" s="127"/>
      <c r="IQ125" s="127"/>
      <c r="IR125" s="127"/>
      <c r="IS125" s="127"/>
      <c r="IT125" s="127"/>
      <c r="IU125" s="127"/>
      <c r="IV125" s="127"/>
      <c r="IW125" s="127"/>
    </row>
    <row r="126" customFormat="false" ht="12.75" hidden="false" customHeight="false" outlineLevel="0" collapsed="false">
      <c r="A126" s="72"/>
      <c r="B126" s="67"/>
      <c r="C126" s="67"/>
      <c r="D126" s="73"/>
      <c r="E126" s="73"/>
      <c r="F126" s="72"/>
      <c r="G126" s="72"/>
      <c r="H126" s="67"/>
      <c r="I126" s="75"/>
      <c r="J126" s="66"/>
      <c r="K126" s="66"/>
      <c r="L126" s="66"/>
      <c r="M126" s="66"/>
      <c r="N126" s="130" t="s">
        <v>1</v>
      </c>
      <c r="O126" s="66"/>
      <c r="P126" s="126"/>
      <c r="Q126" s="67"/>
      <c r="R126" s="72" t="s">
        <v>1</v>
      </c>
      <c r="S126" s="33"/>
      <c r="T126" s="35"/>
      <c r="U126" s="35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  <c r="BM126" s="127"/>
      <c r="BN126" s="127"/>
      <c r="BO126" s="127"/>
      <c r="BP126" s="127"/>
      <c r="BQ126" s="127"/>
      <c r="BR126" s="127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127"/>
      <c r="CE126" s="127"/>
      <c r="CF126" s="127"/>
      <c r="CG126" s="127"/>
      <c r="CH126" s="127"/>
      <c r="CI126" s="127"/>
      <c r="CJ126" s="127"/>
      <c r="CK126" s="127"/>
      <c r="CL126" s="127"/>
      <c r="CM126" s="127"/>
      <c r="CN126" s="127"/>
      <c r="CO126" s="127"/>
      <c r="CP126" s="127"/>
      <c r="CQ126" s="127"/>
      <c r="CR126" s="127"/>
      <c r="CS126" s="127"/>
      <c r="CT126" s="127"/>
      <c r="CU126" s="127"/>
      <c r="CV126" s="127"/>
      <c r="CW126" s="127"/>
      <c r="CX126" s="127"/>
      <c r="CY126" s="127"/>
      <c r="CZ126" s="127"/>
      <c r="DA126" s="127"/>
      <c r="DB126" s="127"/>
      <c r="DC126" s="127"/>
      <c r="DD126" s="127"/>
      <c r="DE126" s="127"/>
      <c r="DF126" s="127"/>
      <c r="DG126" s="127"/>
      <c r="DH126" s="127"/>
      <c r="DI126" s="127"/>
      <c r="DJ126" s="127"/>
      <c r="DK126" s="127"/>
      <c r="DL126" s="127"/>
      <c r="DM126" s="127"/>
      <c r="DN126" s="127"/>
      <c r="DO126" s="127"/>
      <c r="DP126" s="127"/>
      <c r="DQ126" s="127"/>
      <c r="DR126" s="127"/>
      <c r="DS126" s="127"/>
      <c r="DT126" s="127"/>
      <c r="DU126" s="127"/>
      <c r="DV126" s="127"/>
      <c r="DW126" s="127"/>
      <c r="DX126" s="127"/>
      <c r="DY126" s="127"/>
      <c r="DZ126" s="127"/>
      <c r="EA126" s="127"/>
      <c r="EB126" s="127"/>
      <c r="EC126" s="127"/>
      <c r="ED126" s="127"/>
      <c r="EE126" s="127"/>
      <c r="EF126" s="127"/>
      <c r="EG126" s="127"/>
      <c r="EH126" s="127"/>
      <c r="EI126" s="127"/>
      <c r="EJ126" s="127"/>
      <c r="EK126" s="127"/>
      <c r="EL126" s="127"/>
      <c r="EM126" s="127"/>
      <c r="EN126" s="127"/>
      <c r="EO126" s="127"/>
      <c r="EP126" s="127"/>
      <c r="EQ126" s="127"/>
      <c r="ER126" s="127"/>
      <c r="ES126" s="127"/>
      <c r="ET126" s="127"/>
      <c r="EU126" s="127"/>
      <c r="EV126" s="127"/>
      <c r="EW126" s="127"/>
      <c r="EX126" s="127"/>
      <c r="EY126" s="127"/>
      <c r="EZ126" s="127"/>
      <c r="FA126" s="127"/>
      <c r="FB126" s="127"/>
      <c r="FC126" s="127"/>
      <c r="FD126" s="127"/>
      <c r="FE126" s="127"/>
      <c r="FF126" s="127"/>
      <c r="FG126" s="127"/>
      <c r="FH126" s="127"/>
      <c r="FI126" s="127"/>
      <c r="FJ126" s="127"/>
      <c r="FK126" s="127"/>
      <c r="FL126" s="127"/>
      <c r="FM126" s="127"/>
      <c r="FN126" s="127"/>
      <c r="FO126" s="127"/>
      <c r="FP126" s="127"/>
      <c r="FQ126" s="127"/>
      <c r="FR126" s="127"/>
      <c r="FS126" s="127"/>
      <c r="FT126" s="127"/>
      <c r="FU126" s="127"/>
      <c r="FV126" s="127"/>
      <c r="FW126" s="127"/>
      <c r="FX126" s="127"/>
      <c r="FY126" s="127"/>
      <c r="FZ126" s="127"/>
      <c r="GA126" s="127"/>
      <c r="GB126" s="127"/>
      <c r="GC126" s="127"/>
      <c r="GD126" s="127"/>
      <c r="GE126" s="127"/>
      <c r="GF126" s="127"/>
      <c r="GG126" s="127"/>
      <c r="GH126" s="127"/>
      <c r="GI126" s="127"/>
      <c r="GJ126" s="127"/>
      <c r="GK126" s="127"/>
      <c r="GL126" s="127"/>
      <c r="GM126" s="127"/>
      <c r="GN126" s="127"/>
      <c r="GO126" s="127"/>
      <c r="GP126" s="127"/>
      <c r="GQ126" s="127"/>
      <c r="GR126" s="127"/>
      <c r="GS126" s="127"/>
      <c r="GT126" s="127"/>
      <c r="GU126" s="127"/>
      <c r="GV126" s="127"/>
      <c r="GW126" s="127"/>
      <c r="GX126" s="127"/>
      <c r="GY126" s="127"/>
      <c r="GZ126" s="127"/>
      <c r="HA126" s="127"/>
      <c r="HB126" s="127"/>
      <c r="HC126" s="127"/>
      <c r="HD126" s="127"/>
      <c r="HE126" s="127"/>
      <c r="HF126" s="127"/>
      <c r="HG126" s="127"/>
      <c r="HH126" s="127"/>
      <c r="HI126" s="127"/>
      <c r="HJ126" s="127"/>
      <c r="HK126" s="127"/>
      <c r="HL126" s="127"/>
      <c r="HM126" s="127"/>
      <c r="HN126" s="127"/>
      <c r="HO126" s="127"/>
      <c r="HP126" s="127"/>
      <c r="HQ126" s="127"/>
      <c r="HR126" s="127"/>
      <c r="HS126" s="127"/>
      <c r="HT126" s="127"/>
      <c r="HU126" s="127"/>
      <c r="HV126" s="127"/>
      <c r="HW126" s="127"/>
      <c r="HX126" s="127"/>
      <c r="HY126" s="127"/>
      <c r="HZ126" s="127"/>
      <c r="IA126" s="127"/>
      <c r="IB126" s="127"/>
      <c r="IC126" s="127"/>
      <c r="ID126" s="127"/>
      <c r="IE126" s="127"/>
      <c r="IF126" s="127"/>
      <c r="IG126" s="127"/>
      <c r="IH126" s="127"/>
      <c r="II126" s="127"/>
      <c r="IJ126" s="127"/>
      <c r="IK126" s="127"/>
      <c r="IL126" s="127"/>
      <c r="IM126" s="127"/>
      <c r="IN126" s="127"/>
      <c r="IO126" s="127"/>
      <c r="IP126" s="127"/>
      <c r="IQ126" s="127"/>
      <c r="IR126" s="127"/>
      <c r="IS126" s="127"/>
      <c r="IT126" s="127"/>
      <c r="IU126" s="127"/>
      <c r="IV126" s="127"/>
      <c r="IW126" s="127"/>
    </row>
    <row r="127" customFormat="false" ht="12.75" hidden="false" customHeight="false" outlineLevel="0" collapsed="false">
      <c r="A127" s="72"/>
      <c r="B127" s="67"/>
      <c r="C127" s="67"/>
      <c r="D127" s="73"/>
      <c r="E127" s="73"/>
      <c r="F127" s="72"/>
      <c r="G127" s="72"/>
      <c r="H127" s="67"/>
      <c r="I127" s="75"/>
      <c r="J127" s="66"/>
      <c r="K127" s="66"/>
      <c r="L127" s="66"/>
      <c r="M127" s="66"/>
      <c r="N127" s="76"/>
      <c r="O127" s="66"/>
      <c r="P127" s="126"/>
      <c r="Q127" s="67" t="n">
        <f aca="false">SUM(Q123:Q126)</f>
        <v>46225</v>
      </c>
      <c r="R127" s="72" t="s">
        <v>177</v>
      </c>
      <c r="S127" s="33" t="n">
        <f aca="false">SUM(S123:S126)</f>
        <v>6471.5</v>
      </c>
      <c r="T127" s="34"/>
      <c r="U127" s="35"/>
      <c r="V127" s="35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  <c r="BM127" s="127"/>
      <c r="BN127" s="127"/>
      <c r="BO127" s="127"/>
      <c r="BP127" s="127"/>
      <c r="BQ127" s="127"/>
      <c r="BR127" s="127"/>
      <c r="BS127" s="127"/>
      <c r="BT127" s="127"/>
      <c r="BU127" s="127"/>
      <c r="BV127" s="127"/>
      <c r="BW127" s="127"/>
      <c r="BX127" s="127"/>
      <c r="BY127" s="127"/>
      <c r="BZ127" s="127"/>
      <c r="CA127" s="127"/>
      <c r="CB127" s="127"/>
      <c r="CC127" s="127"/>
      <c r="CD127" s="127"/>
      <c r="CE127" s="127"/>
      <c r="CF127" s="127"/>
      <c r="CG127" s="127"/>
      <c r="CH127" s="127"/>
      <c r="CI127" s="127"/>
      <c r="CJ127" s="127"/>
      <c r="CK127" s="127"/>
      <c r="CL127" s="127"/>
      <c r="CM127" s="127"/>
      <c r="CN127" s="127"/>
      <c r="CO127" s="127"/>
      <c r="CP127" s="127"/>
      <c r="CQ127" s="127"/>
      <c r="CR127" s="127"/>
      <c r="CS127" s="127"/>
      <c r="CT127" s="127"/>
      <c r="CU127" s="127"/>
      <c r="CV127" s="127"/>
      <c r="CW127" s="127"/>
      <c r="CX127" s="127"/>
      <c r="CY127" s="127"/>
      <c r="CZ127" s="127"/>
      <c r="DA127" s="127"/>
      <c r="DB127" s="127"/>
      <c r="DC127" s="127"/>
      <c r="DD127" s="127"/>
      <c r="DE127" s="127"/>
      <c r="DF127" s="127"/>
      <c r="DG127" s="127"/>
      <c r="DH127" s="127"/>
      <c r="DI127" s="127"/>
      <c r="DJ127" s="127"/>
      <c r="DK127" s="127"/>
      <c r="DL127" s="127"/>
      <c r="DM127" s="127"/>
      <c r="DN127" s="127"/>
      <c r="DO127" s="127"/>
      <c r="DP127" s="127"/>
      <c r="DQ127" s="127"/>
      <c r="DR127" s="127"/>
      <c r="DS127" s="127"/>
      <c r="DT127" s="127"/>
      <c r="DU127" s="127"/>
      <c r="DV127" s="127"/>
      <c r="DW127" s="127"/>
      <c r="DX127" s="127"/>
      <c r="DY127" s="127"/>
      <c r="DZ127" s="127"/>
      <c r="EA127" s="127"/>
      <c r="EB127" s="127"/>
      <c r="EC127" s="127"/>
      <c r="ED127" s="127"/>
      <c r="EE127" s="127"/>
      <c r="EF127" s="127"/>
      <c r="EG127" s="127"/>
      <c r="EH127" s="127"/>
      <c r="EI127" s="127"/>
      <c r="EJ127" s="127"/>
      <c r="EK127" s="127"/>
      <c r="EL127" s="127"/>
      <c r="EM127" s="127"/>
      <c r="EN127" s="127"/>
      <c r="EO127" s="127"/>
      <c r="EP127" s="127"/>
      <c r="EQ127" s="127"/>
      <c r="ER127" s="127"/>
      <c r="ES127" s="127"/>
      <c r="ET127" s="127"/>
      <c r="EU127" s="127"/>
      <c r="EV127" s="127"/>
      <c r="EW127" s="127"/>
      <c r="EX127" s="127"/>
      <c r="EY127" s="127"/>
      <c r="EZ127" s="127"/>
      <c r="FA127" s="127"/>
      <c r="FB127" s="127"/>
      <c r="FC127" s="127"/>
      <c r="FD127" s="127"/>
      <c r="FE127" s="127"/>
      <c r="FF127" s="127"/>
      <c r="FG127" s="127"/>
      <c r="FH127" s="127"/>
      <c r="FI127" s="127"/>
      <c r="FJ127" s="127"/>
      <c r="FK127" s="127"/>
      <c r="FL127" s="127"/>
      <c r="FM127" s="127"/>
      <c r="FN127" s="127"/>
      <c r="FO127" s="127"/>
      <c r="FP127" s="127"/>
      <c r="FQ127" s="127"/>
      <c r="FR127" s="127"/>
      <c r="FS127" s="127"/>
      <c r="FT127" s="127"/>
      <c r="FU127" s="127"/>
      <c r="FV127" s="127"/>
      <c r="FW127" s="127"/>
      <c r="FX127" s="127"/>
      <c r="FY127" s="127"/>
      <c r="FZ127" s="127"/>
      <c r="GA127" s="127"/>
      <c r="GB127" s="127"/>
      <c r="GC127" s="127"/>
      <c r="GD127" s="127"/>
      <c r="GE127" s="127"/>
      <c r="GF127" s="127"/>
      <c r="GG127" s="127"/>
      <c r="GH127" s="127"/>
      <c r="GI127" s="127"/>
      <c r="GJ127" s="127"/>
      <c r="GK127" s="127"/>
      <c r="GL127" s="127"/>
      <c r="GM127" s="127"/>
      <c r="GN127" s="127"/>
      <c r="GO127" s="127"/>
      <c r="GP127" s="127"/>
      <c r="GQ127" s="127"/>
      <c r="GR127" s="127"/>
      <c r="GS127" s="127"/>
      <c r="GT127" s="127"/>
      <c r="GU127" s="127"/>
      <c r="GV127" s="127"/>
      <c r="GW127" s="127"/>
      <c r="GX127" s="127"/>
      <c r="GY127" s="127"/>
      <c r="GZ127" s="127"/>
      <c r="HA127" s="127"/>
      <c r="HB127" s="127"/>
      <c r="HC127" s="127"/>
      <c r="HD127" s="127"/>
      <c r="HE127" s="127"/>
      <c r="HF127" s="127"/>
      <c r="HG127" s="127"/>
      <c r="HH127" s="127"/>
      <c r="HI127" s="127"/>
      <c r="HJ127" s="127"/>
      <c r="HK127" s="127"/>
      <c r="HL127" s="127"/>
      <c r="HM127" s="127"/>
      <c r="HN127" s="127"/>
      <c r="HO127" s="127"/>
      <c r="HP127" s="127"/>
      <c r="HQ127" s="127"/>
      <c r="HR127" s="127"/>
      <c r="HS127" s="127"/>
      <c r="HT127" s="127"/>
      <c r="HU127" s="127"/>
      <c r="HV127" s="127"/>
      <c r="HW127" s="127"/>
      <c r="HX127" s="127"/>
      <c r="HY127" s="127"/>
      <c r="HZ127" s="127"/>
      <c r="IA127" s="127"/>
      <c r="IB127" s="127"/>
      <c r="IC127" s="127"/>
      <c r="ID127" s="127"/>
      <c r="IE127" s="127"/>
      <c r="IF127" s="127"/>
      <c r="IG127" s="127"/>
      <c r="IH127" s="127"/>
      <c r="II127" s="127"/>
      <c r="IJ127" s="127"/>
      <c r="IK127" s="127"/>
      <c r="IL127" s="127"/>
      <c r="IM127" s="127"/>
      <c r="IN127" s="127"/>
      <c r="IO127" s="127"/>
      <c r="IP127" s="127"/>
      <c r="IQ127" s="127"/>
      <c r="IR127" s="127"/>
      <c r="IS127" s="127"/>
      <c r="IT127" s="127"/>
      <c r="IU127" s="127"/>
      <c r="IV127" s="127"/>
      <c r="IW127" s="127"/>
    </row>
    <row r="128" customFormat="false" ht="12.75" hidden="false" customHeight="false" outlineLevel="0" collapsed="false">
      <c r="A128" s="15"/>
      <c r="B128" s="16"/>
      <c r="C128" s="16"/>
      <c r="D128" s="17"/>
      <c r="E128" s="17"/>
      <c r="F128" s="15"/>
      <c r="G128" s="15"/>
      <c r="H128" s="16"/>
      <c r="I128" s="18"/>
      <c r="J128" s="19"/>
      <c r="K128" s="19"/>
      <c r="L128" s="19"/>
      <c r="M128" s="19"/>
      <c r="N128" s="20"/>
      <c r="O128" s="19"/>
      <c r="P128" s="21"/>
      <c r="Q128" s="69"/>
      <c r="R128" s="72" t="s">
        <v>178</v>
      </c>
      <c r="S128" s="33" t="n">
        <v>0</v>
      </c>
      <c r="T128" s="23"/>
      <c r="U128" s="24"/>
      <c r="V128" s="24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3.5" hidden="false" customHeight="false" outlineLevel="0" collapsed="false">
      <c r="A129" s="15"/>
      <c r="B129" s="16"/>
      <c r="C129" s="16"/>
      <c r="D129" s="17"/>
      <c r="E129" s="17"/>
      <c r="F129" s="15"/>
      <c r="G129" s="15"/>
      <c r="H129" s="16"/>
      <c r="I129" s="18"/>
      <c r="J129" s="19"/>
      <c r="K129" s="19"/>
      <c r="L129" s="19"/>
      <c r="M129" s="19"/>
      <c r="N129" s="20"/>
      <c r="O129" s="19"/>
      <c r="P129" s="21"/>
      <c r="Q129" s="69"/>
      <c r="R129" s="72" t="s">
        <v>179</v>
      </c>
      <c r="S129" s="128" t="n">
        <f aca="false">+S127-S128</f>
        <v>6471.5</v>
      </c>
      <c r="T129" s="23"/>
      <c r="U129" s="24"/>
      <c r="V129" s="24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3.5" hidden="false" customHeight="false" outlineLevel="0" collapsed="false">
      <c r="A130" s="15"/>
      <c r="B130" s="16"/>
      <c r="C130" s="16"/>
      <c r="D130" s="17"/>
      <c r="E130" s="17"/>
      <c r="F130" s="15"/>
      <c r="G130" s="15"/>
      <c r="H130" s="16"/>
      <c r="I130" s="18"/>
      <c r="J130" s="19"/>
      <c r="K130" s="19"/>
      <c r="L130" s="19"/>
      <c r="M130" s="19"/>
      <c r="N130" s="20"/>
      <c r="O130" s="19"/>
      <c r="P130" s="21"/>
      <c r="Q130" s="16"/>
      <c r="R130" s="15"/>
      <c r="S130" s="22"/>
      <c r="T130" s="23"/>
      <c r="U130" s="24"/>
      <c r="V130" s="24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false" customHeight="false" outlineLevel="0" collapsed="false">
      <c r="A131" s="103" t="s">
        <v>101</v>
      </c>
      <c r="B131" s="104" t="s">
        <v>102</v>
      </c>
      <c r="C131" s="104" t="s">
        <v>103</v>
      </c>
      <c r="D131" s="105" t="s">
        <v>104</v>
      </c>
      <c r="E131" s="105"/>
      <c r="F131" s="103" t="s">
        <v>105</v>
      </c>
      <c r="G131" s="103" t="s">
        <v>106</v>
      </c>
      <c r="H131" s="104" t="s">
        <v>107</v>
      </c>
      <c r="I131" s="106" t="s">
        <v>108</v>
      </c>
      <c r="J131" s="104" t="s">
        <v>109</v>
      </c>
      <c r="K131" s="104" t="s">
        <v>110</v>
      </c>
      <c r="L131" s="104" t="s">
        <v>111</v>
      </c>
      <c r="M131" s="104" t="s">
        <v>112</v>
      </c>
      <c r="N131" s="104" t="s">
        <v>243</v>
      </c>
      <c r="O131" s="104" t="s">
        <v>114</v>
      </c>
      <c r="P131" s="108" t="s">
        <v>115</v>
      </c>
      <c r="Q131" s="104" t="s">
        <v>116</v>
      </c>
      <c r="R131" s="103" t="s">
        <v>117</v>
      </c>
      <c r="S131" s="142" t="s">
        <v>184</v>
      </c>
      <c r="T131" s="86"/>
      <c r="U131" s="86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  <c r="BO131" s="109"/>
      <c r="BP131" s="109"/>
      <c r="BQ131" s="109"/>
      <c r="BR131" s="109"/>
      <c r="BS131" s="109"/>
      <c r="BT131" s="109"/>
      <c r="BU131" s="109"/>
      <c r="BV131" s="109"/>
      <c r="BW131" s="109"/>
      <c r="BX131" s="109"/>
      <c r="BY131" s="109"/>
      <c r="BZ131" s="109"/>
      <c r="CA131" s="109"/>
      <c r="CB131" s="109"/>
      <c r="CC131" s="109"/>
      <c r="CD131" s="109"/>
      <c r="CE131" s="109"/>
      <c r="CF131" s="109"/>
      <c r="CG131" s="109"/>
      <c r="CH131" s="109"/>
      <c r="CI131" s="109"/>
      <c r="CJ131" s="109"/>
      <c r="CK131" s="109"/>
      <c r="CL131" s="109"/>
      <c r="CM131" s="109"/>
      <c r="CN131" s="109"/>
      <c r="CO131" s="109"/>
      <c r="CP131" s="109"/>
      <c r="CQ131" s="109"/>
      <c r="CR131" s="109"/>
      <c r="CS131" s="109"/>
      <c r="CT131" s="109"/>
      <c r="CU131" s="109"/>
      <c r="CV131" s="109"/>
      <c r="CW131" s="109"/>
      <c r="CX131" s="109"/>
      <c r="CY131" s="109"/>
      <c r="CZ131" s="109"/>
      <c r="DA131" s="109"/>
      <c r="DB131" s="109"/>
      <c r="DC131" s="109"/>
      <c r="DD131" s="109"/>
      <c r="DE131" s="109"/>
      <c r="DF131" s="109"/>
      <c r="DG131" s="109"/>
      <c r="DH131" s="109"/>
      <c r="DI131" s="109"/>
      <c r="DJ131" s="109"/>
      <c r="DK131" s="109"/>
      <c r="DL131" s="109"/>
      <c r="DM131" s="109"/>
      <c r="DN131" s="109"/>
      <c r="DO131" s="109"/>
      <c r="DP131" s="109"/>
      <c r="DQ131" s="109"/>
      <c r="DR131" s="109"/>
      <c r="DS131" s="109"/>
      <c r="DT131" s="109"/>
      <c r="DU131" s="109"/>
      <c r="DV131" s="109"/>
      <c r="DW131" s="109"/>
      <c r="DX131" s="109"/>
      <c r="DY131" s="109"/>
      <c r="DZ131" s="109"/>
      <c r="EA131" s="109"/>
      <c r="EB131" s="109"/>
      <c r="EC131" s="109"/>
      <c r="ED131" s="109"/>
      <c r="EE131" s="109"/>
      <c r="EF131" s="109"/>
      <c r="EG131" s="109"/>
      <c r="EH131" s="109"/>
      <c r="EI131" s="109"/>
      <c r="EJ131" s="109"/>
      <c r="EK131" s="109"/>
      <c r="EL131" s="109"/>
      <c r="EM131" s="109"/>
      <c r="EN131" s="109"/>
      <c r="EO131" s="109"/>
      <c r="EP131" s="109"/>
      <c r="EQ131" s="109"/>
      <c r="ER131" s="109"/>
      <c r="ES131" s="109"/>
      <c r="ET131" s="109"/>
      <c r="EU131" s="109"/>
      <c r="EV131" s="109"/>
      <c r="EW131" s="109"/>
      <c r="EX131" s="109"/>
      <c r="EY131" s="109"/>
      <c r="EZ131" s="109"/>
      <c r="FA131" s="109"/>
      <c r="FB131" s="109"/>
      <c r="FC131" s="109"/>
      <c r="FD131" s="109"/>
      <c r="FE131" s="109"/>
      <c r="FF131" s="109"/>
      <c r="FG131" s="109"/>
      <c r="FH131" s="109"/>
      <c r="FI131" s="109"/>
      <c r="FJ131" s="109"/>
      <c r="FK131" s="109"/>
      <c r="FL131" s="109"/>
      <c r="FM131" s="109"/>
      <c r="FN131" s="109"/>
      <c r="FO131" s="109"/>
      <c r="FP131" s="109"/>
      <c r="FQ131" s="109"/>
      <c r="FR131" s="109"/>
      <c r="FS131" s="109"/>
      <c r="FT131" s="109"/>
      <c r="FU131" s="109"/>
      <c r="FV131" s="109"/>
      <c r="FW131" s="109"/>
      <c r="FX131" s="109"/>
      <c r="FY131" s="109"/>
      <c r="FZ131" s="109"/>
      <c r="GA131" s="109"/>
      <c r="GB131" s="109"/>
      <c r="GC131" s="109"/>
      <c r="GD131" s="109"/>
      <c r="GE131" s="109"/>
      <c r="GF131" s="109"/>
      <c r="GG131" s="109"/>
      <c r="GH131" s="109"/>
      <c r="GI131" s="109"/>
      <c r="GJ131" s="109"/>
      <c r="GK131" s="109"/>
      <c r="GL131" s="109"/>
      <c r="GM131" s="109"/>
      <c r="GN131" s="109"/>
      <c r="GO131" s="109"/>
      <c r="GP131" s="109"/>
      <c r="GQ131" s="109"/>
      <c r="GR131" s="109"/>
      <c r="GS131" s="109"/>
      <c r="GT131" s="109"/>
      <c r="GU131" s="109"/>
      <c r="GV131" s="109"/>
      <c r="GW131" s="109"/>
      <c r="GX131" s="109"/>
      <c r="GY131" s="109"/>
      <c r="GZ131" s="109"/>
      <c r="HA131" s="109"/>
      <c r="HB131" s="109"/>
      <c r="HC131" s="109"/>
      <c r="HD131" s="109"/>
      <c r="HE131" s="109"/>
      <c r="HF131" s="109"/>
      <c r="HG131" s="109"/>
      <c r="HH131" s="109"/>
      <c r="HI131" s="109"/>
      <c r="HJ131" s="109"/>
      <c r="HK131" s="109"/>
      <c r="HL131" s="109"/>
      <c r="HM131" s="109"/>
      <c r="HN131" s="109"/>
      <c r="HO131" s="109"/>
      <c r="HP131" s="109"/>
      <c r="HQ131" s="109"/>
      <c r="HR131" s="109"/>
      <c r="HS131" s="109"/>
      <c r="HT131" s="109"/>
      <c r="HU131" s="109"/>
      <c r="HV131" s="109"/>
      <c r="HW131" s="109"/>
      <c r="HX131" s="109"/>
      <c r="HY131" s="109"/>
      <c r="HZ131" s="109"/>
      <c r="IA131" s="109"/>
      <c r="IB131" s="109"/>
      <c r="IC131" s="109"/>
      <c r="ID131" s="109"/>
      <c r="IE131" s="109"/>
      <c r="IF131" s="109"/>
      <c r="IG131" s="109"/>
      <c r="IH131" s="109"/>
      <c r="II131" s="109"/>
      <c r="IJ131" s="109"/>
      <c r="IK131" s="109"/>
      <c r="IL131" s="109"/>
      <c r="IM131" s="109"/>
      <c r="IN131" s="109"/>
      <c r="IO131" s="109"/>
      <c r="IP131" s="109"/>
      <c r="IQ131" s="109"/>
      <c r="IR131" s="109"/>
      <c r="IS131" s="109"/>
      <c r="IT131" s="109"/>
      <c r="IU131" s="109"/>
      <c r="IV131" s="109"/>
      <c r="IW131" s="109"/>
    </row>
    <row r="132" customFormat="false" ht="12.75" hidden="false" customHeight="false" outlineLevel="0" collapsed="false">
      <c r="A132" s="15" t="s">
        <v>137</v>
      </c>
      <c r="B132" s="32" t="s">
        <v>244</v>
      </c>
      <c r="C132" s="16" t="s">
        <v>244</v>
      </c>
      <c r="D132" s="17" t="n">
        <v>36831</v>
      </c>
      <c r="E132" s="17" t="n">
        <v>36981</v>
      </c>
      <c r="F132" s="15" t="s">
        <v>245</v>
      </c>
      <c r="G132" s="15" t="s">
        <v>246</v>
      </c>
      <c r="H132" s="32" t="s">
        <v>235</v>
      </c>
      <c r="I132" s="18" t="n">
        <v>0.02</v>
      </c>
      <c r="J132" s="19"/>
      <c r="K132" s="19"/>
      <c r="L132" s="19"/>
      <c r="M132" s="19"/>
      <c r="N132" s="19"/>
      <c r="O132" s="19"/>
      <c r="P132" s="143" t="n">
        <v>3.7324</v>
      </c>
      <c r="Q132" s="16" t="n">
        <v>10000</v>
      </c>
      <c r="R132" s="15" t="s">
        <v>247</v>
      </c>
      <c r="S132" s="22" t="n">
        <f aca="false">I132*$I$1*Q132</f>
        <v>5600</v>
      </c>
      <c r="T132" s="24" t="n">
        <v>459589</v>
      </c>
      <c r="U132" s="24"/>
      <c r="V132" s="25"/>
    </row>
    <row r="133" customFormat="false" ht="12.75" hidden="false" customHeight="false" outlineLevel="0" collapsed="false">
      <c r="A133" s="36" t="s">
        <v>137</v>
      </c>
      <c r="B133" s="144" t="s">
        <v>244</v>
      </c>
      <c r="C133" s="145" t="s">
        <v>244</v>
      </c>
      <c r="D133" s="146" t="n">
        <v>36923</v>
      </c>
      <c r="E133" s="146" t="n">
        <v>36950</v>
      </c>
      <c r="F133" s="36" t="s">
        <v>248</v>
      </c>
      <c r="G133" s="36" t="s">
        <v>249</v>
      </c>
      <c r="H133" s="144" t="s">
        <v>235</v>
      </c>
      <c r="I133" s="147" t="n">
        <f aca="false">0.304/I$1</f>
        <v>0.0108571428571429</v>
      </c>
      <c r="J133" s="148"/>
      <c r="K133" s="148"/>
      <c r="L133" s="148"/>
      <c r="M133" s="148"/>
      <c r="N133" s="148"/>
      <c r="O133" s="148"/>
      <c r="P133" s="149" t="n">
        <v>3.8129</v>
      </c>
      <c r="Q133" s="145" t="n">
        <v>3800</v>
      </c>
      <c r="R133" s="36" t="s">
        <v>250</v>
      </c>
      <c r="S133" s="138" t="n">
        <f aca="false">I133*$I$1*Q133</f>
        <v>1155.2</v>
      </c>
      <c r="T133" s="150" t="n">
        <v>593775</v>
      </c>
      <c r="U133" s="150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51"/>
      <c r="BK133" s="151"/>
      <c r="BL133" s="151"/>
      <c r="BM133" s="151"/>
      <c r="BN133" s="151"/>
      <c r="BO133" s="151"/>
      <c r="BP133" s="151"/>
      <c r="BQ133" s="151"/>
      <c r="BR133" s="151"/>
      <c r="BS133" s="151"/>
      <c r="BT133" s="151"/>
      <c r="BU133" s="151"/>
      <c r="BV133" s="151"/>
      <c r="BW133" s="151"/>
      <c r="BX133" s="151"/>
      <c r="BY133" s="151"/>
      <c r="BZ133" s="151"/>
      <c r="CA133" s="151"/>
      <c r="CB133" s="151"/>
      <c r="CC133" s="151"/>
      <c r="CD133" s="151"/>
      <c r="CE133" s="151"/>
      <c r="CF133" s="151"/>
      <c r="CG133" s="151"/>
      <c r="CH133" s="151"/>
      <c r="CI133" s="151"/>
      <c r="CJ133" s="151"/>
      <c r="CK133" s="151"/>
      <c r="CL133" s="151"/>
      <c r="CM133" s="151"/>
      <c r="CN133" s="151"/>
      <c r="CO133" s="151"/>
      <c r="CP133" s="151"/>
      <c r="CQ133" s="151"/>
      <c r="CR133" s="151"/>
      <c r="CS133" s="151"/>
      <c r="CT133" s="151"/>
      <c r="CU133" s="151"/>
      <c r="CV133" s="151"/>
      <c r="CW133" s="151"/>
      <c r="CX133" s="151"/>
      <c r="CY133" s="151"/>
      <c r="CZ133" s="151"/>
      <c r="DA133" s="151"/>
      <c r="DB133" s="151"/>
      <c r="DC133" s="151"/>
      <c r="DD133" s="151"/>
      <c r="DE133" s="151"/>
      <c r="DF133" s="151"/>
      <c r="DG133" s="151"/>
      <c r="DH133" s="151"/>
      <c r="DI133" s="151"/>
      <c r="DJ133" s="151"/>
      <c r="DK133" s="151"/>
      <c r="DL133" s="151"/>
      <c r="DM133" s="151"/>
      <c r="DN133" s="151"/>
      <c r="DO133" s="151"/>
      <c r="DP133" s="151"/>
      <c r="DQ133" s="151"/>
      <c r="DR133" s="151"/>
      <c r="DS133" s="151"/>
      <c r="DT133" s="151"/>
      <c r="DU133" s="151"/>
      <c r="DV133" s="151"/>
      <c r="DW133" s="151"/>
      <c r="DX133" s="151"/>
      <c r="DY133" s="151"/>
      <c r="DZ133" s="151"/>
      <c r="EA133" s="151"/>
      <c r="EB133" s="151"/>
      <c r="EC133" s="151"/>
      <c r="ED133" s="151"/>
      <c r="EE133" s="151"/>
      <c r="EF133" s="151"/>
      <c r="EG133" s="151"/>
      <c r="EH133" s="151"/>
      <c r="EI133" s="151"/>
      <c r="EJ133" s="151"/>
      <c r="EK133" s="151"/>
      <c r="EL133" s="151"/>
      <c r="EM133" s="151"/>
      <c r="EN133" s="151"/>
      <c r="EO133" s="151"/>
      <c r="EP133" s="151"/>
      <c r="EQ133" s="151"/>
      <c r="ER133" s="151"/>
      <c r="ES133" s="151"/>
      <c r="ET133" s="151"/>
      <c r="EU133" s="151"/>
      <c r="EV133" s="151"/>
      <c r="EW133" s="151"/>
      <c r="EX133" s="151"/>
      <c r="EY133" s="151"/>
      <c r="EZ133" s="151"/>
      <c r="FA133" s="151"/>
      <c r="FB133" s="151"/>
      <c r="FC133" s="151"/>
      <c r="FD133" s="151"/>
      <c r="FE133" s="151"/>
      <c r="FF133" s="151"/>
      <c r="FG133" s="151"/>
      <c r="FH133" s="151"/>
      <c r="FI133" s="151"/>
      <c r="FJ133" s="151"/>
      <c r="FK133" s="151"/>
      <c r="FL133" s="151"/>
      <c r="FM133" s="151"/>
      <c r="FN133" s="151"/>
      <c r="FO133" s="151"/>
      <c r="FP133" s="151"/>
      <c r="FQ133" s="151"/>
      <c r="FR133" s="151"/>
      <c r="FS133" s="151"/>
      <c r="FT133" s="151"/>
      <c r="FU133" s="151"/>
      <c r="FV133" s="151"/>
      <c r="FW133" s="151"/>
      <c r="FX133" s="151"/>
      <c r="FY133" s="151"/>
      <c r="FZ133" s="151"/>
      <c r="GA133" s="151"/>
      <c r="GB133" s="151"/>
      <c r="GC133" s="151"/>
      <c r="GD133" s="151"/>
      <c r="GE133" s="151"/>
      <c r="GF133" s="151"/>
      <c r="GG133" s="151"/>
      <c r="GH133" s="151"/>
      <c r="GI133" s="151"/>
      <c r="GJ133" s="151"/>
      <c r="GK133" s="151"/>
      <c r="GL133" s="151"/>
      <c r="GM133" s="151"/>
      <c r="GN133" s="151"/>
      <c r="GO133" s="151"/>
      <c r="GP133" s="151"/>
      <c r="GQ133" s="151"/>
      <c r="GR133" s="151"/>
      <c r="GS133" s="151"/>
      <c r="GT133" s="151"/>
      <c r="GU133" s="151"/>
      <c r="GV133" s="151"/>
      <c r="GW133" s="151"/>
      <c r="GX133" s="151"/>
      <c r="GY133" s="151"/>
      <c r="GZ133" s="151"/>
      <c r="HA133" s="151"/>
      <c r="HB133" s="151"/>
      <c r="HC133" s="151"/>
      <c r="HD133" s="151"/>
      <c r="HE133" s="151"/>
      <c r="HF133" s="151"/>
      <c r="HG133" s="151"/>
      <c r="HH133" s="151"/>
      <c r="HI133" s="151"/>
      <c r="HJ133" s="151"/>
      <c r="HK133" s="151"/>
      <c r="HL133" s="151"/>
      <c r="HM133" s="151"/>
      <c r="HN133" s="151"/>
      <c r="HO133" s="151"/>
      <c r="HP133" s="151"/>
      <c r="HQ133" s="151"/>
      <c r="HR133" s="151"/>
      <c r="HS133" s="151"/>
      <c r="HT133" s="151"/>
      <c r="HU133" s="151"/>
      <c r="HV133" s="151"/>
      <c r="HW133" s="151"/>
      <c r="HX133" s="151"/>
      <c r="HY133" s="151"/>
      <c r="HZ133" s="151"/>
      <c r="IA133" s="151"/>
      <c r="IB133" s="151"/>
      <c r="IC133" s="151"/>
      <c r="ID133" s="151"/>
      <c r="IE133" s="151"/>
      <c r="IF133" s="151"/>
      <c r="IG133" s="151"/>
      <c r="IH133" s="151"/>
      <c r="II133" s="151"/>
      <c r="IJ133" s="151"/>
      <c r="IK133" s="151"/>
      <c r="IL133" s="151"/>
      <c r="IM133" s="151"/>
      <c r="IN133" s="151"/>
      <c r="IO133" s="151"/>
      <c r="IP133" s="151"/>
      <c r="IQ133" s="151"/>
      <c r="IR133" s="151"/>
      <c r="IS133" s="151"/>
      <c r="IT133" s="151"/>
      <c r="IU133" s="151"/>
      <c r="IV133" s="151"/>
      <c r="IW133" s="151"/>
    </row>
    <row r="134" customFormat="false" ht="12.75" hidden="false" customHeight="false" outlineLevel="0" collapsed="false">
      <c r="A134" s="15"/>
      <c r="B134" s="32"/>
      <c r="C134" s="16"/>
      <c r="D134" s="17"/>
      <c r="E134" s="17"/>
      <c r="F134" s="15"/>
      <c r="G134" s="15"/>
      <c r="H134" s="32"/>
      <c r="I134" s="18"/>
      <c r="J134" s="19"/>
      <c r="K134" s="19"/>
      <c r="L134" s="19"/>
      <c r="M134" s="19"/>
      <c r="N134" s="19"/>
      <c r="O134" s="19"/>
      <c r="P134" s="143"/>
      <c r="Q134" s="16"/>
      <c r="R134" s="15"/>
      <c r="S134" s="22"/>
      <c r="T134" s="24"/>
      <c r="U134" s="24"/>
      <c r="V134" s="25"/>
    </row>
    <row r="135" customFormat="false" ht="12.75" hidden="false" customHeight="false" outlineLevel="0" collapsed="false">
      <c r="N135" s="25"/>
      <c r="P135" s="1"/>
      <c r="Q135" s="1"/>
      <c r="S135" s="152"/>
      <c r="V135" s="25"/>
    </row>
    <row r="136" customFormat="false" ht="12.75" hidden="false" customHeight="false" outlineLevel="0" collapsed="false">
      <c r="A136" s="72"/>
      <c r="B136" s="67"/>
      <c r="C136" s="67"/>
      <c r="D136" s="73"/>
      <c r="E136" s="73"/>
      <c r="F136" s="72"/>
      <c r="G136" s="72"/>
      <c r="H136" s="67"/>
      <c r="I136" s="75"/>
      <c r="J136" s="66"/>
      <c r="K136" s="66"/>
      <c r="L136" s="66"/>
      <c r="M136" s="66"/>
      <c r="N136" s="76"/>
      <c r="O136" s="66"/>
      <c r="P136" s="126"/>
      <c r="Q136" s="67" t="n">
        <f aca="false">SUM(Q132:Q135)</f>
        <v>13800</v>
      </c>
      <c r="R136" s="72" t="s">
        <v>177</v>
      </c>
      <c r="S136" s="33" t="n">
        <f aca="false">SUM(S132:S135)</f>
        <v>6755.2</v>
      </c>
      <c r="T136" s="34"/>
      <c r="U136" s="35"/>
      <c r="V136" s="35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  <c r="BM136" s="127"/>
      <c r="BN136" s="127"/>
      <c r="BO136" s="127"/>
      <c r="BP136" s="127"/>
      <c r="BQ136" s="127"/>
      <c r="BR136" s="127"/>
      <c r="BS136" s="127"/>
      <c r="BT136" s="127"/>
      <c r="BU136" s="127"/>
      <c r="BV136" s="127"/>
      <c r="BW136" s="127"/>
      <c r="BX136" s="127"/>
      <c r="BY136" s="127"/>
      <c r="BZ136" s="127"/>
      <c r="CA136" s="127"/>
      <c r="CB136" s="127"/>
      <c r="CC136" s="127"/>
      <c r="CD136" s="127"/>
      <c r="CE136" s="127"/>
      <c r="CF136" s="127"/>
      <c r="CG136" s="127"/>
      <c r="CH136" s="127"/>
      <c r="CI136" s="127"/>
      <c r="CJ136" s="127"/>
      <c r="CK136" s="127"/>
      <c r="CL136" s="127"/>
      <c r="CM136" s="127"/>
      <c r="CN136" s="127"/>
      <c r="CO136" s="127"/>
      <c r="CP136" s="127"/>
      <c r="CQ136" s="127"/>
      <c r="CR136" s="127"/>
      <c r="CS136" s="127"/>
      <c r="CT136" s="127"/>
      <c r="CU136" s="127"/>
      <c r="CV136" s="127"/>
      <c r="CW136" s="127"/>
      <c r="CX136" s="127"/>
      <c r="CY136" s="127"/>
      <c r="CZ136" s="127"/>
      <c r="DA136" s="127"/>
      <c r="DB136" s="127"/>
      <c r="DC136" s="127"/>
      <c r="DD136" s="127"/>
      <c r="DE136" s="127"/>
      <c r="DF136" s="127"/>
      <c r="DG136" s="127"/>
      <c r="DH136" s="127"/>
      <c r="DI136" s="127"/>
      <c r="DJ136" s="127"/>
      <c r="DK136" s="127"/>
      <c r="DL136" s="127"/>
      <c r="DM136" s="127"/>
      <c r="DN136" s="127"/>
      <c r="DO136" s="127"/>
      <c r="DP136" s="127"/>
      <c r="DQ136" s="127"/>
      <c r="DR136" s="127"/>
      <c r="DS136" s="127"/>
      <c r="DT136" s="127"/>
      <c r="DU136" s="127"/>
      <c r="DV136" s="127"/>
      <c r="DW136" s="127"/>
      <c r="DX136" s="127"/>
      <c r="DY136" s="127"/>
      <c r="DZ136" s="127"/>
      <c r="EA136" s="127"/>
      <c r="EB136" s="127"/>
      <c r="EC136" s="127"/>
      <c r="ED136" s="127"/>
      <c r="EE136" s="127"/>
      <c r="EF136" s="127"/>
      <c r="EG136" s="127"/>
      <c r="EH136" s="127"/>
      <c r="EI136" s="127"/>
      <c r="EJ136" s="127"/>
      <c r="EK136" s="127"/>
      <c r="EL136" s="127"/>
      <c r="EM136" s="127"/>
      <c r="EN136" s="127"/>
      <c r="EO136" s="127"/>
      <c r="EP136" s="127"/>
      <c r="EQ136" s="127"/>
      <c r="ER136" s="127"/>
      <c r="ES136" s="127"/>
      <c r="ET136" s="127"/>
      <c r="EU136" s="127"/>
      <c r="EV136" s="127"/>
      <c r="EW136" s="127"/>
      <c r="EX136" s="127"/>
      <c r="EY136" s="127"/>
      <c r="EZ136" s="127"/>
      <c r="FA136" s="127"/>
      <c r="FB136" s="127"/>
      <c r="FC136" s="127"/>
      <c r="FD136" s="127"/>
      <c r="FE136" s="127"/>
      <c r="FF136" s="127"/>
      <c r="FG136" s="127"/>
      <c r="FH136" s="127"/>
      <c r="FI136" s="127"/>
      <c r="FJ136" s="127"/>
      <c r="FK136" s="127"/>
      <c r="FL136" s="127"/>
      <c r="FM136" s="127"/>
      <c r="FN136" s="127"/>
      <c r="FO136" s="127"/>
      <c r="FP136" s="127"/>
      <c r="FQ136" s="127"/>
      <c r="FR136" s="127"/>
      <c r="FS136" s="127"/>
      <c r="FT136" s="127"/>
      <c r="FU136" s="127"/>
      <c r="FV136" s="127"/>
      <c r="FW136" s="127"/>
      <c r="FX136" s="127"/>
      <c r="FY136" s="127"/>
      <c r="FZ136" s="127"/>
      <c r="GA136" s="127"/>
      <c r="GB136" s="127"/>
      <c r="GC136" s="127"/>
      <c r="GD136" s="127"/>
      <c r="GE136" s="127"/>
      <c r="GF136" s="127"/>
      <c r="GG136" s="127"/>
      <c r="GH136" s="127"/>
      <c r="GI136" s="127"/>
      <c r="GJ136" s="127"/>
      <c r="GK136" s="127"/>
      <c r="GL136" s="127"/>
      <c r="GM136" s="127"/>
      <c r="GN136" s="127"/>
      <c r="GO136" s="127"/>
      <c r="GP136" s="127"/>
      <c r="GQ136" s="127"/>
      <c r="GR136" s="127"/>
      <c r="GS136" s="127"/>
      <c r="GT136" s="127"/>
      <c r="GU136" s="127"/>
      <c r="GV136" s="127"/>
      <c r="GW136" s="127"/>
      <c r="GX136" s="127"/>
      <c r="GY136" s="127"/>
      <c r="GZ136" s="127"/>
      <c r="HA136" s="127"/>
      <c r="HB136" s="127"/>
      <c r="HC136" s="127"/>
      <c r="HD136" s="127"/>
      <c r="HE136" s="127"/>
      <c r="HF136" s="127"/>
      <c r="HG136" s="127"/>
      <c r="HH136" s="127"/>
      <c r="HI136" s="127"/>
      <c r="HJ136" s="127"/>
      <c r="HK136" s="127"/>
      <c r="HL136" s="127"/>
      <c r="HM136" s="127"/>
      <c r="HN136" s="127"/>
      <c r="HO136" s="127"/>
      <c r="HP136" s="127"/>
      <c r="HQ136" s="127"/>
      <c r="HR136" s="127"/>
      <c r="HS136" s="127"/>
      <c r="HT136" s="127"/>
      <c r="HU136" s="127"/>
      <c r="HV136" s="127"/>
      <c r="HW136" s="127"/>
      <c r="HX136" s="127"/>
      <c r="HY136" s="127"/>
      <c r="HZ136" s="127"/>
      <c r="IA136" s="127"/>
      <c r="IB136" s="127"/>
      <c r="IC136" s="127"/>
      <c r="ID136" s="127"/>
      <c r="IE136" s="127"/>
      <c r="IF136" s="127"/>
      <c r="IG136" s="127"/>
      <c r="IH136" s="127"/>
      <c r="II136" s="127"/>
      <c r="IJ136" s="127"/>
      <c r="IK136" s="127"/>
      <c r="IL136" s="127"/>
      <c r="IM136" s="127"/>
      <c r="IN136" s="127"/>
      <c r="IO136" s="127"/>
      <c r="IP136" s="127"/>
      <c r="IQ136" s="127"/>
      <c r="IR136" s="127"/>
      <c r="IS136" s="127"/>
      <c r="IT136" s="127"/>
      <c r="IU136" s="127"/>
      <c r="IV136" s="127"/>
      <c r="IW136" s="127"/>
    </row>
    <row r="137" customFormat="false" ht="12.75" hidden="false" customHeight="false" outlineLevel="0" collapsed="false">
      <c r="A137" s="15"/>
      <c r="B137" s="16"/>
      <c r="C137" s="16"/>
      <c r="D137" s="17"/>
      <c r="E137" s="17"/>
      <c r="F137" s="15"/>
      <c r="G137" s="15"/>
      <c r="H137" s="16"/>
      <c r="I137" s="18"/>
      <c r="J137" s="19"/>
      <c r="K137" s="19"/>
      <c r="L137" s="19"/>
      <c r="M137" s="19"/>
      <c r="N137" s="20"/>
      <c r="O137" s="19"/>
      <c r="P137" s="21"/>
      <c r="Q137" s="69"/>
      <c r="R137" s="72" t="s">
        <v>178</v>
      </c>
      <c r="S137" s="33" t="n">
        <v>0</v>
      </c>
      <c r="T137" s="23"/>
      <c r="U137" s="24"/>
      <c r="V137" s="24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3.5" hidden="false" customHeight="false" outlineLevel="0" collapsed="false">
      <c r="A138" s="15"/>
      <c r="B138" s="16"/>
      <c r="C138" s="16"/>
      <c r="D138" s="17"/>
      <c r="E138" s="17"/>
      <c r="F138" s="15"/>
      <c r="G138" s="15"/>
      <c r="H138" s="16"/>
      <c r="I138" s="18"/>
      <c r="J138" s="19"/>
      <c r="K138" s="19"/>
      <c r="L138" s="19"/>
      <c r="M138" s="19"/>
      <c r="N138" s="20"/>
      <c r="O138" s="19"/>
      <c r="P138" s="21"/>
      <c r="Q138" s="69"/>
      <c r="R138" s="72" t="s">
        <v>179</v>
      </c>
      <c r="S138" s="128" t="n">
        <f aca="false">+S136-S137</f>
        <v>6755.2</v>
      </c>
      <c r="T138" s="23"/>
      <c r="U138" s="24"/>
      <c r="V138" s="24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3.5" hidden="false" customHeight="false" outlineLevel="0" collapsed="false">
      <c r="A139" s="15"/>
      <c r="B139" s="16"/>
      <c r="C139" s="16"/>
      <c r="D139" s="17"/>
      <c r="E139" s="17"/>
      <c r="F139" s="15"/>
      <c r="G139" s="15"/>
      <c r="H139" s="16"/>
      <c r="I139" s="18"/>
      <c r="J139" s="19"/>
      <c r="K139" s="19"/>
      <c r="L139" s="19"/>
      <c r="M139" s="19"/>
      <c r="N139" s="20"/>
      <c r="O139" s="19"/>
      <c r="P139" s="21"/>
      <c r="Q139" s="16"/>
      <c r="R139" s="15"/>
      <c r="S139" s="22"/>
      <c r="T139" s="23"/>
      <c r="U139" s="24"/>
      <c r="V139" s="24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false" outlineLevel="0" collapsed="false">
      <c r="A140" s="15"/>
      <c r="B140" s="16"/>
      <c r="C140" s="16"/>
      <c r="D140" s="17"/>
      <c r="E140" s="17"/>
      <c r="F140" s="15"/>
      <c r="G140" s="15"/>
      <c r="H140" s="16"/>
      <c r="I140" s="18"/>
      <c r="J140" s="19"/>
      <c r="K140" s="66"/>
      <c r="L140" s="19"/>
      <c r="M140" s="19"/>
      <c r="N140" s="20"/>
      <c r="O140" s="19"/>
      <c r="P140" s="126"/>
      <c r="Q140" s="69"/>
      <c r="R140" s="67"/>
      <c r="S140" s="153"/>
      <c r="T140" s="23"/>
      <c r="U140" s="24"/>
      <c r="V140" s="24"/>
    </row>
    <row r="141" customFormat="false" ht="12.75" hidden="false" customHeight="false" outlineLevel="0" collapsed="false">
      <c r="A141" s="15"/>
      <c r="B141" s="16"/>
      <c r="C141" s="16"/>
      <c r="D141" s="17"/>
      <c r="E141" s="17"/>
      <c r="F141" s="15"/>
      <c r="G141" s="15"/>
      <c r="H141" s="16"/>
      <c r="I141" s="18"/>
      <c r="J141" s="19"/>
      <c r="K141" s="66"/>
      <c r="L141" s="19"/>
      <c r="M141" s="19"/>
      <c r="N141" s="154"/>
      <c r="O141" s="19"/>
      <c r="P141" s="126"/>
      <c r="Q141" s="67"/>
      <c r="R141" s="67"/>
      <c r="S141" s="127"/>
      <c r="U141" s="155"/>
      <c r="V141" s="155"/>
    </row>
    <row r="142" customFormat="false" ht="12.75" hidden="false" customHeight="false" outlineLevel="0" collapsed="false">
      <c r="A142" s="15"/>
      <c r="B142" s="16"/>
      <c r="C142" s="16"/>
      <c r="D142" s="17" t="s">
        <v>1</v>
      </c>
      <c r="E142" s="17"/>
      <c r="F142" s="15"/>
      <c r="G142" s="15"/>
      <c r="H142" s="16"/>
      <c r="I142" s="18"/>
      <c r="J142" s="19"/>
      <c r="K142" s="66"/>
      <c r="L142" s="19"/>
      <c r="M142" s="19"/>
      <c r="N142" s="20"/>
      <c r="O142" s="19"/>
      <c r="P142" s="126"/>
      <c r="Q142" s="43"/>
      <c r="R142" s="156"/>
      <c r="S142" s="157"/>
      <c r="T142" s="34"/>
      <c r="U142" s="35"/>
      <c r="V142" s="35"/>
    </row>
    <row r="143" customFormat="false" ht="12.75" hidden="false" customHeight="false" outlineLevel="0" collapsed="false">
      <c r="A143" s="26"/>
      <c r="B143" s="16"/>
      <c r="C143" s="16"/>
      <c r="D143" s="17"/>
      <c r="E143" s="17"/>
      <c r="F143" s="15"/>
      <c r="G143" s="15"/>
      <c r="H143" s="16"/>
      <c r="I143" s="18"/>
      <c r="J143" s="19"/>
      <c r="K143" s="19"/>
      <c r="L143" s="19"/>
      <c r="M143" s="19"/>
      <c r="N143" s="20"/>
      <c r="O143" s="19"/>
      <c r="P143" s="126"/>
      <c r="Q143" s="69"/>
      <c r="R143" s="158" t="s">
        <v>251</v>
      </c>
      <c r="S143" s="157" t="n">
        <f aca="false">SUM(S136,S127,S118,S106,S89,S81,S73,S64,S56,S48,S31)</f>
        <v>2125442.95742736</v>
      </c>
      <c r="T143" s="34"/>
      <c r="U143" s="35"/>
      <c r="V143" s="35"/>
    </row>
    <row r="144" customFormat="false" ht="12.75" hidden="false" customHeight="false" outlineLevel="0" collapsed="false">
      <c r="A144" s="26"/>
      <c r="B144" s="16"/>
      <c r="C144" s="16"/>
      <c r="D144" s="17"/>
      <c r="E144" s="17"/>
      <c r="F144" s="15"/>
      <c r="G144" s="15"/>
      <c r="H144" s="16"/>
      <c r="I144" s="19"/>
      <c r="J144" s="19"/>
      <c r="K144" s="19"/>
      <c r="L144" s="19"/>
      <c r="M144" s="19"/>
      <c r="N144" s="20"/>
      <c r="O144" s="19"/>
      <c r="P144" s="126"/>
      <c r="Q144" s="69"/>
      <c r="R144" s="33" t="s">
        <v>252</v>
      </c>
      <c r="S144" s="157" t="n">
        <f aca="false">SUM(S137,S128,S119,S107,S90,S82,S74,S65,S57,S49,S32)</f>
        <v>302693.2583</v>
      </c>
      <c r="T144" s="34"/>
      <c r="U144" s="35"/>
      <c r="V144" s="35"/>
    </row>
    <row r="145" customFormat="false" ht="13.5" hidden="false" customHeight="false" outlineLevel="0" collapsed="false">
      <c r="A145" s="26"/>
      <c r="B145" s="16"/>
      <c r="C145" s="16"/>
      <c r="D145" s="17"/>
      <c r="E145" s="17"/>
      <c r="F145" s="15"/>
      <c r="G145" s="15"/>
      <c r="H145" s="16"/>
      <c r="I145" s="18"/>
      <c r="J145" s="19"/>
      <c r="K145" s="19"/>
      <c r="L145" s="19"/>
      <c r="M145" s="19"/>
      <c r="N145" s="20"/>
      <c r="O145" s="19"/>
      <c r="P145" s="126"/>
      <c r="Q145" s="69"/>
      <c r="R145" s="33" t="s">
        <v>179</v>
      </c>
      <c r="S145" s="159" t="n">
        <f aca="false">+S143-S144</f>
        <v>1822749.69912736</v>
      </c>
      <c r="T145" s="34"/>
      <c r="U145" s="35"/>
      <c r="V145" s="35"/>
    </row>
    <row r="146" customFormat="false" ht="13.5" hidden="false" customHeight="false" outlineLevel="0" collapsed="false">
      <c r="A146" s="26"/>
      <c r="B146" s="16"/>
      <c r="C146" s="16"/>
      <c r="D146" s="17"/>
      <c r="E146" s="17"/>
      <c r="F146" s="15"/>
      <c r="G146" s="15"/>
      <c r="H146" s="16"/>
      <c r="I146" s="19"/>
      <c r="J146" s="19"/>
      <c r="K146" s="19"/>
      <c r="L146" s="19"/>
      <c r="M146" s="19"/>
      <c r="N146" s="20"/>
      <c r="O146" s="19"/>
      <c r="P146" s="126"/>
      <c r="Q146" s="69"/>
      <c r="R146" s="33"/>
      <c r="S146" s="33"/>
      <c r="T146" s="34"/>
      <c r="U146" s="35"/>
      <c r="V146" s="35"/>
    </row>
    <row r="147" customFormat="false" ht="12.75" hidden="false" customHeight="false" outlineLevel="0" collapsed="false">
      <c r="A147" s="26"/>
      <c r="B147" s="16"/>
      <c r="C147" s="16"/>
      <c r="D147" s="17"/>
      <c r="E147" s="17"/>
      <c r="F147" s="15"/>
      <c r="G147" s="15"/>
      <c r="H147" s="16"/>
      <c r="I147" s="18"/>
      <c r="J147" s="19"/>
      <c r="K147" s="19"/>
      <c r="L147" s="19"/>
      <c r="M147" s="19"/>
      <c r="N147" s="20"/>
      <c r="O147" s="19"/>
      <c r="P147" s="126"/>
      <c r="Q147" s="69"/>
      <c r="R147" s="33"/>
      <c r="S147" s="33"/>
      <c r="T147" s="34"/>
      <c r="U147" s="35"/>
      <c r="V147" s="35"/>
    </row>
    <row r="148" customFormat="false" ht="12.75" hidden="false" customHeight="false" outlineLevel="0" collapsed="false">
      <c r="A148" s="26"/>
      <c r="B148" s="16"/>
      <c r="C148" s="16"/>
      <c r="D148" s="17"/>
      <c r="E148" s="17"/>
      <c r="F148" s="15"/>
      <c r="G148" s="15"/>
      <c r="H148" s="16"/>
      <c r="I148" s="19"/>
      <c r="J148" s="19"/>
      <c r="K148" s="19"/>
      <c r="L148" s="19"/>
      <c r="M148" s="19"/>
      <c r="N148" s="20"/>
      <c r="O148" s="19"/>
      <c r="P148" s="126"/>
      <c r="Q148" s="69"/>
      <c r="R148" s="33"/>
      <c r="S148" s="33"/>
      <c r="T148" s="34"/>
      <c r="U148" s="35"/>
      <c r="V148" s="35"/>
    </row>
    <row r="149" customFormat="false" ht="12.75" hidden="false" customHeight="false" outlineLevel="0" collapsed="false">
      <c r="A149" s="26"/>
      <c r="B149" s="16"/>
      <c r="C149" s="16"/>
      <c r="D149" s="17"/>
      <c r="E149" s="17"/>
      <c r="F149" s="15"/>
      <c r="G149" s="15"/>
      <c r="H149" s="16"/>
      <c r="I149" s="19"/>
      <c r="J149" s="19"/>
      <c r="K149" s="19"/>
      <c r="L149" s="19"/>
      <c r="M149" s="19"/>
      <c r="N149" s="20"/>
      <c r="O149" s="19"/>
      <c r="P149" s="126"/>
      <c r="Q149" s="69"/>
      <c r="R149" s="33"/>
      <c r="S149" s="33"/>
      <c r="T149" s="34"/>
      <c r="U149" s="67"/>
      <c r="V149" s="35"/>
    </row>
    <row r="150" customFormat="false" ht="12.75" hidden="false" customHeight="false" outlineLevel="0" collapsed="false">
      <c r="A150" s="26"/>
      <c r="B150" s="16"/>
      <c r="C150" s="16"/>
      <c r="D150" s="17"/>
      <c r="E150" s="17"/>
      <c r="F150" s="15"/>
      <c r="G150" s="15"/>
      <c r="H150" s="16"/>
      <c r="I150" s="19"/>
      <c r="J150" s="19"/>
      <c r="K150" s="19"/>
      <c r="L150" s="19"/>
      <c r="M150" s="19"/>
      <c r="N150" s="20"/>
      <c r="O150" s="19"/>
      <c r="P150" s="126"/>
      <c r="Q150" s="69"/>
      <c r="R150" s="33"/>
      <c r="S150" s="33"/>
      <c r="T150" s="34"/>
      <c r="U150" s="35"/>
      <c r="V150" s="35"/>
    </row>
    <row r="151" customFormat="false" ht="12.75" hidden="false" customHeight="false" outlineLevel="0" collapsed="false">
      <c r="A151" s="26"/>
      <c r="B151" s="16"/>
      <c r="C151" s="16"/>
      <c r="D151" s="17"/>
      <c r="E151" s="17"/>
      <c r="F151" s="15"/>
      <c r="G151" s="15"/>
      <c r="H151" s="16"/>
      <c r="I151" s="19"/>
      <c r="J151" s="19"/>
      <c r="K151" s="19"/>
      <c r="L151" s="19"/>
      <c r="M151" s="19"/>
      <c r="N151" s="20"/>
      <c r="O151" s="19"/>
      <c r="P151" s="126"/>
      <c r="Q151" s="69"/>
      <c r="R151" s="33"/>
      <c r="S151" s="33"/>
      <c r="T151" s="34"/>
      <c r="U151" s="35"/>
      <c r="V151" s="35"/>
    </row>
    <row r="152" customFormat="false" ht="12.75" hidden="false" customHeight="false" outlineLevel="0" collapsed="false">
      <c r="A152" s="26"/>
      <c r="B152" s="16"/>
      <c r="C152" s="16"/>
      <c r="D152" s="17"/>
      <c r="E152" s="17"/>
      <c r="F152" s="15"/>
      <c r="G152" s="15"/>
      <c r="H152" s="16"/>
      <c r="I152" s="18"/>
      <c r="J152" s="19"/>
      <c r="K152" s="19"/>
      <c r="L152" s="19"/>
      <c r="M152" s="19"/>
      <c r="N152" s="20"/>
      <c r="O152" s="19"/>
      <c r="P152" s="126"/>
      <c r="Q152" s="69"/>
      <c r="R152" s="67"/>
      <c r="S152" s="33"/>
      <c r="T152" s="34"/>
      <c r="U152" s="35"/>
      <c r="V152" s="35"/>
    </row>
    <row r="153" customFormat="false" ht="12.75" hidden="false" customHeight="false" outlineLevel="0" collapsed="false">
      <c r="A153" s="26"/>
      <c r="B153" s="16"/>
      <c r="C153" s="16"/>
      <c r="D153" s="17"/>
      <c r="E153" s="17"/>
      <c r="F153" s="15"/>
      <c r="G153" s="15"/>
      <c r="H153" s="16"/>
      <c r="I153" s="18"/>
      <c r="J153" s="19"/>
      <c r="K153" s="19"/>
      <c r="L153" s="19"/>
      <c r="M153" s="19"/>
      <c r="N153" s="20"/>
      <c r="O153" s="19"/>
      <c r="P153" s="126"/>
      <c r="Q153" s="69"/>
      <c r="R153" s="67"/>
      <c r="S153" s="33"/>
      <c r="T153" s="34"/>
      <c r="U153" s="35"/>
      <c r="V153" s="35"/>
    </row>
    <row r="154" customFormat="false" ht="12.75" hidden="false" customHeight="false" outlineLevel="0" collapsed="false">
      <c r="P154" s="71"/>
      <c r="Q154" s="71"/>
      <c r="R154" s="71"/>
      <c r="S154" s="127"/>
      <c r="T154" s="70"/>
      <c r="U154" s="70"/>
    </row>
    <row r="155" customFormat="false" ht="12.75" hidden="false" customHeight="false" outlineLevel="0" collapsed="false">
      <c r="P155" s="71"/>
      <c r="Q155" s="71"/>
      <c r="R155" s="71"/>
      <c r="S155" s="127"/>
      <c r="T155" s="70"/>
      <c r="U155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I54" activeCellId="0" sqref="I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8.85"/>
    <col collapsed="false" customWidth="false" hidden="false" outlineLevel="0" max="2" min="2" style="25" width="9.14"/>
    <col collapsed="false" customWidth="true" hidden="false" outlineLevel="0" max="3" min="3" style="25" width="10.56"/>
    <col collapsed="false" customWidth="true" hidden="false" outlineLevel="0" max="4" min="4" style="25" width="8.7"/>
    <col collapsed="false" customWidth="true" hidden="false" outlineLevel="0" max="5" min="5" style="25" width="10.99"/>
    <col collapsed="false" customWidth="true" hidden="false" outlineLevel="0" max="6" min="6" style="26" width="12.42"/>
    <col collapsed="false" customWidth="true" hidden="false" outlineLevel="0" max="7" min="7" style="26" width="7.99"/>
    <col collapsed="false" customWidth="true" hidden="false" outlineLevel="0" max="8" min="8" style="25" width="6.41"/>
    <col collapsed="false" customWidth="true" hidden="false" outlineLevel="0" max="9" min="9" style="25" width="8.85"/>
    <col collapsed="false" customWidth="true" hidden="true" outlineLevel="0" max="13" min="10" style="25" width="9.06"/>
    <col collapsed="false" customWidth="true" hidden="true" outlineLevel="0" max="14" min="14" style="27" width="9.06"/>
    <col collapsed="false" customWidth="true" hidden="true" outlineLevel="0" max="15" min="15" style="25" width="9.06"/>
    <col collapsed="false" customWidth="true" hidden="false" outlineLevel="0" max="16" min="16" style="25" width="12.28"/>
    <col collapsed="false" customWidth="false" hidden="false" outlineLevel="0" max="17" min="17" style="25" width="9.14"/>
    <col collapsed="false" customWidth="true" hidden="false" outlineLevel="0" max="18" min="18" style="25" width="19.56"/>
    <col collapsed="false" customWidth="true" hidden="false" outlineLevel="0" max="19" min="19" style="1" width="12.85"/>
    <col collapsed="false" customWidth="false" hidden="false" outlineLevel="0" max="20" min="20" style="25" width="9.14"/>
    <col collapsed="false" customWidth="true" hidden="false" outlineLevel="0" max="21" min="21" style="28" width="13.56"/>
    <col collapsed="false" customWidth="false" hidden="false" outlineLevel="0" max="23" min="22" style="28" width="9.14"/>
    <col collapsed="false" customWidth="true" hidden="false" outlineLevel="0" max="24" min="24" style="25" width="12.42"/>
    <col collapsed="false" customWidth="false" hidden="false" outlineLevel="0" max="257" min="25" style="25" width="9.14"/>
  </cols>
  <sheetData>
    <row r="1" customFormat="false" ht="12.75" hidden="false" customHeight="false" outlineLevel="0" collapsed="false">
      <c r="A1" s="29" t="s">
        <v>253</v>
      </c>
      <c r="B1" s="16"/>
      <c r="C1" s="16"/>
      <c r="D1" s="17"/>
      <c r="E1" s="17"/>
      <c r="F1" s="15"/>
      <c r="G1" s="15"/>
      <c r="H1" s="16" t="s">
        <v>91</v>
      </c>
      <c r="I1" s="30" t="n">
        <v>31</v>
      </c>
      <c r="J1" s="31" t="s">
        <v>92</v>
      </c>
      <c r="K1" s="19"/>
      <c r="L1" s="19"/>
      <c r="M1" s="19"/>
      <c r="N1" s="20"/>
      <c r="O1" s="19"/>
      <c r="P1" s="21"/>
      <c r="Q1" s="32"/>
      <c r="R1" s="33"/>
      <c r="S1" s="33"/>
      <c r="T1" s="33"/>
      <c r="U1" s="34"/>
      <c r="V1" s="35"/>
      <c r="W1" s="35"/>
    </row>
    <row r="2" customFormat="false" ht="12.75" hidden="false" customHeight="false" outlineLevel="0" collapsed="false">
      <c r="A2" s="15" t="s">
        <v>93</v>
      </c>
      <c r="B2" s="15"/>
      <c r="C2" s="15"/>
      <c r="D2" s="17"/>
      <c r="E2" s="17"/>
      <c r="F2" s="15"/>
      <c r="G2" s="15"/>
      <c r="H2" s="16"/>
      <c r="I2" s="30"/>
      <c r="J2" s="31" t="s">
        <v>94</v>
      </c>
      <c r="K2" s="19"/>
      <c r="L2" s="19"/>
      <c r="M2" s="19"/>
      <c r="N2" s="20"/>
      <c r="O2" s="19"/>
      <c r="P2" s="21"/>
      <c r="Q2" s="32"/>
      <c r="R2" s="33"/>
      <c r="S2" s="33"/>
      <c r="T2" s="33"/>
      <c r="U2" s="34"/>
      <c r="V2" s="35"/>
      <c r="W2" s="35"/>
    </row>
    <row r="3" customFormat="false" ht="12.75" hidden="false" customHeight="false" outlineLevel="0" collapsed="false">
      <c r="A3" s="15"/>
      <c r="B3" s="15"/>
      <c r="C3" s="15"/>
      <c r="D3" s="17"/>
      <c r="E3" s="17"/>
      <c r="F3" s="38" t="s">
        <v>1</v>
      </c>
      <c r="G3" s="15" t="s">
        <v>1</v>
      </c>
      <c r="H3" s="32" t="s">
        <v>1</v>
      </c>
      <c r="I3" s="18"/>
      <c r="J3" s="39" t="s">
        <v>1</v>
      </c>
      <c r="K3" s="19"/>
      <c r="L3" s="39" t="s">
        <v>1</v>
      </c>
      <c r="M3" s="19"/>
      <c r="N3" s="20"/>
      <c r="O3" s="39" t="s">
        <v>1</v>
      </c>
      <c r="P3" s="21"/>
      <c r="Q3" s="32"/>
      <c r="R3" s="33"/>
      <c r="S3" s="33"/>
      <c r="T3" s="33"/>
      <c r="U3" s="34"/>
      <c r="V3" s="35"/>
      <c r="W3" s="35"/>
    </row>
    <row r="4" customFormat="false" ht="12.75" hidden="false" customHeight="false" outlineLevel="0" collapsed="false">
      <c r="A4" s="15"/>
      <c r="B4" s="16"/>
      <c r="C4" s="16"/>
      <c r="D4" s="17"/>
      <c r="E4" s="17"/>
      <c r="F4" s="42"/>
      <c r="G4" s="15"/>
      <c r="H4" s="42"/>
      <c r="I4" s="18"/>
      <c r="J4" s="42"/>
      <c r="K4" s="19"/>
      <c r="L4" s="42"/>
      <c r="M4" s="32"/>
      <c r="N4" s="20"/>
      <c r="O4" s="32"/>
      <c r="P4" s="21"/>
      <c r="Q4" s="32"/>
      <c r="R4" s="33"/>
      <c r="S4" s="33"/>
      <c r="T4" s="43"/>
      <c r="U4" s="44"/>
      <c r="V4" s="35"/>
      <c r="W4" s="35"/>
    </row>
    <row r="5" customFormat="false" ht="12.75" hidden="false" customHeight="false" outlineLevel="0" collapsed="false">
      <c r="A5" s="15"/>
      <c r="B5" s="16"/>
      <c r="C5" s="45"/>
      <c r="D5" s="17"/>
      <c r="E5" s="17"/>
      <c r="F5" s="42"/>
      <c r="G5" s="15"/>
      <c r="H5" s="42"/>
      <c r="I5" s="18"/>
      <c r="J5" s="42"/>
      <c r="K5" s="19"/>
      <c r="L5" s="42"/>
      <c r="M5" s="32"/>
      <c r="N5" s="20"/>
      <c r="O5" s="32"/>
      <c r="P5" s="21"/>
      <c r="Q5" s="32"/>
      <c r="R5" s="33"/>
      <c r="S5" s="33"/>
      <c r="T5" s="43"/>
      <c r="U5" s="44"/>
      <c r="V5" s="35"/>
      <c r="W5" s="35"/>
    </row>
    <row r="6" customFormat="false" ht="12.75" hidden="false" customHeight="false" outlineLevel="0" collapsed="false">
      <c r="A6" s="15"/>
      <c r="B6" s="16"/>
      <c r="C6" s="45"/>
      <c r="D6" s="17"/>
      <c r="E6" s="17"/>
      <c r="F6" s="42"/>
      <c r="G6" s="15"/>
      <c r="H6" s="42"/>
      <c r="I6" s="18"/>
      <c r="J6" s="42"/>
      <c r="K6" s="19"/>
      <c r="L6" s="42"/>
      <c r="M6" s="32"/>
      <c r="N6" s="20"/>
      <c r="O6" s="32"/>
      <c r="P6" s="21"/>
      <c r="Q6" s="32"/>
      <c r="R6" s="33"/>
      <c r="S6" s="33"/>
      <c r="T6" s="43"/>
      <c r="U6" s="44"/>
      <c r="V6" s="35"/>
      <c r="W6" s="35"/>
    </row>
    <row r="7" customFormat="false" ht="12.75" hidden="false" customHeight="false" outlineLevel="0" collapsed="false">
      <c r="A7" s="15"/>
      <c r="B7" s="16"/>
      <c r="C7" s="45"/>
      <c r="D7" s="17"/>
      <c r="E7" s="17"/>
      <c r="F7" s="42"/>
      <c r="G7" s="15"/>
      <c r="H7" s="42"/>
      <c r="I7" s="18"/>
      <c r="J7" s="42"/>
      <c r="K7" s="19"/>
      <c r="L7" s="42"/>
      <c r="M7" s="32"/>
      <c r="N7" s="20"/>
      <c r="O7" s="32"/>
      <c r="P7" s="21"/>
      <c r="Q7" s="32"/>
      <c r="R7" s="33"/>
      <c r="S7" s="33"/>
      <c r="T7" s="43"/>
      <c r="U7" s="44"/>
      <c r="V7" s="35"/>
      <c r="W7" s="35"/>
    </row>
    <row r="8" customFormat="false" ht="12.75" hidden="false" customHeight="false" outlineLevel="0" collapsed="false">
      <c r="A8" s="15"/>
      <c r="B8" s="16"/>
      <c r="C8" s="45"/>
      <c r="D8" s="17"/>
      <c r="E8" s="17"/>
      <c r="F8" s="42"/>
      <c r="G8" s="15"/>
      <c r="H8" s="42"/>
      <c r="I8" s="18"/>
      <c r="J8" s="42"/>
      <c r="K8" s="19"/>
      <c r="L8" s="42"/>
      <c r="M8" s="32"/>
      <c r="N8" s="20"/>
      <c r="O8" s="32"/>
      <c r="P8" s="21"/>
      <c r="Q8" s="32"/>
      <c r="R8" s="33"/>
      <c r="S8" s="33"/>
      <c r="T8" s="43"/>
      <c r="U8" s="44"/>
      <c r="V8" s="35"/>
      <c r="W8" s="35"/>
    </row>
    <row r="9" customFormat="false" ht="12.75" hidden="false" customHeight="false" outlineLevel="0" collapsed="false">
      <c r="A9" s="15"/>
      <c r="B9" s="16"/>
      <c r="C9" s="45"/>
      <c r="D9" s="17"/>
      <c r="E9" s="17"/>
      <c r="F9" s="42"/>
      <c r="G9" s="15"/>
      <c r="H9" s="42"/>
      <c r="I9" s="18"/>
      <c r="J9" s="42"/>
      <c r="K9" s="19"/>
      <c r="L9" s="42"/>
      <c r="M9" s="32"/>
      <c r="N9" s="20"/>
      <c r="O9" s="32"/>
      <c r="P9" s="21"/>
      <c r="Q9" s="32"/>
      <c r="R9" s="33"/>
      <c r="S9" s="33"/>
      <c r="T9" s="43"/>
      <c r="U9" s="44"/>
      <c r="V9" s="35"/>
      <c r="W9" s="35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2"/>
      <c r="G10" s="15"/>
      <c r="H10" s="42"/>
      <c r="I10" s="18"/>
      <c r="J10" s="42"/>
      <c r="K10" s="19"/>
      <c r="L10" s="42"/>
      <c r="M10" s="32"/>
      <c r="N10" s="20"/>
      <c r="O10" s="32"/>
      <c r="P10" s="21"/>
      <c r="Q10" s="32"/>
      <c r="R10" s="33"/>
      <c r="S10" s="33"/>
      <c r="T10" s="43"/>
      <c r="U10" s="44"/>
      <c r="V10" s="35"/>
      <c r="W10" s="35"/>
    </row>
    <row r="11" customFormat="false" ht="12.75" hidden="false" customHeight="false" outlineLevel="0" collapsed="false">
      <c r="A11" s="46" t="s">
        <v>101</v>
      </c>
      <c r="B11" s="47" t="s">
        <v>102</v>
      </c>
      <c r="C11" s="47" t="s">
        <v>103</v>
      </c>
      <c r="D11" s="48" t="s">
        <v>104</v>
      </c>
      <c r="E11" s="48"/>
      <c r="F11" s="46" t="s">
        <v>105</v>
      </c>
      <c r="G11" s="46" t="s">
        <v>106</v>
      </c>
      <c r="H11" s="47" t="s">
        <v>107</v>
      </c>
      <c r="I11" s="49" t="s">
        <v>108</v>
      </c>
      <c r="J11" s="47" t="s">
        <v>109</v>
      </c>
      <c r="K11" s="47" t="s">
        <v>110</v>
      </c>
      <c r="L11" s="47" t="s">
        <v>111</v>
      </c>
      <c r="M11" s="47" t="s">
        <v>112</v>
      </c>
      <c r="N11" s="50" t="s">
        <v>113</v>
      </c>
      <c r="O11" s="47" t="s">
        <v>114</v>
      </c>
      <c r="P11" s="160" t="s">
        <v>141</v>
      </c>
      <c r="Q11" s="47" t="s">
        <v>116</v>
      </c>
      <c r="R11" s="46" t="s">
        <v>117</v>
      </c>
      <c r="S11" s="123" t="s">
        <v>118</v>
      </c>
      <c r="T11" s="52" t="s">
        <v>119</v>
      </c>
      <c r="U11" s="53" t="s">
        <v>142</v>
      </c>
      <c r="V11" s="24"/>
      <c r="W11" s="24"/>
    </row>
    <row r="12" customFormat="false" ht="12.75" hidden="false" customHeight="false" outlineLevel="0" collapsed="false">
      <c r="A12" s="15" t="s">
        <v>143</v>
      </c>
      <c r="B12" s="16" t="s">
        <v>254</v>
      </c>
      <c r="C12" s="16"/>
      <c r="D12" s="17"/>
      <c r="E12" s="17"/>
      <c r="F12" s="15"/>
      <c r="G12" s="15"/>
      <c r="H12" s="16" t="s">
        <v>174</v>
      </c>
      <c r="I12" s="18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20" t="n">
        <v>0</v>
      </c>
      <c r="O12" s="19" t="n">
        <f aca="false">SUM(I12:M12)</f>
        <v>0</v>
      </c>
      <c r="P12" s="21"/>
      <c r="Q12" s="16"/>
      <c r="R12" s="15"/>
      <c r="S12" s="22"/>
      <c r="T12" s="22"/>
      <c r="U12" s="23"/>
      <c r="V12" s="24"/>
      <c r="W12" s="2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5"/>
      <c r="B13" s="16"/>
      <c r="C13" s="16"/>
      <c r="D13" s="17"/>
      <c r="E13" s="17"/>
      <c r="F13" s="15"/>
      <c r="G13" s="15"/>
      <c r="H13" s="16"/>
      <c r="I13" s="18"/>
      <c r="J13" s="19"/>
      <c r="K13" s="19"/>
      <c r="L13" s="19"/>
      <c r="M13" s="19"/>
      <c r="N13" s="20"/>
      <c r="O13" s="19"/>
      <c r="P13" s="21"/>
      <c r="Q13" s="16"/>
      <c r="R13" s="15"/>
      <c r="S13" s="22"/>
      <c r="T13" s="22"/>
      <c r="U13" s="23"/>
      <c r="V13" s="24"/>
      <c r="W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3.5" hidden="false" customHeight="true" outlineLevel="0" collapsed="false">
      <c r="A14" s="72" t="s">
        <v>1</v>
      </c>
      <c r="B14" s="69" t="s">
        <v>1</v>
      </c>
      <c r="C14" s="67" t="s">
        <v>1</v>
      </c>
      <c r="D14" s="73" t="s">
        <v>1</v>
      </c>
      <c r="E14" s="73"/>
      <c r="F14" s="72" t="s">
        <v>1</v>
      </c>
      <c r="G14" s="74" t="s">
        <v>1</v>
      </c>
      <c r="H14" s="69" t="s">
        <v>1</v>
      </c>
      <c r="I14" s="75"/>
      <c r="J14" s="66"/>
      <c r="K14" s="66"/>
      <c r="L14" s="66"/>
      <c r="M14" s="66"/>
      <c r="N14" s="76"/>
      <c r="O14" s="66"/>
      <c r="P14" s="77" t="s">
        <v>1</v>
      </c>
      <c r="Q14" s="69" t="e">
        <f aca="false">SUM(#REF!)</f>
        <v>#REF!</v>
      </c>
      <c r="R14" s="72" t="s">
        <v>177</v>
      </c>
      <c r="S14" s="33" t="n">
        <f aca="false">SUM(S12:S13)</f>
        <v>0</v>
      </c>
      <c r="T14" s="43" t="n">
        <f aca="false">SUM(T12)</f>
        <v>0</v>
      </c>
      <c r="U14" s="44"/>
      <c r="V14" s="35"/>
      <c r="W14" s="35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false" customHeight="false" outlineLevel="0" collapsed="false">
      <c r="A15" s="72"/>
      <c r="B15" s="69"/>
      <c r="C15" s="67"/>
      <c r="D15" s="73"/>
      <c r="E15" s="73"/>
      <c r="F15" s="72"/>
      <c r="G15" s="74"/>
      <c r="H15" s="69"/>
      <c r="I15" s="75"/>
      <c r="J15" s="66"/>
      <c r="K15" s="66"/>
      <c r="L15" s="66"/>
      <c r="M15" s="66"/>
      <c r="N15" s="76"/>
      <c r="O15" s="66"/>
      <c r="P15" s="77"/>
      <c r="Q15" s="69"/>
      <c r="R15" s="72" t="s">
        <v>178</v>
      </c>
      <c r="S15" s="33" t="n">
        <v>0</v>
      </c>
      <c r="T15" s="43"/>
      <c r="U15" s="44"/>
      <c r="V15" s="35"/>
      <c r="W15" s="35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3.5" hidden="false" customHeight="false" outlineLevel="0" collapsed="false">
      <c r="A16" s="72"/>
      <c r="B16" s="69"/>
      <c r="C16" s="67"/>
      <c r="D16" s="73"/>
      <c r="E16" s="73"/>
      <c r="F16" s="72"/>
      <c r="G16" s="74"/>
      <c r="H16" s="69"/>
      <c r="I16" s="75"/>
      <c r="J16" s="66"/>
      <c r="K16" s="66"/>
      <c r="L16" s="66"/>
      <c r="M16" s="66"/>
      <c r="N16" s="76"/>
      <c r="O16" s="66"/>
      <c r="P16" s="77"/>
      <c r="Q16" s="69"/>
      <c r="R16" s="72" t="s">
        <v>179</v>
      </c>
      <c r="S16" s="128" t="n">
        <f aca="false">+S14-S15</f>
        <v>0</v>
      </c>
      <c r="T16" s="43"/>
      <c r="U16" s="44"/>
      <c r="V16" s="24"/>
      <c r="W16" s="24"/>
    </row>
    <row r="17" customFormat="false" ht="13.5" hidden="false" customHeight="false" outlineLevel="0" collapsed="false">
      <c r="A17" s="72"/>
      <c r="B17" s="69"/>
      <c r="C17" s="67"/>
      <c r="D17" s="73"/>
      <c r="E17" s="73"/>
      <c r="F17" s="72"/>
      <c r="G17" s="74"/>
      <c r="H17" s="69"/>
      <c r="I17" s="75"/>
      <c r="J17" s="66"/>
      <c r="K17" s="66"/>
      <c r="L17" s="66"/>
      <c r="M17" s="66"/>
      <c r="N17" s="76"/>
      <c r="O17" s="66"/>
      <c r="P17" s="77"/>
      <c r="Q17" s="69"/>
      <c r="R17" s="72"/>
      <c r="S17" s="33"/>
      <c r="T17" s="43"/>
      <c r="U17" s="44"/>
      <c r="V17" s="24"/>
      <c r="W17" s="24"/>
    </row>
    <row r="18" customFormat="false" ht="12.75" hidden="false" customHeight="false" outlineLevel="0" collapsed="false">
      <c r="A18" s="78" t="s">
        <v>101</v>
      </c>
      <c r="B18" s="79" t="s">
        <v>102</v>
      </c>
      <c r="C18" s="79" t="s">
        <v>103</v>
      </c>
      <c r="D18" s="80" t="s">
        <v>104</v>
      </c>
      <c r="E18" s="80"/>
      <c r="F18" s="78" t="s">
        <v>105</v>
      </c>
      <c r="G18" s="78" t="s">
        <v>106</v>
      </c>
      <c r="H18" s="79" t="s">
        <v>107</v>
      </c>
      <c r="I18" s="81" t="s">
        <v>108</v>
      </c>
      <c r="J18" s="79" t="s">
        <v>109</v>
      </c>
      <c r="K18" s="79" t="s">
        <v>110</v>
      </c>
      <c r="L18" s="79" t="s">
        <v>111</v>
      </c>
      <c r="M18" s="79" t="s">
        <v>112</v>
      </c>
      <c r="N18" s="82" t="s">
        <v>113</v>
      </c>
      <c r="O18" s="79" t="s">
        <v>114</v>
      </c>
      <c r="P18" s="83" t="s">
        <v>141</v>
      </c>
      <c r="Q18" s="79" t="s">
        <v>116</v>
      </c>
      <c r="R18" s="78" t="s">
        <v>117</v>
      </c>
      <c r="S18" s="84" t="s">
        <v>118</v>
      </c>
      <c r="T18" s="161" t="s">
        <v>119</v>
      </c>
      <c r="U18" s="85" t="s">
        <v>142</v>
      </c>
      <c r="V18" s="86"/>
      <c r="W18" s="86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customFormat="false" ht="12.75" hidden="false" customHeight="false" outlineLevel="0" collapsed="false">
      <c r="A19" s="15" t="s">
        <v>137</v>
      </c>
      <c r="B19" s="16" t="s">
        <v>50</v>
      </c>
      <c r="C19" s="16" t="s">
        <v>255</v>
      </c>
      <c r="D19" s="17" t="n">
        <v>36861</v>
      </c>
      <c r="E19" s="17" t="n">
        <v>36891</v>
      </c>
      <c r="F19" s="15" t="s">
        <v>256</v>
      </c>
      <c r="G19" s="15" t="s">
        <v>257</v>
      </c>
      <c r="H19" s="16"/>
      <c r="I19" s="18" t="n">
        <f aca="false">3.1/31</f>
        <v>0.1</v>
      </c>
      <c r="J19" s="19"/>
      <c r="K19" s="19"/>
      <c r="L19" s="19"/>
      <c r="M19" s="19"/>
      <c r="N19" s="20"/>
      <c r="O19" s="19"/>
      <c r="P19" s="21"/>
      <c r="Q19" s="16" t="n">
        <v>0</v>
      </c>
      <c r="R19" s="15" t="s">
        <v>258</v>
      </c>
      <c r="S19" s="22" t="n">
        <f aca="false">+Q19*I19*31</f>
        <v>0</v>
      </c>
      <c r="T19" s="22"/>
      <c r="U19" s="23" t="n">
        <v>493086</v>
      </c>
      <c r="V19" s="24"/>
      <c r="W19" s="2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 t="s">
        <v>195</v>
      </c>
      <c r="B20" s="16" t="s">
        <v>50</v>
      </c>
      <c r="C20" s="16"/>
      <c r="D20" s="17"/>
      <c r="E20" s="17"/>
      <c r="F20" s="15"/>
      <c r="G20" s="15"/>
      <c r="H20" s="16" t="s">
        <v>146</v>
      </c>
      <c r="I20" s="18" t="n">
        <v>0</v>
      </c>
      <c r="J20" s="19" t="n">
        <v>0</v>
      </c>
      <c r="K20" s="19" t="n">
        <v>0</v>
      </c>
      <c r="L20" s="19" t="n">
        <v>0</v>
      </c>
      <c r="M20" s="19" t="n">
        <v>0</v>
      </c>
      <c r="N20" s="20" t="n">
        <v>0</v>
      </c>
      <c r="O20" s="19" t="n">
        <f aca="false">SUM(I20:M20)</f>
        <v>0</v>
      </c>
      <c r="P20" s="21"/>
      <c r="Q20" s="16"/>
      <c r="R20" s="15" t="s">
        <v>259</v>
      </c>
      <c r="S20" s="22" t="n">
        <f aca="false">I20*8*Q20</f>
        <v>0</v>
      </c>
      <c r="T20" s="22"/>
      <c r="U20" s="23" t="s">
        <v>260</v>
      </c>
      <c r="V20" s="24"/>
      <c r="W20" s="2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72" t="s">
        <v>1</v>
      </c>
      <c r="B21" s="69" t="s">
        <v>1</v>
      </c>
      <c r="C21" s="67" t="s">
        <v>1</v>
      </c>
      <c r="D21" s="73" t="s">
        <v>1</v>
      </c>
      <c r="E21" s="73"/>
      <c r="F21" s="72" t="s">
        <v>1</v>
      </c>
      <c r="G21" s="74" t="s">
        <v>1</v>
      </c>
      <c r="H21" s="69" t="s">
        <v>1</v>
      </c>
      <c r="I21" s="75"/>
      <c r="J21" s="66"/>
      <c r="K21" s="66"/>
      <c r="L21" s="66"/>
      <c r="M21" s="66"/>
      <c r="N21" s="76"/>
      <c r="O21" s="66"/>
      <c r="P21" s="77" t="s">
        <v>1</v>
      </c>
      <c r="Q21" s="71"/>
      <c r="R21" s="72" t="s">
        <v>1</v>
      </c>
      <c r="S21" s="33"/>
      <c r="T21" s="43" t="n">
        <f aca="false">SUM(T20)</f>
        <v>0</v>
      </c>
      <c r="U21" s="44"/>
      <c r="V21" s="35"/>
      <c r="W21" s="35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</row>
    <row r="22" customFormat="false" ht="12.75" hidden="false" customHeight="false" outlineLevel="0" collapsed="false">
      <c r="A22" s="72"/>
      <c r="B22" s="69"/>
      <c r="C22" s="67"/>
      <c r="D22" s="73"/>
      <c r="E22" s="73"/>
      <c r="F22" s="72"/>
      <c r="G22" s="74"/>
      <c r="H22" s="69"/>
      <c r="I22" s="75"/>
      <c r="J22" s="66"/>
      <c r="K22" s="66"/>
      <c r="L22" s="66"/>
      <c r="M22" s="66"/>
      <c r="N22" s="76"/>
      <c r="O22" s="66"/>
      <c r="P22" s="77"/>
      <c r="Q22" s="67" t="n">
        <f aca="false">SUM(Q20)</f>
        <v>0</v>
      </c>
      <c r="R22" s="72" t="s">
        <v>177</v>
      </c>
      <c r="S22" s="33" t="n">
        <f aca="false">SUM(S18:S21)</f>
        <v>0</v>
      </c>
      <c r="T22" s="43"/>
      <c r="U22" s="44"/>
      <c r="V22" s="35"/>
      <c r="W22" s="35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</row>
    <row r="23" customFormat="false" ht="12.75" hidden="false" customHeight="false" outlineLevel="0" collapsed="false">
      <c r="A23" s="72"/>
      <c r="B23" s="69"/>
      <c r="C23" s="67"/>
      <c r="D23" s="73"/>
      <c r="E23" s="73"/>
      <c r="F23" s="72"/>
      <c r="G23" s="74"/>
      <c r="H23" s="69"/>
      <c r="I23" s="75"/>
      <c r="J23" s="66"/>
      <c r="K23" s="66"/>
      <c r="L23" s="66"/>
      <c r="M23" s="66"/>
      <c r="N23" s="76"/>
      <c r="O23" s="66"/>
      <c r="P23" s="77"/>
      <c r="Q23" s="69"/>
      <c r="R23" s="72" t="s">
        <v>178</v>
      </c>
      <c r="S23" s="33" t="n">
        <v>0</v>
      </c>
      <c r="T23" s="43"/>
      <c r="U23" s="44"/>
      <c r="V23" s="24"/>
      <c r="W23" s="24"/>
    </row>
    <row r="24" customFormat="false" ht="13.5" hidden="false" customHeight="false" outlineLevel="0" collapsed="false">
      <c r="A24" s="72"/>
      <c r="B24" s="69"/>
      <c r="C24" s="67"/>
      <c r="D24" s="73"/>
      <c r="E24" s="73"/>
      <c r="F24" s="72"/>
      <c r="G24" s="74"/>
      <c r="H24" s="69"/>
      <c r="I24" s="75"/>
      <c r="J24" s="66"/>
      <c r="K24" s="66"/>
      <c r="L24" s="66"/>
      <c r="M24" s="66"/>
      <c r="N24" s="76"/>
      <c r="O24" s="66"/>
      <c r="P24" s="77"/>
      <c r="Q24" s="69"/>
      <c r="R24" s="72" t="s">
        <v>179</v>
      </c>
      <c r="S24" s="128" t="n">
        <f aca="false">+S22-S23</f>
        <v>0</v>
      </c>
      <c r="T24" s="43"/>
      <c r="U24" s="44"/>
      <c r="V24" s="24"/>
      <c r="W24" s="24"/>
    </row>
    <row r="25" customFormat="false" ht="13.5" hidden="false" customHeight="false" outlineLevel="0" collapsed="false">
      <c r="A25" s="72"/>
      <c r="B25" s="69"/>
      <c r="C25" s="67"/>
      <c r="D25" s="73"/>
      <c r="E25" s="73"/>
      <c r="F25" s="72"/>
      <c r="G25" s="74"/>
      <c r="H25" s="69"/>
      <c r="I25" s="75"/>
      <c r="J25" s="66"/>
      <c r="K25" s="66"/>
      <c r="L25" s="66"/>
      <c r="M25" s="66"/>
      <c r="N25" s="76"/>
      <c r="O25" s="66"/>
      <c r="P25" s="77"/>
      <c r="Q25" s="69"/>
      <c r="R25" s="72"/>
      <c r="S25" s="33"/>
      <c r="T25" s="43"/>
      <c r="U25" s="44"/>
      <c r="V25" s="24"/>
      <c r="W25" s="24"/>
    </row>
    <row r="26" customFormat="false" ht="12.75" hidden="false" customHeight="false" outlineLevel="0" collapsed="false">
      <c r="A26" s="78" t="s">
        <v>101</v>
      </c>
      <c r="B26" s="79" t="s">
        <v>102</v>
      </c>
      <c r="C26" s="79" t="s">
        <v>103</v>
      </c>
      <c r="D26" s="80" t="s">
        <v>104</v>
      </c>
      <c r="E26" s="80"/>
      <c r="F26" s="78" t="s">
        <v>105</v>
      </c>
      <c r="G26" s="78" t="s">
        <v>106</v>
      </c>
      <c r="H26" s="79" t="s">
        <v>107</v>
      </c>
      <c r="I26" s="81" t="s">
        <v>108</v>
      </c>
      <c r="J26" s="79" t="s">
        <v>109</v>
      </c>
      <c r="K26" s="79" t="s">
        <v>110</v>
      </c>
      <c r="L26" s="79" t="s">
        <v>111</v>
      </c>
      <c r="M26" s="79" t="s">
        <v>112</v>
      </c>
      <c r="N26" s="82" t="s">
        <v>113</v>
      </c>
      <c r="O26" s="79" t="s">
        <v>114</v>
      </c>
      <c r="P26" s="83" t="s">
        <v>141</v>
      </c>
      <c r="Q26" s="79" t="s">
        <v>116</v>
      </c>
      <c r="R26" s="78" t="s">
        <v>117</v>
      </c>
      <c r="S26" s="84" t="s">
        <v>126</v>
      </c>
      <c r="T26" s="161" t="s">
        <v>126</v>
      </c>
      <c r="U26" s="85"/>
      <c r="V26" s="86"/>
      <c r="W26" s="86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  <c r="IU26" s="87"/>
      <c r="IV26" s="87"/>
      <c r="IW26" s="87"/>
    </row>
    <row r="27" customFormat="false" ht="12.75" hidden="false" customHeight="false" outlineLevel="0" collapsed="false">
      <c r="A27" s="15" t="s">
        <v>143</v>
      </c>
      <c r="B27" s="16" t="s">
        <v>127</v>
      </c>
      <c r="C27" s="16" t="s">
        <v>48</v>
      </c>
      <c r="D27" s="17" t="n">
        <v>36312</v>
      </c>
      <c r="E27" s="17" t="n">
        <v>37011</v>
      </c>
      <c r="F27" s="15" t="s">
        <v>261</v>
      </c>
      <c r="G27" s="15" t="s">
        <v>262</v>
      </c>
      <c r="H27" s="16" t="s">
        <v>263</v>
      </c>
      <c r="I27" s="18" t="n">
        <v>0.16</v>
      </c>
      <c r="J27" s="19"/>
      <c r="K27" s="19"/>
      <c r="L27" s="19"/>
      <c r="M27" s="19"/>
      <c r="N27" s="20"/>
      <c r="O27" s="19"/>
      <c r="P27" s="21" t="n">
        <v>65403</v>
      </c>
      <c r="Q27" s="16" t="n">
        <v>19293</v>
      </c>
      <c r="R27" s="15" t="s">
        <v>264</v>
      </c>
      <c r="S27" s="22" t="n">
        <f aca="false">I27*I$1*Q27</f>
        <v>95693.28</v>
      </c>
      <c r="T27" s="162" t="n">
        <f aca="false">0.16*30.417</f>
        <v>4.86672</v>
      </c>
      <c r="U27" s="23" t="n">
        <v>214854</v>
      </c>
      <c r="V27" s="15"/>
      <c r="W27" s="24"/>
      <c r="X27" s="24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5" t="s">
        <v>143</v>
      </c>
      <c r="B28" s="16" t="s">
        <v>127</v>
      </c>
      <c r="C28" s="16" t="s">
        <v>48</v>
      </c>
      <c r="D28" s="17" t="n">
        <v>36861</v>
      </c>
      <c r="E28" s="17" t="n">
        <v>36891</v>
      </c>
      <c r="F28" s="15" t="s">
        <v>265</v>
      </c>
      <c r="G28" s="15" t="s">
        <v>262</v>
      </c>
      <c r="H28" s="16" t="s">
        <v>263</v>
      </c>
      <c r="I28" s="18" t="n">
        <f aca="false">4.65/31</f>
        <v>0.15</v>
      </c>
      <c r="J28" s="19"/>
      <c r="K28" s="19"/>
      <c r="L28" s="19"/>
      <c r="M28" s="19"/>
      <c r="N28" s="20"/>
      <c r="O28" s="19"/>
      <c r="P28" s="21" t="n">
        <v>65403</v>
      </c>
      <c r="Q28" s="16" t="n">
        <v>-5000</v>
      </c>
      <c r="R28" s="15" t="s">
        <v>266</v>
      </c>
      <c r="S28" s="22" t="n">
        <f aca="false">+Q28*I28*I1</f>
        <v>-23250</v>
      </c>
      <c r="T28" s="162"/>
      <c r="U28" s="23" t="n">
        <v>498161</v>
      </c>
      <c r="V28" s="15"/>
      <c r="W28" s="24"/>
      <c r="X28" s="24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5" t="s">
        <v>195</v>
      </c>
      <c r="B29" s="16" t="s">
        <v>127</v>
      </c>
      <c r="C29" s="16" t="s">
        <v>127</v>
      </c>
      <c r="D29" s="17" t="n">
        <v>36617</v>
      </c>
      <c r="E29" s="17" t="n">
        <v>36981</v>
      </c>
      <c r="F29" s="15" t="s">
        <v>267</v>
      </c>
      <c r="G29" s="15" t="s">
        <v>268</v>
      </c>
      <c r="H29" s="16" t="s">
        <v>146</v>
      </c>
      <c r="I29" s="18" t="n">
        <f aca="false">4.41/I$1</f>
        <v>0.142258064516129</v>
      </c>
      <c r="J29" s="19" t="n">
        <v>0</v>
      </c>
      <c r="K29" s="19" t="n">
        <v>0</v>
      </c>
      <c r="L29" s="19" t="n">
        <v>0</v>
      </c>
      <c r="M29" s="19" t="n">
        <v>0</v>
      </c>
      <c r="N29" s="20" t="n">
        <v>0</v>
      </c>
      <c r="O29" s="19" t="n">
        <f aca="false">SUM(I29:M29)</f>
        <v>0.142258064516129</v>
      </c>
      <c r="P29" s="21" t="n">
        <v>66930</v>
      </c>
      <c r="Q29" s="16" t="n">
        <v>4000</v>
      </c>
      <c r="R29" s="15" t="s">
        <v>269</v>
      </c>
      <c r="S29" s="22" t="n">
        <f aca="false">I29*I$1*Q29</f>
        <v>17640</v>
      </c>
      <c r="T29" s="162" t="n">
        <v>4.41</v>
      </c>
      <c r="U29" s="23" t="n">
        <v>227986</v>
      </c>
      <c r="V29" s="24"/>
      <c r="W29" s="2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5" t="s">
        <v>195</v>
      </c>
      <c r="B30" s="16" t="s">
        <v>127</v>
      </c>
      <c r="C30" s="16" t="s">
        <v>127</v>
      </c>
      <c r="D30" s="17" t="n">
        <v>36923</v>
      </c>
      <c r="E30" s="17" t="s">
        <v>270</v>
      </c>
      <c r="F30" s="15" t="s">
        <v>267</v>
      </c>
      <c r="G30" s="15" t="s">
        <v>268</v>
      </c>
      <c r="H30" s="16" t="s">
        <v>146</v>
      </c>
      <c r="I30" s="18" t="n">
        <f aca="false">14.56/28</f>
        <v>0.52</v>
      </c>
      <c r="J30" s="19" t="n">
        <v>0</v>
      </c>
      <c r="K30" s="19" t="n">
        <v>0</v>
      </c>
      <c r="L30" s="19" t="n">
        <v>0</v>
      </c>
      <c r="M30" s="19" t="n">
        <v>0</v>
      </c>
      <c r="N30" s="20" t="n">
        <v>0</v>
      </c>
      <c r="O30" s="19" t="n">
        <f aca="false">SUM(I30:M30)</f>
        <v>0.52</v>
      </c>
      <c r="P30" s="21" t="n">
        <v>66930</v>
      </c>
      <c r="Q30" s="16" t="n">
        <v>-1033</v>
      </c>
      <c r="R30" s="15" t="s">
        <v>269</v>
      </c>
      <c r="S30" s="22" t="n">
        <f aca="false">I30*I$1*Q30</f>
        <v>-16651.96</v>
      </c>
      <c r="T30" s="162" t="n">
        <v>16.12</v>
      </c>
      <c r="U30" s="23" t="n">
        <v>521359</v>
      </c>
      <c r="V30" s="24"/>
      <c r="W30" s="2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5" t="s">
        <v>195</v>
      </c>
      <c r="B31" s="16" t="s">
        <v>127</v>
      </c>
      <c r="C31" s="16" t="s">
        <v>127</v>
      </c>
      <c r="D31" s="17" t="n">
        <v>36617</v>
      </c>
      <c r="E31" s="17" t="n">
        <v>36981</v>
      </c>
      <c r="F31" s="15" t="s">
        <v>267</v>
      </c>
      <c r="G31" s="15" t="s">
        <v>271</v>
      </c>
      <c r="H31" s="16" t="s">
        <v>174</v>
      </c>
      <c r="I31" s="18" t="n">
        <f aca="false">4.41/I$1</f>
        <v>0.142258064516129</v>
      </c>
      <c r="J31" s="19" t="n">
        <v>0</v>
      </c>
      <c r="K31" s="19" t="n">
        <v>0</v>
      </c>
      <c r="L31" s="19" t="n">
        <v>0</v>
      </c>
      <c r="M31" s="19" t="n">
        <v>0</v>
      </c>
      <c r="N31" s="20" t="n">
        <v>0</v>
      </c>
      <c r="O31" s="19" t="n">
        <f aca="false">SUM(I31:M31)</f>
        <v>0.142258064516129</v>
      </c>
      <c r="P31" s="21" t="n">
        <v>66931</v>
      </c>
      <c r="Q31" s="16" t="n">
        <v>4000</v>
      </c>
      <c r="R31" s="15" t="s">
        <v>272</v>
      </c>
      <c r="S31" s="22" t="n">
        <f aca="false">I31*I$1*Q31</f>
        <v>17640</v>
      </c>
      <c r="T31" s="162" t="n">
        <v>4.41</v>
      </c>
      <c r="U31" s="23" t="n">
        <v>227996</v>
      </c>
      <c r="V31" s="24"/>
      <c r="W31" s="2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5" t="s">
        <v>195</v>
      </c>
      <c r="B32" s="16" t="s">
        <v>127</v>
      </c>
      <c r="C32" s="16" t="s">
        <v>127</v>
      </c>
      <c r="D32" s="17" t="n">
        <v>36617</v>
      </c>
      <c r="E32" s="17" t="n">
        <v>36981</v>
      </c>
      <c r="F32" s="15" t="s">
        <v>267</v>
      </c>
      <c r="G32" s="15" t="s">
        <v>273</v>
      </c>
      <c r="H32" s="16" t="s">
        <v>146</v>
      </c>
      <c r="I32" s="18" t="n">
        <f aca="false">6.201/I$1</f>
        <v>0.200032258064516</v>
      </c>
      <c r="J32" s="19" t="n">
        <v>0</v>
      </c>
      <c r="K32" s="19" t="n">
        <v>0</v>
      </c>
      <c r="L32" s="19" t="n">
        <v>0</v>
      </c>
      <c r="M32" s="19" t="n">
        <v>0</v>
      </c>
      <c r="N32" s="20" t="n">
        <v>0</v>
      </c>
      <c r="O32" s="19" t="n">
        <f aca="false">SUM(I32:M32)</f>
        <v>0.200032258064516</v>
      </c>
      <c r="P32" s="21" t="n">
        <v>66932</v>
      </c>
      <c r="Q32" s="16" t="n">
        <v>4000</v>
      </c>
      <c r="R32" s="15" t="s">
        <v>272</v>
      </c>
      <c r="S32" s="22" t="n">
        <f aca="false">I32*I$1*Q32</f>
        <v>24804</v>
      </c>
      <c r="T32" s="162" t="n">
        <v>6.201</v>
      </c>
      <c r="U32" s="23" t="n">
        <v>228003</v>
      </c>
      <c r="V32" s="24"/>
      <c r="W32" s="24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5" t="s">
        <v>138</v>
      </c>
      <c r="B33" s="16" t="s">
        <v>127</v>
      </c>
      <c r="C33" s="16" t="s">
        <v>127</v>
      </c>
      <c r="D33" s="17" t="n">
        <v>36831</v>
      </c>
      <c r="E33" s="17" t="n">
        <v>36981</v>
      </c>
      <c r="F33" s="15" t="s">
        <v>267</v>
      </c>
      <c r="G33" s="15" t="s">
        <v>273</v>
      </c>
      <c r="H33" s="16" t="s">
        <v>146</v>
      </c>
      <c r="I33" s="18" t="n">
        <f aca="false">IF(30,0.6,0)</f>
        <v>0.6</v>
      </c>
      <c r="J33" s="19" t="n">
        <v>0</v>
      </c>
      <c r="K33" s="19" t="n">
        <v>0</v>
      </c>
      <c r="L33" s="19" t="n">
        <v>0</v>
      </c>
      <c r="M33" s="19" t="n">
        <v>0</v>
      </c>
      <c r="N33" s="20" t="n">
        <v>0</v>
      </c>
      <c r="O33" s="19" t="n">
        <f aca="false">SUM(I33:M33)</f>
        <v>0.6</v>
      </c>
      <c r="P33" s="21" t="n">
        <v>66932</v>
      </c>
      <c r="Q33" s="16" t="n">
        <v>-3000</v>
      </c>
      <c r="R33" s="15" t="s">
        <v>274</v>
      </c>
      <c r="S33" s="22" t="n">
        <f aca="false">I33*I$1*Q33</f>
        <v>-55800</v>
      </c>
      <c r="T33" s="162" t="n">
        <v>6.201</v>
      </c>
      <c r="U33" s="23" t="n">
        <v>452652</v>
      </c>
      <c r="V33" s="24"/>
      <c r="W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5" t="s">
        <v>138</v>
      </c>
      <c r="B34" s="16" t="s">
        <v>127</v>
      </c>
      <c r="C34" s="16" t="s">
        <v>275</v>
      </c>
      <c r="D34" s="17" t="n">
        <v>36832</v>
      </c>
      <c r="E34" s="17" t="n">
        <v>36981</v>
      </c>
      <c r="F34" s="15" t="s">
        <v>267</v>
      </c>
      <c r="G34" s="15" t="s">
        <v>273</v>
      </c>
      <c r="H34" s="16" t="s">
        <v>146</v>
      </c>
      <c r="I34" s="18" t="n">
        <f aca="false">18/I$1</f>
        <v>0.580645161290323</v>
      </c>
      <c r="J34" s="19" t="n">
        <v>0</v>
      </c>
      <c r="K34" s="19" t="n">
        <v>0</v>
      </c>
      <c r="L34" s="19" t="n">
        <v>0</v>
      </c>
      <c r="M34" s="19" t="n">
        <v>0</v>
      </c>
      <c r="N34" s="20" t="n">
        <v>0</v>
      </c>
      <c r="O34" s="19" t="n">
        <f aca="false">SUM(I34:M34)</f>
        <v>0.580645161290323</v>
      </c>
      <c r="P34" s="21" t="n">
        <v>66932</v>
      </c>
      <c r="Q34" s="16" t="n">
        <v>-1000</v>
      </c>
      <c r="R34" s="15" t="s">
        <v>276</v>
      </c>
      <c r="S34" s="22" t="n">
        <f aca="false">I34*I$1*Q34</f>
        <v>-18000</v>
      </c>
      <c r="T34" s="162" t="n">
        <v>6.201</v>
      </c>
      <c r="U34" s="23" t="n">
        <v>461254</v>
      </c>
      <c r="V34" s="24"/>
      <c r="W34" s="2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5" t="s">
        <v>143</v>
      </c>
      <c r="B35" s="16" t="s">
        <v>127</v>
      </c>
      <c r="C35" s="15" t="s">
        <v>277</v>
      </c>
      <c r="D35" s="17" t="n">
        <v>36770</v>
      </c>
      <c r="E35" s="17" t="n">
        <v>37134</v>
      </c>
      <c r="F35" s="15" t="s">
        <v>278</v>
      </c>
      <c r="G35" s="15" t="s">
        <v>279</v>
      </c>
      <c r="H35" s="16"/>
      <c r="I35" s="18" t="n">
        <f aca="false">6.201/I$1</f>
        <v>0.200032258064516</v>
      </c>
      <c r="J35" s="19" t="n">
        <v>0</v>
      </c>
      <c r="K35" s="19" t="n">
        <v>0</v>
      </c>
      <c r="L35" s="19" t="n">
        <v>0</v>
      </c>
      <c r="M35" s="19" t="n">
        <v>0</v>
      </c>
      <c r="N35" s="20" t="n">
        <v>0</v>
      </c>
      <c r="O35" s="19" t="n">
        <f aca="false">SUM(I35:M35)</f>
        <v>0.200032258064516</v>
      </c>
      <c r="P35" s="21" t="n">
        <v>69204</v>
      </c>
      <c r="Q35" s="67" t="n">
        <v>2048</v>
      </c>
      <c r="R35" s="15" t="s">
        <v>280</v>
      </c>
      <c r="S35" s="22" t="n">
        <f aca="false">I35*I$1*Q35</f>
        <v>12699.648</v>
      </c>
      <c r="T35" s="162"/>
      <c r="U35" s="23" t="n">
        <v>382565</v>
      </c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5" t="s">
        <v>143</v>
      </c>
      <c r="B36" s="16" t="s">
        <v>127</v>
      </c>
      <c r="C36" s="15" t="s">
        <v>277</v>
      </c>
      <c r="D36" s="17" t="n">
        <v>36770</v>
      </c>
      <c r="E36" s="17" t="n">
        <v>37134</v>
      </c>
      <c r="F36" s="15" t="s">
        <v>278</v>
      </c>
      <c r="G36" s="15" t="s">
        <v>279</v>
      </c>
      <c r="H36" s="16"/>
      <c r="I36" s="18" t="n">
        <f aca="false">6.201/I$1</f>
        <v>0.200032258064516</v>
      </c>
      <c r="J36" s="19" t="n">
        <v>0</v>
      </c>
      <c r="K36" s="19" t="n">
        <v>0</v>
      </c>
      <c r="L36" s="19" t="n">
        <v>0</v>
      </c>
      <c r="M36" s="19" t="n">
        <v>0</v>
      </c>
      <c r="N36" s="20" t="n">
        <v>0</v>
      </c>
      <c r="O36" s="19" t="n">
        <f aca="false">SUM(I36:M36)</f>
        <v>0.200032258064516</v>
      </c>
      <c r="P36" s="21" t="n">
        <v>69205</v>
      </c>
      <c r="Q36" s="67" t="n">
        <v>2048</v>
      </c>
      <c r="R36" s="15" t="s">
        <v>281</v>
      </c>
      <c r="S36" s="22" t="n">
        <f aca="false">I36*I$1*Q36</f>
        <v>12699.648</v>
      </c>
      <c r="T36" s="162"/>
      <c r="U36" s="23" t="n">
        <v>382544</v>
      </c>
      <c r="V36" s="24"/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5" t="s">
        <v>143</v>
      </c>
      <c r="B37" s="16" t="s">
        <v>127</v>
      </c>
      <c r="C37" s="15" t="s">
        <v>277</v>
      </c>
      <c r="D37" s="17" t="n">
        <v>36770</v>
      </c>
      <c r="E37" s="17" t="n">
        <v>37134</v>
      </c>
      <c r="F37" s="15" t="s">
        <v>278</v>
      </c>
      <c r="G37" s="15" t="s">
        <v>279</v>
      </c>
      <c r="H37" s="16"/>
      <c r="I37" s="18" t="n">
        <f aca="false">6.201/I$1</f>
        <v>0.200032258064516</v>
      </c>
      <c r="J37" s="19" t="n">
        <v>0</v>
      </c>
      <c r="K37" s="19" t="n">
        <v>0</v>
      </c>
      <c r="L37" s="19" t="n">
        <v>0</v>
      </c>
      <c r="M37" s="19" t="n">
        <v>0</v>
      </c>
      <c r="N37" s="20" t="n">
        <v>0</v>
      </c>
      <c r="O37" s="19" t="n">
        <f aca="false">SUM(I37:M37)</f>
        <v>0.200032258064516</v>
      </c>
      <c r="P37" s="21" t="n">
        <v>69310</v>
      </c>
      <c r="Q37" s="67" t="n">
        <v>2048</v>
      </c>
      <c r="R37" s="15" t="s">
        <v>282</v>
      </c>
      <c r="S37" s="22" t="n">
        <f aca="false">I37*I$1*Q37</f>
        <v>12699.648</v>
      </c>
      <c r="T37" s="162"/>
      <c r="U37" s="23" t="n">
        <v>386340</v>
      </c>
      <c r="V37" s="24"/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5" t="s">
        <v>143</v>
      </c>
      <c r="B38" s="16" t="s">
        <v>127</v>
      </c>
      <c r="C38" s="15" t="s">
        <v>283</v>
      </c>
      <c r="D38" s="17" t="n">
        <v>36861</v>
      </c>
      <c r="E38" s="17" t="n">
        <v>36981</v>
      </c>
      <c r="F38" s="15" t="s">
        <v>284</v>
      </c>
      <c r="G38" s="15" t="s">
        <v>285</v>
      </c>
      <c r="H38" s="16"/>
      <c r="I38" s="163" t="n">
        <f aca="false">2.42/I1</f>
        <v>0.0780645161290323</v>
      </c>
      <c r="J38" s="19"/>
      <c r="K38" s="19"/>
      <c r="L38" s="19"/>
      <c r="M38" s="19"/>
      <c r="N38" s="20"/>
      <c r="O38" s="19"/>
      <c r="P38" s="21" t="n">
        <v>70022</v>
      </c>
      <c r="Q38" s="67" t="n">
        <v>2129</v>
      </c>
      <c r="R38" s="15" t="s">
        <v>286</v>
      </c>
      <c r="S38" s="22" t="n">
        <f aca="false">+Q38*I38*I1</f>
        <v>5152.18</v>
      </c>
      <c r="T38" s="162"/>
      <c r="U38" s="23" t="n">
        <v>509271</v>
      </c>
      <c r="V38" s="24"/>
      <c r="W38" s="24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5" t="s">
        <v>185</v>
      </c>
      <c r="B39" s="16" t="s">
        <v>127</v>
      </c>
      <c r="C39" s="16" t="s">
        <v>287</v>
      </c>
      <c r="D39" s="17" t="n">
        <v>36434</v>
      </c>
      <c r="E39" s="17" t="n">
        <v>36714</v>
      </c>
      <c r="F39" s="15" t="s">
        <v>288</v>
      </c>
      <c r="G39" s="15" t="s">
        <v>287</v>
      </c>
      <c r="H39" s="16"/>
      <c r="I39" s="18" t="n">
        <v>0</v>
      </c>
      <c r="J39" s="19" t="n">
        <v>0</v>
      </c>
      <c r="K39" s="19" t="n">
        <v>0</v>
      </c>
      <c r="L39" s="19" t="n">
        <v>0</v>
      </c>
      <c r="M39" s="19" t="n">
        <v>0</v>
      </c>
      <c r="N39" s="20" t="n">
        <v>0</v>
      </c>
      <c r="O39" s="19" t="n">
        <f aca="false">SUM(I39:M39)</f>
        <v>0</v>
      </c>
      <c r="P39" s="21"/>
      <c r="Q39" s="16" t="n">
        <v>40000</v>
      </c>
      <c r="R39" s="15"/>
      <c r="S39" s="22" t="n">
        <f aca="false">I39*I$1*Q39</f>
        <v>0</v>
      </c>
      <c r="T39" s="22"/>
      <c r="U39" s="23"/>
      <c r="V39" s="24"/>
      <c r="W39" s="2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5"/>
      <c r="B40" s="16"/>
      <c r="C40" s="16"/>
      <c r="D40" s="17"/>
      <c r="E40" s="17"/>
      <c r="F40" s="15"/>
      <c r="G40" s="15"/>
      <c r="H40" s="16"/>
      <c r="I40" s="18"/>
      <c r="J40" s="19"/>
      <c r="K40" s="19"/>
      <c r="L40" s="19"/>
      <c r="M40" s="19"/>
      <c r="N40" s="20"/>
      <c r="O40" s="19"/>
      <c r="P40" s="21"/>
      <c r="Q40" s="16"/>
      <c r="R40" s="15"/>
      <c r="S40" s="22"/>
      <c r="T40" s="22"/>
      <c r="U40" s="23"/>
      <c r="V40" s="24"/>
      <c r="W40" s="24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5"/>
      <c r="B41" s="16"/>
      <c r="C41" s="16"/>
      <c r="D41" s="164"/>
      <c r="E41" s="17"/>
      <c r="F41" s="15"/>
      <c r="G41" s="15"/>
      <c r="H41" s="16"/>
      <c r="I41" s="18"/>
      <c r="J41" s="19"/>
      <c r="K41" s="19"/>
      <c r="L41" s="19"/>
      <c r="M41" s="19"/>
      <c r="N41" s="20"/>
      <c r="O41" s="19"/>
      <c r="P41" s="21"/>
      <c r="Q41" s="67" t="n">
        <f aca="false">SUM(Q27:Q40)</f>
        <v>69533</v>
      </c>
      <c r="R41" s="72" t="s">
        <v>177</v>
      </c>
      <c r="S41" s="33" t="n">
        <f aca="false">SUM(S27:S40)</f>
        <v>85326.444</v>
      </c>
      <c r="T41" s="22"/>
      <c r="U41" s="23"/>
      <c r="V41" s="24"/>
      <c r="W41" s="24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5"/>
      <c r="B42" s="16"/>
      <c r="C42" s="16"/>
      <c r="D42" s="164"/>
      <c r="E42" s="17"/>
      <c r="F42" s="15"/>
      <c r="G42" s="15"/>
      <c r="H42" s="16"/>
      <c r="I42" s="18"/>
      <c r="J42" s="19"/>
      <c r="K42" s="19"/>
      <c r="L42" s="19"/>
      <c r="M42" s="19"/>
      <c r="N42" s="20"/>
      <c r="O42" s="19"/>
      <c r="P42" s="21"/>
      <c r="Q42" s="67"/>
      <c r="R42" s="72" t="s">
        <v>289</v>
      </c>
      <c r="S42" s="33" t="n">
        <v>0</v>
      </c>
      <c r="T42" s="15"/>
      <c r="U42" s="23"/>
      <c r="V42" s="24"/>
      <c r="W42" s="24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5"/>
      <c r="B43" s="16"/>
      <c r="C43" s="16"/>
      <c r="D43" s="17"/>
      <c r="E43" s="17"/>
      <c r="F43" s="15"/>
      <c r="G43" s="15"/>
      <c r="H43" s="16"/>
      <c r="I43" s="18"/>
      <c r="J43" s="19"/>
      <c r="K43" s="19"/>
      <c r="L43" s="19"/>
      <c r="M43" s="19"/>
      <c r="N43" s="20"/>
      <c r="O43" s="19"/>
      <c r="P43" s="21"/>
      <c r="Q43" s="69"/>
      <c r="R43" s="72" t="s">
        <v>178</v>
      </c>
      <c r="S43" s="33" t="n">
        <v>0</v>
      </c>
      <c r="T43" s="22"/>
      <c r="U43" s="23"/>
      <c r="V43" s="24"/>
      <c r="W43" s="24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3.5" hidden="false" customHeight="false" outlineLevel="0" collapsed="false">
      <c r="A44" s="15"/>
      <c r="B44" s="16"/>
      <c r="C44" s="16"/>
      <c r="D44" s="17"/>
      <c r="E44" s="17"/>
      <c r="F44" s="15"/>
      <c r="G44" s="15"/>
      <c r="H44" s="16"/>
      <c r="I44" s="18"/>
      <c r="J44" s="19"/>
      <c r="K44" s="19"/>
      <c r="L44" s="19"/>
      <c r="M44" s="19"/>
      <c r="N44" s="20"/>
      <c r="O44" s="19"/>
      <c r="P44" s="21"/>
      <c r="Q44" s="69"/>
      <c r="R44" s="72" t="s">
        <v>179</v>
      </c>
      <c r="S44" s="128" t="n">
        <f aca="false">+S41-S43</f>
        <v>85326.444</v>
      </c>
      <c r="T44" s="22"/>
      <c r="U44" s="23"/>
      <c r="V44" s="24"/>
      <c r="W44" s="2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3.5" hidden="false" customHeight="false" outlineLevel="0" collapsed="false">
      <c r="A45" s="15"/>
      <c r="B45" s="16"/>
      <c r="C45" s="16"/>
      <c r="D45" s="17"/>
      <c r="E45" s="17"/>
      <c r="F45" s="15"/>
      <c r="G45" s="15"/>
      <c r="H45" s="16"/>
      <c r="I45" s="18"/>
      <c r="J45" s="19"/>
      <c r="K45" s="19"/>
      <c r="L45" s="19"/>
      <c r="M45" s="19"/>
      <c r="N45" s="20"/>
      <c r="O45" s="19"/>
      <c r="P45" s="21"/>
      <c r="Q45" s="16"/>
      <c r="R45" s="15"/>
      <c r="S45" s="22"/>
      <c r="T45" s="22"/>
      <c r="U45" s="23"/>
      <c r="V45" s="24"/>
      <c r="W45" s="2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03" t="s">
        <v>101</v>
      </c>
      <c r="B46" s="104" t="s">
        <v>102</v>
      </c>
      <c r="C46" s="104" t="s">
        <v>103</v>
      </c>
      <c r="D46" s="105" t="s">
        <v>104</v>
      </c>
      <c r="E46" s="105"/>
      <c r="F46" s="103" t="s">
        <v>105</v>
      </c>
      <c r="G46" s="103" t="s">
        <v>106</v>
      </c>
      <c r="H46" s="104" t="s">
        <v>198</v>
      </c>
      <c r="I46" s="106" t="s">
        <v>108</v>
      </c>
      <c r="J46" s="104" t="s">
        <v>109</v>
      </c>
      <c r="K46" s="104" t="s">
        <v>110</v>
      </c>
      <c r="L46" s="104" t="s">
        <v>111</v>
      </c>
      <c r="M46" s="104" t="s">
        <v>112</v>
      </c>
      <c r="N46" s="124" t="s">
        <v>113</v>
      </c>
      <c r="O46" s="104" t="s">
        <v>114</v>
      </c>
      <c r="P46" s="108" t="s">
        <v>141</v>
      </c>
      <c r="Q46" s="104" t="s">
        <v>116</v>
      </c>
      <c r="R46" s="103" t="s">
        <v>117</v>
      </c>
      <c r="S46" s="84" t="s">
        <v>118</v>
      </c>
      <c r="T46" s="84" t="s">
        <v>119</v>
      </c>
      <c r="U46" s="125" t="s">
        <v>142</v>
      </c>
      <c r="V46" s="86"/>
      <c r="W46" s="86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09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109"/>
      <c r="IG46" s="109"/>
      <c r="IH46" s="109"/>
      <c r="II46" s="109"/>
      <c r="IJ46" s="109"/>
      <c r="IK46" s="109"/>
      <c r="IL46" s="109"/>
      <c r="IM46" s="109"/>
      <c r="IN46" s="109"/>
      <c r="IO46" s="109"/>
      <c r="IP46" s="109"/>
      <c r="IQ46" s="109"/>
      <c r="IR46" s="109"/>
      <c r="IS46" s="109"/>
      <c r="IT46" s="109"/>
      <c r="IU46" s="109"/>
      <c r="IV46" s="109"/>
      <c r="IW46" s="109"/>
    </row>
    <row r="47" customFormat="false" ht="12.75" hidden="false" customHeight="false" outlineLevel="0" collapsed="false">
      <c r="A47" s="15" t="s">
        <v>195</v>
      </c>
      <c r="B47" s="15" t="s">
        <v>290</v>
      </c>
      <c r="C47" s="16" t="s">
        <v>291</v>
      </c>
      <c r="D47" s="17" t="n">
        <v>36631</v>
      </c>
      <c r="E47" s="17" t="n">
        <v>36981</v>
      </c>
      <c r="F47" s="15" t="s">
        <v>292</v>
      </c>
      <c r="G47" s="15"/>
      <c r="H47" s="16" t="s">
        <v>293</v>
      </c>
      <c r="I47" s="18" t="n">
        <v>0.65</v>
      </c>
      <c r="J47" s="19" t="n">
        <v>0</v>
      </c>
      <c r="K47" s="19" t="n">
        <v>0.0022</v>
      </c>
      <c r="L47" s="19" t="n">
        <v>0.0072</v>
      </c>
      <c r="M47" s="19" t="n">
        <v>0.0131</v>
      </c>
      <c r="N47" s="20" t="n">
        <v>0</v>
      </c>
      <c r="O47" s="19" t="n">
        <f aca="false">SUM(I47:M47)</f>
        <v>0.6725</v>
      </c>
      <c r="P47" s="21" t="s">
        <v>294</v>
      </c>
      <c r="Q47" s="16" t="n">
        <v>36000</v>
      </c>
      <c r="R47" s="15" t="s">
        <v>295</v>
      </c>
      <c r="S47" s="22" t="n">
        <f aca="false">+Q47*I47</f>
        <v>23400</v>
      </c>
      <c r="T47" s="22"/>
      <c r="U47" s="23" t="n">
        <v>247741</v>
      </c>
      <c r="V47" s="24"/>
      <c r="W47" s="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5"/>
      <c r="B48" s="16"/>
      <c r="C48" s="16"/>
      <c r="D48" s="17"/>
      <c r="E48" s="17"/>
      <c r="F48" s="15"/>
      <c r="G48" s="15"/>
      <c r="H48" s="16"/>
      <c r="I48" s="18"/>
      <c r="J48" s="19"/>
      <c r="K48" s="19"/>
      <c r="L48" s="19"/>
      <c r="M48" s="19"/>
      <c r="N48" s="20"/>
      <c r="O48" s="19"/>
      <c r="P48" s="21"/>
      <c r="Q48" s="16"/>
      <c r="R48" s="15"/>
      <c r="S48" s="22"/>
      <c r="T48" s="22"/>
      <c r="U48" s="23"/>
      <c r="V48" s="24"/>
      <c r="W48" s="2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5"/>
      <c r="B49" s="16"/>
      <c r="C49" s="16"/>
      <c r="D49" s="17"/>
      <c r="E49" s="17"/>
      <c r="F49" s="15"/>
      <c r="G49" s="15"/>
      <c r="H49" s="16"/>
      <c r="I49" s="18"/>
      <c r="J49" s="19"/>
      <c r="K49" s="19"/>
      <c r="L49" s="19"/>
      <c r="M49" s="19"/>
      <c r="N49" s="20"/>
      <c r="O49" s="19"/>
      <c r="P49" s="21"/>
      <c r="Q49" s="67" t="n">
        <f aca="false">SUM(Q47:Q48)</f>
        <v>36000</v>
      </c>
      <c r="R49" s="72" t="s">
        <v>177</v>
      </c>
      <c r="S49" s="33" t="n">
        <f aca="false">SUM(S47:S48)</f>
        <v>23400</v>
      </c>
      <c r="T49" s="22"/>
      <c r="U49" s="23"/>
      <c r="V49" s="24"/>
      <c r="W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5"/>
      <c r="B50" s="16"/>
      <c r="C50" s="16"/>
      <c r="D50" s="17"/>
      <c r="E50" s="17"/>
      <c r="F50" s="15"/>
      <c r="G50" s="15"/>
      <c r="H50" s="16"/>
      <c r="I50" s="18"/>
      <c r="J50" s="19"/>
      <c r="K50" s="19"/>
      <c r="L50" s="19"/>
      <c r="M50" s="19"/>
      <c r="N50" s="20"/>
      <c r="O50" s="19"/>
      <c r="P50" s="21"/>
      <c r="Q50" s="69"/>
      <c r="R50" s="72" t="s">
        <v>178</v>
      </c>
      <c r="S50" s="33" t="n">
        <v>0</v>
      </c>
      <c r="T50" s="22"/>
      <c r="U50" s="23"/>
      <c r="V50" s="24"/>
      <c r="W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3.5" hidden="false" customHeight="false" outlineLevel="0" collapsed="false">
      <c r="A51" s="15"/>
      <c r="B51" s="16"/>
      <c r="C51" s="16"/>
      <c r="D51" s="17"/>
      <c r="E51" s="17"/>
      <c r="F51" s="15"/>
      <c r="G51" s="15"/>
      <c r="H51" s="16"/>
      <c r="I51" s="18"/>
      <c r="J51" s="19"/>
      <c r="K51" s="19"/>
      <c r="L51" s="19"/>
      <c r="M51" s="19"/>
      <c r="N51" s="20"/>
      <c r="O51" s="19"/>
      <c r="P51" s="21"/>
      <c r="Q51" s="69"/>
      <c r="R51" s="72" t="s">
        <v>179</v>
      </c>
      <c r="S51" s="102" t="n">
        <f aca="false">+S49-S50</f>
        <v>23400</v>
      </c>
      <c r="T51" s="22"/>
      <c r="U51" s="23"/>
      <c r="V51" s="24"/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3.5" hidden="false" customHeight="false" outlineLevel="0" collapsed="false">
      <c r="A52" s="15"/>
      <c r="B52" s="16"/>
      <c r="C52" s="16"/>
      <c r="D52" s="17"/>
      <c r="E52" s="17"/>
      <c r="F52" s="15"/>
      <c r="G52" s="15"/>
      <c r="H52" s="16"/>
      <c r="I52" s="18"/>
      <c r="J52" s="19"/>
      <c r="K52" s="19"/>
      <c r="L52" s="19"/>
      <c r="M52" s="19"/>
      <c r="N52" s="20"/>
      <c r="O52" s="19"/>
      <c r="P52" s="21"/>
      <c r="Q52" s="16"/>
      <c r="R52" s="15"/>
      <c r="S52" s="22"/>
      <c r="T52" s="22"/>
      <c r="U52" s="23"/>
      <c r="V52" s="24"/>
      <c r="W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46" t="s">
        <v>101</v>
      </c>
      <c r="B53" s="47" t="s">
        <v>102</v>
      </c>
      <c r="C53" s="47" t="s">
        <v>103</v>
      </c>
      <c r="D53" s="48" t="s">
        <v>104</v>
      </c>
      <c r="E53" s="48"/>
      <c r="F53" s="46" t="s">
        <v>105</v>
      </c>
      <c r="G53" s="46" t="s">
        <v>106</v>
      </c>
      <c r="H53" s="47" t="s">
        <v>198</v>
      </c>
      <c r="I53" s="49" t="s">
        <v>108</v>
      </c>
      <c r="J53" s="47" t="s">
        <v>109</v>
      </c>
      <c r="K53" s="47" t="s">
        <v>110</v>
      </c>
      <c r="L53" s="47" t="s">
        <v>111</v>
      </c>
      <c r="M53" s="47" t="s">
        <v>112</v>
      </c>
      <c r="N53" s="50" t="s">
        <v>113</v>
      </c>
      <c r="O53" s="47" t="s">
        <v>114</v>
      </c>
      <c r="P53" s="160" t="s">
        <v>141</v>
      </c>
      <c r="Q53" s="47" t="s">
        <v>116</v>
      </c>
      <c r="R53" s="46" t="s">
        <v>117</v>
      </c>
      <c r="S53" s="123" t="s">
        <v>118</v>
      </c>
      <c r="T53" s="52" t="s">
        <v>119</v>
      </c>
      <c r="U53" s="53" t="s">
        <v>142</v>
      </c>
      <c r="V53" s="24"/>
      <c r="W53" s="24"/>
    </row>
    <row r="54" customFormat="false" ht="12.75" hidden="false" customHeight="false" outlineLevel="0" collapsed="false">
      <c r="A54" s="15" t="s">
        <v>209</v>
      </c>
      <c r="B54" s="16" t="s">
        <v>296</v>
      </c>
      <c r="C54" s="16" t="s">
        <v>296</v>
      </c>
      <c r="D54" s="17" t="n">
        <v>36100</v>
      </c>
      <c r="E54" s="17" t="n">
        <v>39022</v>
      </c>
      <c r="F54" s="15" t="n">
        <v>1</v>
      </c>
      <c r="G54" s="15" t="n">
        <v>2</v>
      </c>
      <c r="H54" s="16" t="s">
        <v>146</v>
      </c>
      <c r="I54" s="18" t="n">
        <f aca="false">(14.1123+0.2)/I$1</f>
        <v>0.461687096774194</v>
      </c>
      <c r="J54" s="19" t="n">
        <v>0.0054</v>
      </c>
      <c r="K54" s="19" t="n">
        <v>0.0022</v>
      </c>
      <c r="L54" s="19" t="n">
        <v>0.0075</v>
      </c>
      <c r="M54" s="19" t="n">
        <v>0.0012</v>
      </c>
      <c r="N54" s="110" t="n">
        <v>0.007</v>
      </c>
      <c r="O54" s="19" t="n">
        <f aca="false">SUM(I54:M54)</f>
        <v>0.477987096774194</v>
      </c>
      <c r="P54" s="21" t="s">
        <v>297</v>
      </c>
      <c r="Q54" s="16" t="n">
        <v>2017</v>
      </c>
      <c r="R54" s="15" t="s">
        <v>298</v>
      </c>
      <c r="S54" s="22" t="n">
        <f aca="false">I54*I$1*Q54</f>
        <v>28867.9091</v>
      </c>
      <c r="T54" s="22"/>
      <c r="U54" s="24" t="n">
        <v>77758</v>
      </c>
      <c r="V54" s="24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5" t="s">
        <v>209</v>
      </c>
      <c r="B55" s="16" t="s">
        <v>296</v>
      </c>
      <c r="C55" s="16" t="s">
        <v>299</v>
      </c>
      <c r="D55" s="17" t="n">
        <v>36100</v>
      </c>
      <c r="E55" s="17" t="n">
        <v>39539</v>
      </c>
      <c r="F55" s="15" t="s">
        <v>300</v>
      </c>
      <c r="G55" s="15" t="s">
        <v>301</v>
      </c>
      <c r="H55" s="16" t="s">
        <v>1</v>
      </c>
      <c r="I55" s="18" t="n">
        <f aca="false">(8.5058)/I$1</f>
        <v>0.27438064516129</v>
      </c>
      <c r="J55" s="19" t="n">
        <v>0.003</v>
      </c>
      <c r="K55" s="19" t="n">
        <v>0.0022</v>
      </c>
      <c r="L55" s="19" t="n">
        <v>0</v>
      </c>
      <c r="M55" s="19" t="n">
        <v>0.0007</v>
      </c>
      <c r="N55" s="110" t="n">
        <v>0</v>
      </c>
      <c r="O55" s="19" t="n">
        <f aca="false">SUM(I55:M55)</f>
        <v>0.28028064516129</v>
      </c>
      <c r="P55" s="21" t="s">
        <v>302</v>
      </c>
      <c r="Q55" s="16" t="n">
        <v>35465</v>
      </c>
      <c r="R55" s="15" t="s">
        <v>303</v>
      </c>
      <c r="S55" s="22" t="n">
        <f aca="false">I55*I$1*Q55</f>
        <v>301658.197</v>
      </c>
      <c r="T55" s="22"/>
      <c r="U55" s="24" t="n">
        <v>77729</v>
      </c>
      <c r="V55" s="24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5"/>
      <c r="B56" s="16"/>
      <c r="C56" s="16"/>
      <c r="D56" s="17"/>
      <c r="E56" s="17"/>
      <c r="F56" s="15"/>
      <c r="G56" s="15"/>
      <c r="H56" s="16"/>
      <c r="I56" s="18"/>
      <c r="J56" s="19"/>
      <c r="K56" s="19"/>
      <c r="L56" s="19"/>
      <c r="M56" s="19"/>
      <c r="N56" s="110"/>
      <c r="O56" s="19"/>
      <c r="P56" s="21"/>
      <c r="Q56" s="16"/>
      <c r="R56" s="15"/>
      <c r="S56" s="22"/>
      <c r="T56" s="22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5"/>
      <c r="B57" s="16"/>
      <c r="C57" s="16"/>
      <c r="D57" s="17"/>
      <c r="E57" s="17"/>
      <c r="F57" s="15"/>
      <c r="G57" s="15"/>
      <c r="H57" s="16"/>
      <c r="I57" s="18"/>
      <c r="J57" s="19"/>
      <c r="K57" s="19"/>
      <c r="L57" s="19"/>
      <c r="M57" s="19"/>
      <c r="N57" s="20"/>
      <c r="O57" s="19"/>
      <c r="P57" s="21"/>
      <c r="Q57" s="67" t="n">
        <f aca="false">SUM(Q54:Q56)</f>
        <v>37482</v>
      </c>
      <c r="R57" s="72" t="s">
        <v>177</v>
      </c>
      <c r="S57" s="33" t="n">
        <f aca="false">SUM(S54:S56)</f>
        <v>330526.1061</v>
      </c>
      <c r="T57" s="22"/>
      <c r="U57" s="23"/>
      <c r="V57" s="24"/>
      <c r="W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5"/>
      <c r="B58" s="16"/>
      <c r="C58" s="16"/>
      <c r="D58" s="17"/>
      <c r="E58" s="17"/>
      <c r="F58" s="15"/>
      <c r="G58" s="15"/>
      <c r="H58" s="16"/>
      <c r="I58" s="18"/>
      <c r="J58" s="19"/>
      <c r="K58" s="19"/>
      <c r="L58" s="19"/>
      <c r="M58" s="19"/>
      <c r="N58" s="20"/>
      <c r="O58" s="19"/>
      <c r="P58" s="21"/>
      <c r="Q58" s="69"/>
      <c r="R58" s="72" t="s">
        <v>178</v>
      </c>
      <c r="S58" s="33" t="n">
        <f aca="false">SUM(S55)</f>
        <v>301658.197</v>
      </c>
      <c r="T58" s="22"/>
      <c r="U58" s="23"/>
      <c r="V58" s="24"/>
      <c r="W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3.5" hidden="false" customHeight="false" outlineLevel="0" collapsed="false">
      <c r="A59" s="15"/>
      <c r="B59" s="16"/>
      <c r="C59" s="16"/>
      <c r="D59" s="17"/>
      <c r="E59" s="17"/>
      <c r="F59" s="15"/>
      <c r="G59" s="15"/>
      <c r="H59" s="16"/>
      <c r="I59" s="18"/>
      <c r="J59" s="19"/>
      <c r="K59" s="19"/>
      <c r="L59" s="19"/>
      <c r="M59" s="19"/>
      <c r="N59" s="20"/>
      <c r="O59" s="19"/>
      <c r="P59" s="21"/>
      <c r="Q59" s="69"/>
      <c r="R59" s="72" t="s">
        <v>179</v>
      </c>
      <c r="S59" s="102" t="n">
        <f aca="false">+S57-S58</f>
        <v>28867.9091</v>
      </c>
      <c r="T59" s="22"/>
      <c r="U59" s="23"/>
      <c r="V59" s="24"/>
      <c r="W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3.5" hidden="false" customHeight="false" outlineLevel="0" collapsed="false">
      <c r="A60" s="15"/>
      <c r="B60" s="16"/>
      <c r="C60" s="16"/>
      <c r="D60" s="17"/>
      <c r="E60" s="17"/>
      <c r="F60" s="15"/>
      <c r="G60" s="15"/>
      <c r="H60" s="16"/>
      <c r="I60" s="18"/>
      <c r="J60" s="19"/>
      <c r="K60" s="19"/>
      <c r="L60" s="19"/>
      <c r="M60" s="19"/>
      <c r="N60" s="20"/>
      <c r="O60" s="19"/>
      <c r="P60" s="21"/>
      <c r="Q60" s="16"/>
      <c r="R60" s="15"/>
      <c r="S60" s="22"/>
      <c r="T60" s="22"/>
      <c r="U60" s="23"/>
      <c r="V60" s="24"/>
      <c r="W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03" t="s">
        <v>101</v>
      </c>
      <c r="B61" s="104" t="s">
        <v>102</v>
      </c>
      <c r="C61" s="104" t="s">
        <v>103</v>
      </c>
      <c r="D61" s="105" t="s">
        <v>104</v>
      </c>
      <c r="E61" s="105"/>
      <c r="F61" s="103" t="s">
        <v>105</v>
      </c>
      <c r="G61" s="103" t="s">
        <v>106</v>
      </c>
      <c r="H61" s="104" t="s">
        <v>107</v>
      </c>
      <c r="I61" s="106" t="s">
        <v>108</v>
      </c>
      <c r="J61" s="104" t="s">
        <v>109</v>
      </c>
      <c r="K61" s="104" t="s">
        <v>110</v>
      </c>
      <c r="L61" s="104" t="s">
        <v>111</v>
      </c>
      <c r="M61" s="104" t="s">
        <v>112</v>
      </c>
      <c r="N61" s="107" t="s">
        <v>113</v>
      </c>
      <c r="O61" s="104" t="s">
        <v>114</v>
      </c>
      <c r="P61" s="108" t="s">
        <v>115</v>
      </c>
      <c r="Q61" s="104" t="s">
        <v>116</v>
      </c>
      <c r="R61" s="103" t="s">
        <v>117</v>
      </c>
      <c r="S61" s="84" t="s">
        <v>184</v>
      </c>
      <c r="T61" s="84" t="s">
        <v>304</v>
      </c>
      <c r="U61" s="86"/>
      <c r="V61" s="86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  <c r="DY61" s="109"/>
      <c r="DZ61" s="109"/>
      <c r="EA61" s="109"/>
      <c r="EB61" s="109"/>
      <c r="EC61" s="109"/>
      <c r="ED61" s="109"/>
      <c r="EE61" s="109"/>
      <c r="EF61" s="109"/>
      <c r="EG61" s="109"/>
      <c r="EH61" s="109"/>
      <c r="EI61" s="109"/>
      <c r="EJ61" s="109"/>
      <c r="EK61" s="109"/>
      <c r="EL61" s="109"/>
      <c r="EM61" s="109"/>
      <c r="EN61" s="109"/>
      <c r="EO61" s="109"/>
      <c r="EP61" s="109"/>
      <c r="EQ61" s="109"/>
      <c r="ER61" s="109"/>
      <c r="ES61" s="109"/>
      <c r="ET61" s="109"/>
      <c r="EU61" s="109"/>
      <c r="EV61" s="109"/>
      <c r="EW61" s="109"/>
      <c r="EX61" s="109"/>
      <c r="EY61" s="109"/>
      <c r="EZ61" s="109"/>
      <c r="FA61" s="109"/>
      <c r="FB61" s="109"/>
      <c r="FC61" s="109"/>
      <c r="FD61" s="109"/>
      <c r="FE61" s="109"/>
      <c r="FF61" s="109"/>
      <c r="FG61" s="109"/>
      <c r="FH61" s="109"/>
      <c r="FI61" s="109"/>
      <c r="FJ61" s="109"/>
      <c r="FK61" s="109"/>
      <c r="FL61" s="109"/>
      <c r="FM61" s="109"/>
      <c r="FN61" s="109"/>
      <c r="FO61" s="109"/>
      <c r="FP61" s="109"/>
      <c r="FQ61" s="109"/>
      <c r="FR61" s="109"/>
      <c r="FS61" s="109"/>
      <c r="FT61" s="109"/>
      <c r="FU61" s="109"/>
      <c r="FV61" s="109"/>
      <c r="FW61" s="109"/>
      <c r="FX61" s="109"/>
      <c r="FY61" s="109"/>
      <c r="FZ61" s="109"/>
      <c r="GA61" s="109"/>
      <c r="GB61" s="109"/>
      <c r="GC61" s="109"/>
      <c r="GD61" s="109"/>
      <c r="GE61" s="109"/>
      <c r="GF61" s="109"/>
      <c r="GG61" s="109"/>
      <c r="GH61" s="109"/>
      <c r="GI61" s="109"/>
      <c r="GJ61" s="109"/>
      <c r="GK61" s="109"/>
      <c r="GL61" s="109"/>
      <c r="GM61" s="109"/>
      <c r="GN61" s="109"/>
      <c r="GO61" s="109"/>
      <c r="GP61" s="109"/>
      <c r="GQ61" s="109"/>
      <c r="GR61" s="109"/>
      <c r="GS61" s="109"/>
      <c r="GT61" s="109"/>
      <c r="GU61" s="109"/>
      <c r="GV61" s="109"/>
      <c r="GW61" s="109"/>
      <c r="GX61" s="109"/>
      <c r="GY61" s="109"/>
      <c r="GZ61" s="109"/>
      <c r="HA61" s="109"/>
      <c r="HB61" s="109"/>
      <c r="HC61" s="109"/>
      <c r="HD61" s="109"/>
      <c r="HE61" s="109"/>
      <c r="HF61" s="109"/>
      <c r="HG61" s="109"/>
      <c r="HH61" s="109"/>
      <c r="HI61" s="109"/>
      <c r="HJ61" s="109"/>
      <c r="HK61" s="109"/>
      <c r="HL61" s="109"/>
      <c r="HM61" s="109"/>
      <c r="HN61" s="109"/>
      <c r="HO61" s="109"/>
      <c r="HP61" s="109"/>
      <c r="HQ61" s="109"/>
      <c r="HR61" s="109"/>
      <c r="HS61" s="109"/>
      <c r="HT61" s="109"/>
      <c r="HU61" s="109"/>
      <c r="HV61" s="109"/>
      <c r="HW61" s="109"/>
      <c r="HX61" s="109"/>
      <c r="HY61" s="109"/>
      <c r="HZ61" s="109"/>
      <c r="IA61" s="109"/>
      <c r="IB61" s="109"/>
      <c r="IC61" s="109"/>
      <c r="ID61" s="109"/>
      <c r="IE61" s="109"/>
      <c r="IF61" s="109"/>
      <c r="IG61" s="109"/>
      <c r="IH61" s="109"/>
      <c r="II61" s="109"/>
      <c r="IJ61" s="109"/>
      <c r="IK61" s="109"/>
      <c r="IL61" s="109"/>
      <c r="IM61" s="109"/>
      <c r="IN61" s="109"/>
      <c r="IO61" s="109"/>
      <c r="IP61" s="109"/>
      <c r="IQ61" s="109"/>
      <c r="IR61" s="109"/>
      <c r="IS61" s="109"/>
      <c r="IT61" s="109"/>
      <c r="IU61" s="109"/>
      <c r="IV61" s="109"/>
      <c r="IW61" s="109"/>
    </row>
    <row r="62" customFormat="false" ht="12.75" hidden="false" customHeight="false" outlineLevel="0" collapsed="false">
      <c r="A62" s="15" t="s">
        <v>209</v>
      </c>
      <c r="B62" s="16" t="s">
        <v>305</v>
      </c>
      <c r="C62" s="16" t="s">
        <v>306</v>
      </c>
      <c r="D62" s="17" t="n">
        <v>36100</v>
      </c>
      <c r="E62" s="17" t="n">
        <v>39387</v>
      </c>
      <c r="F62" s="15" t="s">
        <v>307</v>
      </c>
      <c r="G62" s="15" t="s">
        <v>308</v>
      </c>
      <c r="H62" s="16" t="s">
        <v>1</v>
      </c>
      <c r="I62" s="19" t="n">
        <f aca="false">6.1038/I$1</f>
        <v>0.196896774193548</v>
      </c>
      <c r="J62" s="19" t="n">
        <v>0.0013</v>
      </c>
      <c r="K62" s="19" t="n">
        <v>0.0022</v>
      </c>
      <c r="L62" s="19" t="n">
        <v>0</v>
      </c>
      <c r="M62" s="19" t="n">
        <v>0</v>
      </c>
      <c r="N62" s="110" t="n">
        <v>0.02</v>
      </c>
      <c r="O62" s="19" t="n">
        <f aca="false">SUM(I62:M62)</f>
        <v>0.200396774193548</v>
      </c>
      <c r="P62" s="21" t="s">
        <v>309</v>
      </c>
      <c r="Q62" s="16" t="n">
        <v>117</v>
      </c>
      <c r="R62" s="15" t="s">
        <v>310</v>
      </c>
      <c r="S62" s="111" t="n">
        <f aca="false">I62*I$1*Q62</f>
        <v>714.1446</v>
      </c>
      <c r="T62" s="111"/>
      <c r="U62" s="24" t="n">
        <v>79923</v>
      </c>
      <c r="V62" s="24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false" outlineLevel="0" collapsed="false">
      <c r="A63" s="15" t="s">
        <v>209</v>
      </c>
      <c r="B63" s="16" t="s">
        <v>305</v>
      </c>
      <c r="C63" s="16" t="s">
        <v>306</v>
      </c>
      <c r="D63" s="17" t="n">
        <v>36861</v>
      </c>
      <c r="E63" s="17" t="n">
        <v>37195</v>
      </c>
      <c r="F63" s="15" t="s">
        <v>307</v>
      </c>
      <c r="G63" s="15" t="s">
        <v>308</v>
      </c>
      <c r="H63" s="16" t="s">
        <v>1</v>
      </c>
      <c r="I63" s="19" t="n">
        <f aca="false">6.1038/I$1</f>
        <v>0.196896774193548</v>
      </c>
      <c r="J63" s="19" t="n">
        <v>0.0013</v>
      </c>
      <c r="K63" s="19" t="n">
        <v>0.0022</v>
      </c>
      <c r="L63" s="19" t="n">
        <v>0</v>
      </c>
      <c r="M63" s="19" t="n">
        <v>0</v>
      </c>
      <c r="N63" s="110" t="n">
        <v>0.02</v>
      </c>
      <c r="O63" s="19" t="n">
        <f aca="false">SUM(I63:M63)</f>
        <v>0.200396774193548</v>
      </c>
      <c r="P63" s="21" t="s">
        <v>311</v>
      </c>
      <c r="Q63" s="16" t="n">
        <v>9189</v>
      </c>
      <c r="R63" s="15" t="s">
        <v>312</v>
      </c>
      <c r="S63" s="111" t="n">
        <f aca="false">I63*I$1*Q63</f>
        <v>56087.8182</v>
      </c>
      <c r="T63" s="111"/>
      <c r="U63" s="24" t="n">
        <v>506530</v>
      </c>
      <c r="V63" s="24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15"/>
      <c r="B64" s="16"/>
      <c r="C64" s="16"/>
      <c r="D64" s="17"/>
      <c r="E64" s="17"/>
      <c r="F64" s="15"/>
      <c r="G64" s="15"/>
      <c r="H64" s="16"/>
      <c r="I64" s="18"/>
      <c r="J64" s="19"/>
      <c r="K64" s="19"/>
      <c r="L64" s="19"/>
      <c r="M64" s="19"/>
      <c r="N64" s="110"/>
      <c r="O64" s="19"/>
      <c r="P64" s="21"/>
      <c r="Q64" s="16"/>
      <c r="R64" s="15"/>
      <c r="S64" s="22"/>
      <c r="T64" s="22" t="n">
        <f aca="false">SUM(T62:T63)</f>
        <v>0</v>
      </c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false" outlineLevel="0" collapsed="false">
      <c r="A65" s="15"/>
      <c r="B65" s="16"/>
      <c r="C65" s="16"/>
      <c r="D65" s="17"/>
      <c r="E65" s="17"/>
      <c r="F65" s="15"/>
      <c r="G65" s="15"/>
      <c r="H65" s="16"/>
      <c r="I65" s="18"/>
      <c r="J65" s="19"/>
      <c r="K65" s="19"/>
      <c r="L65" s="19"/>
      <c r="M65" s="19"/>
      <c r="N65" s="20"/>
      <c r="O65" s="19"/>
      <c r="P65" s="21"/>
      <c r="Q65" s="67" t="n">
        <f aca="false">SUM(Q62:Q64)</f>
        <v>9306</v>
      </c>
      <c r="R65" s="72" t="s">
        <v>177</v>
      </c>
      <c r="S65" s="33" t="n">
        <f aca="false">SUM(S62:S64)</f>
        <v>56801.9628</v>
      </c>
      <c r="T65" s="22"/>
      <c r="U65" s="23"/>
      <c r="V65" s="24"/>
      <c r="W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false" outlineLevel="0" collapsed="false">
      <c r="A66" s="15"/>
      <c r="B66" s="16"/>
      <c r="C66" s="16"/>
      <c r="D66" s="17"/>
      <c r="E66" s="17"/>
      <c r="F66" s="15"/>
      <c r="G66" s="15"/>
      <c r="H66" s="16"/>
      <c r="I66" s="18"/>
      <c r="J66" s="19"/>
      <c r="K66" s="19"/>
      <c r="L66" s="19"/>
      <c r="M66" s="19"/>
      <c r="N66" s="20"/>
      <c r="O66" s="19"/>
      <c r="P66" s="21"/>
      <c r="Q66" s="69"/>
      <c r="R66" s="72" t="s">
        <v>178</v>
      </c>
      <c r="S66" s="33" t="n">
        <f aca="false">SUM(S63)</f>
        <v>56087.8182</v>
      </c>
      <c r="T66" s="22"/>
      <c r="U66" s="23"/>
      <c r="V66" s="24"/>
      <c r="W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3.5" hidden="false" customHeight="false" outlineLevel="0" collapsed="false">
      <c r="A67" s="15"/>
      <c r="B67" s="16"/>
      <c r="C67" s="16"/>
      <c r="D67" s="17"/>
      <c r="E67" s="17"/>
      <c r="F67" s="15"/>
      <c r="G67" s="15"/>
      <c r="H67" s="16"/>
      <c r="I67" s="18"/>
      <c r="J67" s="19"/>
      <c r="K67" s="19"/>
      <c r="L67" s="19"/>
      <c r="M67" s="19"/>
      <c r="N67" s="20"/>
      <c r="O67" s="19"/>
      <c r="P67" s="21"/>
      <c r="Q67" s="69"/>
      <c r="R67" s="72" t="s">
        <v>179</v>
      </c>
      <c r="S67" s="102" t="n">
        <f aca="false">+S65-S66</f>
        <v>714.1446</v>
      </c>
      <c r="T67" s="22"/>
      <c r="U67" s="23"/>
      <c r="V67" s="24"/>
      <c r="W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3.5" hidden="false" customHeight="false" outlineLevel="0" collapsed="false">
      <c r="A68" s="15"/>
      <c r="B68" s="16"/>
      <c r="C68" s="16"/>
      <c r="D68" s="17"/>
      <c r="E68" s="17"/>
      <c r="F68" s="15"/>
      <c r="G68" s="15"/>
      <c r="H68" s="16"/>
      <c r="I68" s="18"/>
      <c r="J68" s="19"/>
      <c r="K68" s="19"/>
      <c r="L68" s="19"/>
      <c r="M68" s="19"/>
      <c r="N68" s="20"/>
      <c r="O68" s="19"/>
      <c r="P68" s="21"/>
      <c r="Q68" s="16"/>
      <c r="R68" s="15"/>
      <c r="S68" s="22"/>
      <c r="T68" s="22"/>
      <c r="U68" s="23"/>
      <c r="V68" s="24"/>
      <c r="W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03" t="s">
        <v>101</v>
      </c>
      <c r="B69" s="104" t="s">
        <v>102</v>
      </c>
      <c r="C69" s="104" t="s">
        <v>103</v>
      </c>
      <c r="D69" s="105" t="s">
        <v>104</v>
      </c>
      <c r="E69" s="105"/>
      <c r="F69" s="103" t="s">
        <v>105</v>
      </c>
      <c r="G69" s="103" t="s">
        <v>106</v>
      </c>
      <c r="H69" s="104" t="s">
        <v>107</v>
      </c>
      <c r="I69" s="106" t="s">
        <v>108</v>
      </c>
      <c r="J69" s="104" t="s">
        <v>109</v>
      </c>
      <c r="K69" s="104" t="s">
        <v>110</v>
      </c>
      <c r="L69" s="104" t="s">
        <v>111</v>
      </c>
      <c r="M69" s="104" t="s">
        <v>112</v>
      </c>
      <c r="N69" s="107" t="s">
        <v>113</v>
      </c>
      <c r="O69" s="104" t="s">
        <v>114</v>
      </c>
      <c r="P69" s="108" t="s">
        <v>115</v>
      </c>
      <c r="Q69" s="104" t="s">
        <v>116</v>
      </c>
      <c r="R69" s="103" t="s">
        <v>117</v>
      </c>
      <c r="S69" s="84" t="s">
        <v>184</v>
      </c>
      <c r="T69" s="84" t="s">
        <v>304</v>
      </c>
      <c r="U69" s="86"/>
      <c r="V69" s="86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09"/>
      <c r="CS69" s="109"/>
      <c r="CT69" s="109"/>
      <c r="CU69" s="109"/>
      <c r="CV69" s="109"/>
      <c r="CW69" s="109"/>
      <c r="CX69" s="109"/>
      <c r="CY69" s="109"/>
      <c r="CZ69" s="109"/>
      <c r="DA69" s="109"/>
      <c r="DB69" s="109"/>
      <c r="DC69" s="109"/>
      <c r="DD69" s="109"/>
      <c r="DE69" s="109"/>
      <c r="DF69" s="109"/>
      <c r="DG69" s="109"/>
      <c r="DH69" s="109"/>
      <c r="DI69" s="109"/>
      <c r="DJ69" s="109"/>
      <c r="DK69" s="109"/>
      <c r="DL69" s="109"/>
      <c r="DM69" s="109"/>
      <c r="DN69" s="109"/>
      <c r="DO69" s="109"/>
      <c r="DP69" s="109"/>
      <c r="DQ69" s="109"/>
      <c r="DR69" s="109"/>
      <c r="DS69" s="109"/>
      <c r="DT69" s="109"/>
      <c r="DU69" s="109"/>
      <c r="DV69" s="109"/>
      <c r="DW69" s="109"/>
      <c r="DX69" s="109"/>
      <c r="DY69" s="109"/>
      <c r="DZ69" s="109"/>
      <c r="EA69" s="109"/>
      <c r="EB69" s="109"/>
      <c r="EC69" s="109"/>
      <c r="ED69" s="109"/>
      <c r="EE69" s="109"/>
      <c r="EF69" s="109"/>
      <c r="EG69" s="109"/>
      <c r="EH69" s="109"/>
      <c r="EI69" s="109"/>
      <c r="EJ69" s="109"/>
      <c r="EK69" s="109"/>
      <c r="EL69" s="109"/>
      <c r="EM69" s="109"/>
      <c r="EN69" s="109"/>
      <c r="EO69" s="109"/>
      <c r="EP69" s="109"/>
      <c r="EQ69" s="109"/>
      <c r="ER69" s="109"/>
      <c r="ES69" s="109"/>
      <c r="ET69" s="109"/>
      <c r="EU69" s="109"/>
      <c r="EV69" s="109"/>
      <c r="EW69" s="109"/>
      <c r="EX69" s="109"/>
      <c r="EY69" s="109"/>
      <c r="EZ69" s="109"/>
      <c r="FA69" s="109"/>
      <c r="FB69" s="109"/>
      <c r="FC69" s="109"/>
      <c r="FD69" s="109"/>
      <c r="FE69" s="109"/>
      <c r="FF69" s="109"/>
      <c r="FG69" s="109"/>
      <c r="FH69" s="109"/>
      <c r="FI69" s="109"/>
      <c r="FJ69" s="109"/>
      <c r="FK69" s="109"/>
      <c r="FL69" s="109"/>
      <c r="FM69" s="109"/>
      <c r="FN69" s="109"/>
      <c r="FO69" s="109"/>
      <c r="FP69" s="109"/>
      <c r="FQ69" s="109"/>
      <c r="FR69" s="109"/>
      <c r="FS69" s="109"/>
      <c r="FT69" s="109"/>
      <c r="FU69" s="109"/>
      <c r="FV69" s="109"/>
      <c r="FW69" s="109"/>
      <c r="FX69" s="109"/>
      <c r="FY69" s="109"/>
      <c r="FZ69" s="109"/>
      <c r="GA69" s="109"/>
      <c r="GB69" s="109"/>
      <c r="GC69" s="109"/>
      <c r="GD69" s="109"/>
      <c r="GE69" s="109"/>
      <c r="GF69" s="109"/>
      <c r="GG69" s="109"/>
      <c r="GH69" s="109"/>
      <c r="GI69" s="109"/>
      <c r="GJ69" s="109"/>
      <c r="GK69" s="109"/>
      <c r="GL69" s="109"/>
      <c r="GM69" s="109"/>
      <c r="GN69" s="109"/>
      <c r="GO69" s="109"/>
      <c r="GP69" s="109"/>
      <c r="GQ69" s="109"/>
      <c r="GR69" s="109"/>
      <c r="GS69" s="109"/>
      <c r="GT69" s="109"/>
      <c r="GU69" s="109"/>
      <c r="GV69" s="109"/>
      <c r="GW69" s="109"/>
      <c r="GX69" s="109"/>
      <c r="GY69" s="109"/>
      <c r="GZ69" s="109"/>
      <c r="HA69" s="109"/>
      <c r="HB69" s="109"/>
      <c r="HC69" s="109"/>
      <c r="HD69" s="109"/>
      <c r="HE69" s="109"/>
      <c r="HF69" s="109"/>
      <c r="HG69" s="109"/>
      <c r="HH69" s="109"/>
      <c r="HI69" s="109"/>
      <c r="HJ69" s="109"/>
      <c r="HK69" s="109"/>
      <c r="HL69" s="109"/>
      <c r="HM69" s="109"/>
      <c r="HN69" s="109"/>
      <c r="HO69" s="109"/>
      <c r="HP69" s="109"/>
      <c r="HQ69" s="109"/>
      <c r="HR69" s="109"/>
      <c r="HS69" s="109"/>
      <c r="HT69" s="109"/>
      <c r="HU69" s="109"/>
      <c r="HV69" s="109"/>
      <c r="HW69" s="109"/>
      <c r="HX69" s="109"/>
      <c r="HY69" s="109"/>
      <c r="HZ69" s="109"/>
      <c r="IA69" s="109"/>
      <c r="IB69" s="109"/>
      <c r="IC69" s="109"/>
      <c r="ID69" s="109"/>
      <c r="IE69" s="109"/>
      <c r="IF69" s="109"/>
      <c r="IG69" s="109"/>
      <c r="IH69" s="109"/>
      <c r="II69" s="109"/>
      <c r="IJ69" s="109"/>
      <c r="IK69" s="109"/>
      <c r="IL69" s="109"/>
      <c r="IM69" s="109"/>
      <c r="IN69" s="109"/>
      <c r="IO69" s="109"/>
      <c r="IP69" s="109"/>
      <c r="IQ69" s="109"/>
      <c r="IR69" s="109"/>
      <c r="IS69" s="109"/>
      <c r="IT69" s="109"/>
      <c r="IU69" s="109"/>
      <c r="IV69" s="109"/>
      <c r="IW69" s="109"/>
    </row>
    <row r="70" customFormat="false" ht="12.75" hidden="false" customHeight="false" outlineLevel="0" collapsed="false">
      <c r="A70" s="15" t="s">
        <v>209</v>
      </c>
      <c r="B70" s="16" t="s">
        <v>200</v>
      </c>
      <c r="C70" s="16" t="s">
        <v>299</v>
      </c>
      <c r="D70" s="17" t="n">
        <v>36342</v>
      </c>
      <c r="E70" s="17" t="n">
        <v>39172</v>
      </c>
      <c r="F70" s="15" t="s">
        <v>313</v>
      </c>
      <c r="G70" s="15" t="s">
        <v>314</v>
      </c>
      <c r="H70" s="16" t="s">
        <v>315</v>
      </c>
      <c r="I70" s="18" t="n">
        <f aca="false">10.81/I1</f>
        <v>0.348709677419355</v>
      </c>
      <c r="J70" s="19" t="n">
        <v>0</v>
      </c>
      <c r="K70" s="19" t="n">
        <v>0.0022</v>
      </c>
      <c r="L70" s="19" t="n">
        <v>0.0075</v>
      </c>
      <c r="M70" s="19" t="n">
        <v>0</v>
      </c>
      <c r="N70" s="130" t="n">
        <v>0.0131</v>
      </c>
      <c r="O70" s="19" t="n">
        <f aca="false">SUM(I70:M70)</f>
        <v>0.358409677419355</v>
      </c>
      <c r="P70" s="21" t="n">
        <v>29667</v>
      </c>
      <c r="Q70" s="16" t="n">
        <v>35000</v>
      </c>
      <c r="R70" s="165" t="s">
        <v>316</v>
      </c>
      <c r="S70" s="166" t="n">
        <f aca="false">I70*$I$1*Q70</f>
        <v>378350</v>
      </c>
      <c r="T70" s="22"/>
      <c r="U70" s="24" t="s">
        <v>317</v>
      </c>
      <c r="V70" s="24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" hidden="false" customHeight="true" outlineLevel="0" collapsed="false">
      <c r="A71" s="15" t="s">
        <v>137</v>
      </c>
      <c r="B71" s="16" t="s">
        <v>318</v>
      </c>
      <c r="C71" s="16" t="s">
        <v>319</v>
      </c>
      <c r="D71" s="17" t="n">
        <v>36617</v>
      </c>
      <c r="E71" s="17" t="n">
        <v>36829</v>
      </c>
      <c r="F71" s="15" t="n">
        <v>4</v>
      </c>
      <c r="G71" s="15" t="n">
        <v>6</v>
      </c>
      <c r="H71" s="16" t="s">
        <v>146</v>
      </c>
      <c r="I71" s="18" t="n">
        <f aca="false">0.76/I$1</f>
        <v>0.0245161290322581</v>
      </c>
      <c r="J71" s="19" t="n">
        <v>0</v>
      </c>
      <c r="K71" s="19" t="n">
        <v>0</v>
      </c>
      <c r="L71" s="19" t="n">
        <v>0</v>
      </c>
      <c r="M71" s="19" t="n">
        <v>0</v>
      </c>
      <c r="N71" s="110" t="n">
        <v>0.0101</v>
      </c>
      <c r="O71" s="19" t="n">
        <f aca="false">SUM(I71:M71)</f>
        <v>0.0245161290322581</v>
      </c>
      <c r="P71" s="21" t="n">
        <v>33141</v>
      </c>
      <c r="Q71" s="16" t="n">
        <v>5265</v>
      </c>
      <c r="R71" s="129" t="s">
        <v>1</v>
      </c>
      <c r="S71" s="166" t="n">
        <f aca="false">I71*$I$1*Q71</f>
        <v>4001.4</v>
      </c>
      <c r="T71" s="22"/>
      <c r="U71" s="24" t="n">
        <v>238860</v>
      </c>
      <c r="V71" s="24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" hidden="false" customHeight="true" outlineLevel="0" collapsed="false">
      <c r="A72" s="15" t="s">
        <v>320</v>
      </c>
      <c r="B72" s="16" t="s">
        <v>200</v>
      </c>
      <c r="C72" s="16" t="s">
        <v>319</v>
      </c>
      <c r="D72" s="17" t="n">
        <v>36896</v>
      </c>
      <c r="E72" s="17" t="n">
        <v>36922</v>
      </c>
      <c r="F72" s="15" t="s">
        <v>321</v>
      </c>
      <c r="G72" s="15" t="s">
        <v>322</v>
      </c>
      <c r="H72" s="16" t="s">
        <v>146</v>
      </c>
      <c r="I72" s="18" t="n">
        <v>0</v>
      </c>
      <c r="J72" s="19" t="n">
        <v>0</v>
      </c>
      <c r="K72" s="19" t="n">
        <v>0</v>
      </c>
      <c r="L72" s="19" t="n">
        <v>0</v>
      </c>
      <c r="M72" s="19" t="n">
        <v>0</v>
      </c>
      <c r="N72" s="110" t="n">
        <v>0.0101</v>
      </c>
      <c r="O72" s="19" t="n">
        <f aca="false">SUM(I72:M72)</f>
        <v>0</v>
      </c>
      <c r="P72" s="21" t="n">
        <v>2891</v>
      </c>
      <c r="Q72" s="16" t="n">
        <v>5000</v>
      </c>
      <c r="R72" s="129" t="s">
        <v>323</v>
      </c>
      <c r="S72" s="166"/>
      <c r="T72" s="22"/>
      <c r="U72" s="24" t="n">
        <v>238860</v>
      </c>
      <c r="V72" s="24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A73" s="72" t="s">
        <v>1</v>
      </c>
      <c r="B73" s="67" t="s">
        <v>1</v>
      </c>
      <c r="C73" s="67" t="s">
        <v>1</v>
      </c>
      <c r="D73" s="73" t="s">
        <v>1</v>
      </c>
      <c r="E73" s="73" t="s">
        <v>1</v>
      </c>
      <c r="F73" s="72" t="s">
        <v>1</v>
      </c>
      <c r="G73" s="72" t="s">
        <v>1</v>
      </c>
      <c r="H73" s="67" t="s">
        <v>1</v>
      </c>
      <c r="I73" s="75" t="s">
        <v>1</v>
      </c>
      <c r="J73" s="66" t="s">
        <v>1</v>
      </c>
      <c r="K73" s="66" t="s">
        <v>1</v>
      </c>
      <c r="L73" s="66" t="s">
        <v>1</v>
      </c>
      <c r="M73" s="66" t="s">
        <v>215</v>
      </c>
      <c r="N73" s="130" t="s">
        <v>1</v>
      </c>
      <c r="O73" s="66" t="s">
        <v>1</v>
      </c>
      <c r="P73" s="126" t="s">
        <v>1</v>
      </c>
      <c r="Q73" s="67" t="s">
        <v>1</v>
      </c>
      <c r="R73" s="72" t="s">
        <v>1</v>
      </c>
      <c r="S73" s="33"/>
      <c r="T73" s="33" t="n">
        <f aca="false">SUM(T69:T71)</f>
        <v>0</v>
      </c>
      <c r="U73" s="35"/>
      <c r="V73" s="35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127"/>
      <c r="GX73" s="127"/>
      <c r="GY73" s="127"/>
      <c r="GZ73" s="127"/>
      <c r="HA73" s="127"/>
      <c r="HB73" s="127"/>
      <c r="HC73" s="127"/>
      <c r="HD73" s="127"/>
      <c r="HE73" s="127"/>
      <c r="HF73" s="127"/>
      <c r="HG73" s="127"/>
      <c r="HH73" s="127"/>
      <c r="HI73" s="127"/>
      <c r="HJ73" s="127"/>
      <c r="HK73" s="127"/>
      <c r="HL73" s="127"/>
      <c r="HM73" s="127"/>
      <c r="HN73" s="127"/>
      <c r="HO73" s="127"/>
      <c r="HP73" s="127"/>
      <c r="HQ73" s="127"/>
      <c r="HR73" s="127"/>
      <c r="HS73" s="127"/>
      <c r="HT73" s="127"/>
      <c r="HU73" s="127"/>
      <c r="HV73" s="127"/>
      <c r="HW73" s="127"/>
      <c r="HX73" s="127"/>
      <c r="HY73" s="127"/>
      <c r="HZ73" s="127"/>
      <c r="IA73" s="127"/>
      <c r="IB73" s="127"/>
      <c r="IC73" s="127"/>
      <c r="ID73" s="127"/>
      <c r="IE73" s="127"/>
      <c r="IF73" s="127"/>
      <c r="IG73" s="127"/>
      <c r="IH73" s="127"/>
      <c r="II73" s="127"/>
      <c r="IJ73" s="127"/>
      <c r="IK73" s="127"/>
      <c r="IL73" s="127"/>
      <c r="IM73" s="127"/>
      <c r="IN73" s="127"/>
      <c r="IO73" s="127"/>
      <c r="IP73" s="127"/>
      <c r="IQ73" s="127"/>
      <c r="IR73" s="127"/>
      <c r="IS73" s="127"/>
      <c r="IT73" s="127"/>
      <c r="IU73" s="127"/>
      <c r="IV73" s="127"/>
      <c r="IW73" s="127"/>
    </row>
    <row r="74" customFormat="false" ht="12.75" hidden="false" customHeight="false" outlineLevel="0" collapsed="false">
      <c r="A74" s="72"/>
      <c r="B74" s="67"/>
      <c r="C74" s="67" t="n">
        <f aca="false">65000/12</f>
        <v>5416.66666666667</v>
      </c>
      <c r="D74" s="73"/>
      <c r="E74" s="73"/>
      <c r="F74" s="72"/>
      <c r="G74" s="72"/>
      <c r="H74" s="67"/>
      <c r="I74" s="75"/>
      <c r="J74" s="66"/>
      <c r="K74" s="66"/>
      <c r="L74" s="66"/>
      <c r="M74" s="66"/>
      <c r="N74" s="76"/>
      <c r="O74" s="66"/>
      <c r="P74" s="126"/>
      <c r="Q74" s="67" t="n">
        <f aca="false">SUM(Q70:Q73)</f>
        <v>45265</v>
      </c>
      <c r="R74" s="72" t="s">
        <v>177</v>
      </c>
      <c r="S74" s="33" t="n">
        <f aca="false">SUM(S70:S73)</f>
        <v>382351.4</v>
      </c>
      <c r="T74" s="33"/>
      <c r="U74" s="34"/>
      <c r="V74" s="35"/>
      <c r="W74" s="35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127"/>
      <c r="FY74" s="127"/>
      <c r="FZ74" s="127"/>
      <c r="GA74" s="127"/>
      <c r="GB74" s="127"/>
      <c r="GC74" s="127"/>
      <c r="GD74" s="127"/>
      <c r="GE74" s="127"/>
      <c r="GF74" s="127"/>
      <c r="GG74" s="127"/>
      <c r="GH74" s="127"/>
      <c r="GI74" s="127"/>
      <c r="GJ74" s="127"/>
      <c r="GK74" s="127"/>
      <c r="GL74" s="127"/>
      <c r="GM74" s="127"/>
      <c r="GN74" s="127"/>
      <c r="GO74" s="127"/>
      <c r="GP74" s="127"/>
      <c r="GQ74" s="127"/>
      <c r="GR74" s="127"/>
      <c r="GS74" s="127"/>
      <c r="GT74" s="127"/>
      <c r="GU74" s="127"/>
      <c r="GV74" s="127"/>
      <c r="GW74" s="127"/>
      <c r="GX74" s="127"/>
      <c r="GY74" s="127"/>
      <c r="GZ74" s="127"/>
      <c r="HA74" s="127"/>
      <c r="HB74" s="127"/>
      <c r="HC74" s="127"/>
      <c r="HD74" s="127"/>
      <c r="HE74" s="127"/>
      <c r="HF74" s="127"/>
      <c r="HG74" s="127"/>
      <c r="HH74" s="127"/>
      <c r="HI74" s="127"/>
      <c r="HJ74" s="127"/>
      <c r="HK74" s="127"/>
      <c r="HL74" s="127"/>
      <c r="HM74" s="127"/>
      <c r="HN74" s="127"/>
      <c r="HO74" s="127"/>
      <c r="HP74" s="127"/>
      <c r="HQ74" s="127"/>
      <c r="HR74" s="127"/>
      <c r="HS74" s="127"/>
      <c r="HT74" s="127"/>
      <c r="HU74" s="127"/>
      <c r="HV74" s="127"/>
      <c r="HW74" s="127"/>
      <c r="HX74" s="127"/>
      <c r="HY74" s="127"/>
      <c r="HZ74" s="127"/>
      <c r="IA74" s="127"/>
      <c r="IB74" s="127"/>
      <c r="IC74" s="127"/>
      <c r="ID74" s="127"/>
      <c r="IE74" s="127"/>
      <c r="IF74" s="127"/>
      <c r="IG74" s="127"/>
      <c r="IH74" s="127"/>
      <c r="II74" s="127"/>
      <c r="IJ74" s="127"/>
      <c r="IK74" s="127"/>
      <c r="IL74" s="127"/>
      <c r="IM74" s="127"/>
      <c r="IN74" s="127"/>
      <c r="IO74" s="127"/>
      <c r="IP74" s="127"/>
      <c r="IQ74" s="127"/>
      <c r="IR74" s="127"/>
      <c r="IS74" s="127"/>
      <c r="IT74" s="127"/>
      <c r="IU74" s="127"/>
      <c r="IV74" s="127"/>
      <c r="IW74" s="127"/>
    </row>
    <row r="75" customFormat="false" ht="12.75" hidden="false" customHeight="false" outlineLevel="0" collapsed="false">
      <c r="A75" s="15"/>
      <c r="B75" s="16"/>
      <c r="C75" s="16"/>
      <c r="D75" s="17"/>
      <c r="E75" s="17"/>
      <c r="F75" s="15"/>
      <c r="G75" s="15"/>
      <c r="H75" s="16"/>
      <c r="I75" s="18"/>
      <c r="J75" s="19"/>
      <c r="K75" s="19"/>
      <c r="L75" s="19"/>
      <c r="M75" s="19"/>
      <c r="N75" s="20"/>
      <c r="O75" s="19"/>
      <c r="P75" s="21"/>
      <c r="Q75" s="69"/>
      <c r="R75" s="72" t="s">
        <v>178</v>
      </c>
      <c r="S75" s="33" t="n">
        <f aca="false">SUM(S70)</f>
        <v>378350</v>
      </c>
      <c r="T75" s="22"/>
      <c r="U75" s="23"/>
      <c r="V75" s="24"/>
      <c r="W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3.5" hidden="false" customHeight="false" outlineLevel="0" collapsed="false">
      <c r="A76" s="15"/>
      <c r="B76" s="16"/>
      <c r="C76" s="16"/>
      <c r="D76" s="17"/>
      <c r="E76" s="17"/>
      <c r="F76" s="15"/>
      <c r="G76" s="15"/>
      <c r="H76" s="16"/>
      <c r="I76" s="18"/>
      <c r="J76" s="19"/>
      <c r="K76" s="19"/>
      <c r="L76" s="19"/>
      <c r="M76" s="19"/>
      <c r="N76" s="20"/>
      <c r="O76" s="19"/>
      <c r="P76" s="21"/>
      <c r="Q76" s="69"/>
      <c r="R76" s="72" t="s">
        <v>179</v>
      </c>
      <c r="S76" s="102" t="n">
        <f aca="false">+S74-S75</f>
        <v>4001.40000000002</v>
      </c>
      <c r="T76" s="22"/>
      <c r="U76" s="23"/>
      <c r="V76" s="24"/>
      <c r="W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3.5" hidden="false" customHeight="false" outlineLevel="0" collapsed="false">
      <c r="A77" s="15"/>
      <c r="B77" s="16"/>
      <c r="C77" s="16"/>
      <c r="D77" s="17"/>
      <c r="E77" s="17"/>
      <c r="F77" s="15"/>
      <c r="G77" s="15"/>
      <c r="H77" s="16"/>
      <c r="I77" s="18"/>
      <c r="J77" s="19"/>
      <c r="K77" s="19"/>
      <c r="L77" s="19"/>
      <c r="M77" s="19"/>
      <c r="N77" s="20"/>
      <c r="O77" s="19"/>
      <c r="P77" s="21"/>
      <c r="Q77" s="16"/>
      <c r="R77" s="15"/>
      <c r="S77" s="22"/>
      <c r="T77" s="22"/>
      <c r="U77" s="23"/>
      <c r="V77" s="24"/>
      <c r="W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03" t="s">
        <v>101</v>
      </c>
      <c r="B78" s="104" t="s">
        <v>102</v>
      </c>
      <c r="C78" s="104" t="s">
        <v>103</v>
      </c>
      <c r="D78" s="105" t="s">
        <v>104</v>
      </c>
      <c r="E78" s="105"/>
      <c r="F78" s="103" t="s">
        <v>105</v>
      </c>
      <c r="G78" s="103" t="s">
        <v>106</v>
      </c>
      <c r="H78" s="104" t="s">
        <v>107</v>
      </c>
      <c r="I78" s="106" t="s">
        <v>108</v>
      </c>
      <c r="J78" s="104" t="s">
        <v>109</v>
      </c>
      <c r="K78" s="104" t="s">
        <v>110</v>
      </c>
      <c r="L78" s="104" t="s">
        <v>111</v>
      </c>
      <c r="M78" s="104" t="s">
        <v>112</v>
      </c>
      <c r="N78" s="104" t="s">
        <v>243</v>
      </c>
      <c r="O78" s="104" t="s">
        <v>114</v>
      </c>
      <c r="P78" s="108" t="s">
        <v>115</v>
      </c>
      <c r="Q78" s="104" t="s">
        <v>116</v>
      </c>
      <c r="R78" s="103" t="s">
        <v>117</v>
      </c>
      <c r="S78" s="142" t="s">
        <v>184</v>
      </c>
      <c r="T78" s="84" t="s">
        <v>304</v>
      </c>
      <c r="U78" s="86"/>
      <c r="V78" s="86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09"/>
      <c r="CS78" s="109"/>
      <c r="CT78" s="109"/>
      <c r="CU78" s="109"/>
      <c r="CV78" s="109"/>
      <c r="CW78" s="109"/>
      <c r="CX78" s="109"/>
      <c r="CY78" s="109"/>
      <c r="CZ78" s="109"/>
      <c r="DA78" s="109"/>
      <c r="DB78" s="109"/>
      <c r="DC78" s="109"/>
      <c r="DD78" s="109"/>
      <c r="DE78" s="109"/>
      <c r="DF78" s="109"/>
      <c r="DG78" s="109"/>
      <c r="DH78" s="109"/>
      <c r="DI78" s="109"/>
      <c r="DJ78" s="109"/>
      <c r="DK78" s="109"/>
      <c r="DL78" s="109"/>
      <c r="DM78" s="109"/>
      <c r="DN78" s="109"/>
      <c r="DO78" s="109"/>
      <c r="DP78" s="109"/>
      <c r="DQ78" s="109"/>
      <c r="DR78" s="109"/>
      <c r="DS78" s="109"/>
      <c r="DT78" s="109"/>
      <c r="DU78" s="109"/>
      <c r="DV78" s="109"/>
      <c r="DW78" s="109"/>
      <c r="DX78" s="109"/>
      <c r="DY78" s="109"/>
      <c r="DZ78" s="109"/>
      <c r="EA78" s="109"/>
      <c r="EB78" s="109"/>
      <c r="EC78" s="109"/>
      <c r="ED78" s="109"/>
      <c r="EE78" s="109"/>
      <c r="EF78" s="109"/>
      <c r="EG78" s="109"/>
      <c r="EH78" s="109"/>
      <c r="EI78" s="109"/>
      <c r="EJ78" s="109"/>
      <c r="EK78" s="109"/>
      <c r="EL78" s="109"/>
      <c r="EM78" s="109"/>
      <c r="EN78" s="109"/>
      <c r="EO78" s="109"/>
      <c r="EP78" s="109"/>
      <c r="EQ78" s="109"/>
      <c r="ER78" s="109"/>
      <c r="ES78" s="109"/>
      <c r="ET78" s="109"/>
      <c r="EU78" s="109"/>
      <c r="EV78" s="109"/>
      <c r="EW78" s="109"/>
      <c r="EX78" s="109"/>
      <c r="EY78" s="109"/>
      <c r="EZ78" s="109"/>
      <c r="FA78" s="109"/>
      <c r="FB78" s="109"/>
      <c r="FC78" s="109"/>
      <c r="FD78" s="109"/>
      <c r="FE78" s="109"/>
      <c r="FF78" s="109"/>
      <c r="FG78" s="109"/>
      <c r="FH78" s="109"/>
      <c r="FI78" s="109"/>
      <c r="FJ78" s="109"/>
      <c r="FK78" s="109"/>
      <c r="FL78" s="109"/>
      <c r="FM78" s="109"/>
      <c r="FN78" s="109"/>
      <c r="FO78" s="109"/>
      <c r="FP78" s="109"/>
      <c r="FQ78" s="109"/>
      <c r="FR78" s="109"/>
      <c r="FS78" s="109"/>
      <c r="FT78" s="109"/>
      <c r="FU78" s="109"/>
      <c r="FV78" s="109"/>
      <c r="FW78" s="109"/>
      <c r="FX78" s="109"/>
      <c r="FY78" s="109"/>
      <c r="FZ78" s="109"/>
      <c r="GA78" s="109"/>
      <c r="GB78" s="109"/>
      <c r="GC78" s="109"/>
      <c r="GD78" s="109"/>
      <c r="GE78" s="109"/>
      <c r="GF78" s="109"/>
      <c r="GG78" s="109"/>
      <c r="GH78" s="109"/>
      <c r="GI78" s="109"/>
      <c r="GJ78" s="109"/>
      <c r="GK78" s="109"/>
      <c r="GL78" s="109"/>
      <c r="GM78" s="109"/>
      <c r="GN78" s="109"/>
      <c r="GO78" s="109"/>
      <c r="GP78" s="109"/>
      <c r="GQ78" s="109"/>
      <c r="GR78" s="109"/>
      <c r="GS78" s="109"/>
      <c r="GT78" s="109"/>
      <c r="GU78" s="109"/>
      <c r="GV78" s="109"/>
      <c r="GW78" s="109"/>
      <c r="GX78" s="109"/>
      <c r="GY78" s="109"/>
      <c r="GZ78" s="109"/>
      <c r="HA78" s="109"/>
      <c r="HB78" s="109"/>
      <c r="HC78" s="109"/>
      <c r="HD78" s="109"/>
      <c r="HE78" s="109"/>
      <c r="HF78" s="109"/>
      <c r="HG78" s="109"/>
      <c r="HH78" s="109"/>
      <c r="HI78" s="109"/>
      <c r="HJ78" s="109"/>
      <c r="HK78" s="109"/>
      <c r="HL78" s="109"/>
      <c r="HM78" s="109"/>
      <c r="HN78" s="109"/>
      <c r="HO78" s="109"/>
      <c r="HP78" s="109"/>
      <c r="HQ78" s="109"/>
      <c r="HR78" s="109"/>
      <c r="HS78" s="109"/>
      <c r="HT78" s="109"/>
      <c r="HU78" s="109"/>
      <c r="HV78" s="109"/>
      <c r="HW78" s="109"/>
      <c r="HX78" s="109"/>
      <c r="HY78" s="109"/>
      <c r="HZ78" s="109"/>
      <c r="IA78" s="109"/>
      <c r="IB78" s="109"/>
      <c r="IC78" s="109"/>
      <c r="ID78" s="109"/>
      <c r="IE78" s="109"/>
      <c r="IF78" s="109"/>
      <c r="IG78" s="109"/>
      <c r="IH78" s="109"/>
      <c r="II78" s="109"/>
      <c r="IJ78" s="109"/>
      <c r="IK78" s="109"/>
      <c r="IL78" s="109"/>
      <c r="IM78" s="109"/>
      <c r="IN78" s="109"/>
      <c r="IO78" s="109"/>
      <c r="IP78" s="109"/>
      <c r="IQ78" s="109"/>
      <c r="IR78" s="109"/>
      <c r="IS78" s="109"/>
      <c r="IT78" s="109"/>
      <c r="IU78" s="109"/>
      <c r="IV78" s="109"/>
      <c r="IW78" s="109"/>
    </row>
    <row r="79" customFormat="false" ht="12.75" hidden="false" customHeight="false" outlineLevel="0" collapsed="false">
      <c r="A79" s="15" t="s">
        <v>137</v>
      </c>
      <c r="B79" s="32" t="s">
        <v>244</v>
      </c>
      <c r="C79" s="16"/>
      <c r="D79" s="17"/>
      <c r="E79" s="17"/>
      <c r="F79" s="15"/>
      <c r="G79" s="15"/>
      <c r="H79" s="32" t="s">
        <v>235</v>
      </c>
      <c r="I79" s="18" t="n">
        <v>0</v>
      </c>
      <c r="J79" s="19"/>
      <c r="K79" s="19"/>
      <c r="L79" s="19"/>
      <c r="M79" s="19"/>
      <c r="N79" s="19"/>
      <c r="O79" s="19"/>
      <c r="P79" s="143"/>
      <c r="Q79" s="16"/>
      <c r="R79" s="15" t="s">
        <v>324</v>
      </c>
      <c r="S79" s="22" t="n">
        <f aca="false">I79*$I$1*Q79</f>
        <v>0</v>
      </c>
      <c r="T79" s="22"/>
      <c r="U79" s="24"/>
      <c r="V79" s="24"/>
      <c r="W79" s="25"/>
    </row>
    <row r="80" customFormat="false" ht="12.75" hidden="false" customHeight="false" outlineLevel="0" collapsed="false">
      <c r="A80" s="15"/>
      <c r="B80" s="32"/>
      <c r="C80" s="16"/>
      <c r="D80" s="17"/>
      <c r="E80" s="17"/>
      <c r="F80" s="15"/>
      <c r="G80" s="15"/>
      <c r="H80" s="32"/>
      <c r="I80" s="18"/>
      <c r="J80" s="19"/>
      <c r="K80" s="19"/>
      <c r="L80" s="19"/>
      <c r="M80" s="19"/>
      <c r="N80" s="19"/>
      <c r="O80" s="19"/>
      <c r="P80" s="143"/>
      <c r="Q80" s="16"/>
      <c r="R80" s="15"/>
      <c r="S80" s="22"/>
      <c r="T80" s="22"/>
      <c r="U80" s="24"/>
      <c r="V80" s="24"/>
      <c r="W80" s="25"/>
    </row>
    <row r="81" customFormat="false" ht="12.75" hidden="false" customHeight="false" outlineLevel="0" collapsed="false">
      <c r="N81" s="25"/>
      <c r="P81" s="1"/>
      <c r="Q81" s="1"/>
      <c r="S81" s="152"/>
      <c r="W81" s="25"/>
    </row>
    <row r="82" customFormat="false" ht="12.75" hidden="false" customHeight="false" outlineLevel="0" collapsed="false">
      <c r="A82" s="72"/>
      <c r="B82" s="67"/>
      <c r="C82" s="67"/>
      <c r="D82" s="73"/>
      <c r="E82" s="73"/>
      <c r="F82" s="72"/>
      <c r="G82" s="72"/>
      <c r="H82" s="67"/>
      <c r="I82" s="75"/>
      <c r="J82" s="66"/>
      <c r="K82" s="66"/>
      <c r="L82" s="66"/>
      <c r="M82" s="66"/>
      <c r="N82" s="76"/>
      <c r="O82" s="66"/>
      <c r="P82" s="126"/>
      <c r="Q82" s="67" t="n">
        <f aca="false">SUM(Q80:Q81)</f>
        <v>0</v>
      </c>
      <c r="R82" s="72" t="s">
        <v>177</v>
      </c>
      <c r="S82" s="33" t="n">
        <f aca="false">SUM(S79:S81)</f>
        <v>0</v>
      </c>
      <c r="T82" s="33"/>
      <c r="U82" s="34"/>
      <c r="V82" s="35"/>
      <c r="W82" s="35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7"/>
      <c r="DC82" s="127"/>
      <c r="DD82" s="127"/>
      <c r="DE82" s="127"/>
      <c r="DF82" s="127"/>
      <c r="DG82" s="127"/>
      <c r="DH82" s="127"/>
      <c r="DI82" s="127"/>
      <c r="DJ82" s="127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127"/>
      <c r="DV82" s="127"/>
      <c r="DW82" s="127"/>
      <c r="DX82" s="127"/>
      <c r="DY82" s="127"/>
      <c r="DZ82" s="127"/>
      <c r="EA82" s="127"/>
      <c r="EB82" s="127"/>
      <c r="EC82" s="127"/>
      <c r="ED82" s="127"/>
      <c r="EE82" s="127"/>
      <c r="EF82" s="127"/>
      <c r="EG82" s="127"/>
      <c r="EH82" s="127"/>
      <c r="EI82" s="127"/>
      <c r="EJ82" s="127"/>
      <c r="EK82" s="127"/>
      <c r="EL82" s="127"/>
      <c r="EM82" s="127"/>
      <c r="EN82" s="127"/>
      <c r="EO82" s="127"/>
      <c r="EP82" s="127"/>
      <c r="EQ82" s="127"/>
      <c r="ER82" s="127"/>
      <c r="ES82" s="127"/>
      <c r="ET82" s="127"/>
      <c r="EU82" s="127"/>
      <c r="EV82" s="127"/>
      <c r="EW82" s="127"/>
      <c r="EX82" s="127"/>
      <c r="EY82" s="127"/>
      <c r="EZ82" s="127"/>
      <c r="FA82" s="127"/>
      <c r="FB82" s="127"/>
      <c r="FC82" s="127"/>
      <c r="FD82" s="127"/>
      <c r="FE82" s="127"/>
      <c r="FF82" s="127"/>
      <c r="FG82" s="127"/>
      <c r="FH82" s="127"/>
      <c r="FI82" s="127"/>
      <c r="FJ82" s="127"/>
      <c r="FK82" s="127"/>
      <c r="FL82" s="127"/>
      <c r="FM82" s="127"/>
      <c r="FN82" s="127"/>
      <c r="FO82" s="127"/>
      <c r="FP82" s="127"/>
      <c r="FQ82" s="127"/>
      <c r="FR82" s="127"/>
      <c r="FS82" s="127"/>
      <c r="FT82" s="127"/>
      <c r="FU82" s="127"/>
      <c r="FV82" s="127"/>
      <c r="FW82" s="127"/>
      <c r="FX82" s="127"/>
      <c r="FY82" s="127"/>
      <c r="FZ82" s="127"/>
      <c r="GA82" s="127"/>
      <c r="GB82" s="127"/>
      <c r="GC82" s="127"/>
      <c r="GD82" s="127"/>
      <c r="GE82" s="127"/>
      <c r="GF82" s="127"/>
      <c r="GG82" s="127"/>
      <c r="GH82" s="127"/>
      <c r="GI82" s="127"/>
      <c r="GJ82" s="127"/>
      <c r="GK82" s="127"/>
      <c r="GL82" s="127"/>
      <c r="GM82" s="127"/>
      <c r="GN82" s="127"/>
      <c r="GO82" s="127"/>
      <c r="GP82" s="127"/>
      <c r="GQ82" s="127"/>
      <c r="GR82" s="127"/>
      <c r="GS82" s="127"/>
      <c r="GT82" s="127"/>
      <c r="GU82" s="127"/>
      <c r="GV82" s="127"/>
      <c r="GW82" s="127"/>
      <c r="GX82" s="127"/>
      <c r="GY82" s="127"/>
      <c r="GZ82" s="127"/>
      <c r="HA82" s="127"/>
      <c r="HB82" s="127"/>
      <c r="HC82" s="127"/>
      <c r="HD82" s="127"/>
      <c r="HE82" s="127"/>
      <c r="HF82" s="127"/>
      <c r="HG82" s="127"/>
      <c r="HH82" s="127"/>
      <c r="HI82" s="127"/>
      <c r="HJ82" s="127"/>
      <c r="HK82" s="127"/>
      <c r="HL82" s="127"/>
      <c r="HM82" s="127"/>
      <c r="HN82" s="127"/>
      <c r="HO82" s="127"/>
      <c r="HP82" s="127"/>
      <c r="HQ82" s="127"/>
      <c r="HR82" s="127"/>
      <c r="HS82" s="127"/>
      <c r="HT82" s="127"/>
      <c r="HU82" s="127"/>
      <c r="HV82" s="127"/>
      <c r="HW82" s="127"/>
      <c r="HX82" s="127"/>
      <c r="HY82" s="127"/>
      <c r="HZ82" s="127"/>
      <c r="IA82" s="127"/>
      <c r="IB82" s="127"/>
      <c r="IC82" s="127"/>
      <c r="ID82" s="127"/>
      <c r="IE82" s="127"/>
      <c r="IF82" s="127"/>
      <c r="IG82" s="127"/>
      <c r="IH82" s="127"/>
      <c r="II82" s="127"/>
      <c r="IJ82" s="127"/>
      <c r="IK82" s="127"/>
      <c r="IL82" s="127"/>
      <c r="IM82" s="127"/>
      <c r="IN82" s="127"/>
      <c r="IO82" s="127"/>
      <c r="IP82" s="127"/>
      <c r="IQ82" s="127"/>
      <c r="IR82" s="127"/>
      <c r="IS82" s="127"/>
      <c r="IT82" s="127"/>
      <c r="IU82" s="127"/>
      <c r="IV82" s="127"/>
      <c r="IW82" s="127"/>
    </row>
    <row r="83" customFormat="false" ht="12.75" hidden="false" customHeight="false" outlineLevel="0" collapsed="false">
      <c r="A83" s="15"/>
      <c r="B83" s="16"/>
      <c r="C83" s="16"/>
      <c r="D83" s="17"/>
      <c r="E83" s="17"/>
      <c r="F83" s="15"/>
      <c r="G83" s="15"/>
      <c r="H83" s="16"/>
      <c r="I83" s="18"/>
      <c r="J83" s="19"/>
      <c r="K83" s="19"/>
      <c r="L83" s="19"/>
      <c r="M83" s="19"/>
      <c r="N83" s="20"/>
      <c r="O83" s="19"/>
      <c r="P83" s="21"/>
      <c r="Q83" s="69"/>
      <c r="R83" s="72" t="s">
        <v>178</v>
      </c>
      <c r="S83" s="33" t="n">
        <v>0</v>
      </c>
      <c r="T83" s="22"/>
      <c r="U83" s="23"/>
      <c r="V83" s="24"/>
      <c r="W83" s="24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3.5" hidden="false" customHeight="false" outlineLevel="0" collapsed="false">
      <c r="A84" s="15"/>
      <c r="B84" s="16"/>
      <c r="C84" s="16"/>
      <c r="D84" s="17"/>
      <c r="E84" s="17"/>
      <c r="F84" s="15"/>
      <c r="G84" s="15"/>
      <c r="H84" s="16"/>
      <c r="I84" s="18"/>
      <c r="J84" s="19"/>
      <c r="K84" s="19"/>
      <c r="L84" s="19"/>
      <c r="M84" s="19"/>
      <c r="N84" s="20"/>
      <c r="O84" s="19"/>
      <c r="P84" s="21"/>
      <c r="Q84" s="69"/>
      <c r="R84" s="72" t="s">
        <v>179</v>
      </c>
      <c r="S84" s="128" t="n">
        <f aca="false">+S82-S83</f>
        <v>0</v>
      </c>
      <c r="T84" s="22"/>
      <c r="U84" s="23"/>
      <c r="V84" s="24"/>
      <c r="W84" s="24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3.5" hidden="false" customHeight="false" outlineLevel="0" collapsed="false">
      <c r="A85" s="15"/>
      <c r="B85" s="16"/>
      <c r="C85" s="16"/>
      <c r="D85" s="17"/>
      <c r="E85" s="17"/>
      <c r="F85" s="15"/>
      <c r="G85" s="15"/>
      <c r="H85" s="16"/>
      <c r="I85" s="18"/>
      <c r="J85" s="19"/>
      <c r="K85" s="19"/>
      <c r="L85" s="19"/>
      <c r="M85" s="19"/>
      <c r="N85" s="20"/>
      <c r="O85" s="19"/>
      <c r="P85" s="21"/>
      <c r="Q85" s="16"/>
      <c r="R85" s="15"/>
      <c r="S85" s="22"/>
      <c r="T85" s="22"/>
      <c r="U85" s="23"/>
      <c r="V85" s="24"/>
      <c r="W85" s="24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5"/>
      <c r="B86" s="16"/>
      <c r="C86" s="16"/>
      <c r="D86" s="17"/>
      <c r="E86" s="17"/>
      <c r="F86" s="15"/>
      <c r="G86" s="15"/>
      <c r="H86" s="16"/>
      <c r="I86" s="18"/>
      <c r="J86" s="19"/>
      <c r="K86" s="66"/>
      <c r="L86" s="19"/>
      <c r="M86" s="19"/>
      <c r="N86" s="20"/>
      <c r="O86" s="19"/>
      <c r="P86" s="126"/>
      <c r="Q86" s="69"/>
      <c r="R86" s="67"/>
      <c r="S86" s="153"/>
      <c r="T86" s="33"/>
      <c r="U86" s="23"/>
      <c r="V86" s="24"/>
      <c r="W86" s="24"/>
    </row>
    <row r="87" customFormat="false" ht="12.75" hidden="false" customHeight="false" outlineLevel="0" collapsed="false">
      <c r="A87" s="15"/>
      <c r="B87" s="16"/>
      <c r="C87" s="16"/>
      <c r="D87" s="17"/>
      <c r="E87" s="17"/>
      <c r="F87" s="15"/>
      <c r="G87" s="15"/>
      <c r="H87" s="16"/>
      <c r="I87" s="18"/>
      <c r="J87" s="19"/>
      <c r="K87" s="66"/>
      <c r="L87" s="19"/>
      <c r="M87" s="19"/>
      <c r="N87" s="154"/>
      <c r="O87" s="19"/>
      <c r="P87" s="126"/>
      <c r="Q87" s="67"/>
      <c r="R87" s="67"/>
      <c r="S87" s="127"/>
      <c r="T87" s="71"/>
      <c r="V87" s="155"/>
      <c r="W87" s="155"/>
    </row>
    <row r="88" customFormat="false" ht="12.75" hidden="false" customHeight="false" outlineLevel="0" collapsed="false">
      <c r="A88" s="15"/>
      <c r="B88" s="16"/>
      <c r="C88" s="16"/>
      <c r="D88" s="17" t="s">
        <v>1</v>
      </c>
      <c r="E88" s="17"/>
      <c r="F88" s="15"/>
      <c r="G88" s="15"/>
      <c r="H88" s="16"/>
      <c r="I88" s="18"/>
      <c r="J88" s="19"/>
      <c r="K88" s="66"/>
      <c r="L88" s="19"/>
      <c r="M88" s="19"/>
      <c r="N88" s="20"/>
      <c r="O88" s="19"/>
      <c r="P88" s="126"/>
      <c r="Q88" s="43"/>
      <c r="R88" s="158" t="s">
        <v>251</v>
      </c>
      <c r="S88" s="157" t="n">
        <f aca="false">SUM(S82,S74,S65,S57,S49,S41,S22,S14)</f>
        <v>878405.9129</v>
      </c>
      <c r="T88" s="33"/>
      <c r="U88" s="34"/>
      <c r="V88" s="35"/>
      <c r="W88" s="35"/>
    </row>
    <row r="89" customFormat="false" ht="12.75" hidden="false" customHeight="false" outlineLevel="0" collapsed="false">
      <c r="A89" s="26"/>
      <c r="B89" s="16"/>
      <c r="C89" s="16"/>
      <c r="D89" s="17"/>
      <c r="E89" s="17"/>
      <c r="F89" s="15"/>
      <c r="G89" s="15"/>
      <c r="H89" s="16"/>
      <c r="I89" s="18"/>
      <c r="J89" s="19"/>
      <c r="K89" s="19"/>
      <c r="L89" s="19"/>
      <c r="M89" s="19"/>
      <c r="N89" s="20"/>
      <c r="O89" s="19"/>
      <c r="P89" s="126"/>
      <c r="Q89" s="69"/>
      <c r="R89" s="33" t="s">
        <v>252</v>
      </c>
      <c r="S89" s="157" t="n">
        <f aca="false">SUM(S83,S75,S66,S58,S50,S42,S23,S15)</f>
        <v>736096.0152</v>
      </c>
      <c r="T89" s="33"/>
      <c r="U89" s="34"/>
      <c r="V89" s="35"/>
      <c r="W89" s="35"/>
    </row>
    <row r="90" customFormat="false" ht="13.5" hidden="false" customHeight="false" outlineLevel="0" collapsed="false">
      <c r="A90" s="26"/>
      <c r="B90" s="16"/>
      <c r="C90" s="16"/>
      <c r="D90" s="17"/>
      <c r="E90" s="17"/>
      <c r="F90" s="15"/>
      <c r="G90" s="15"/>
      <c r="H90" s="16"/>
      <c r="I90" s="19"/>
      <c r="J90" s="19"/>
      <c r="K90" s="19"/>
      <c r="L90" s="19"/>
      <c r="M90" s="19"/>
      <c r="N90" s="20"/>
      <c r="O90" s="19"/>
      <c r="P90" s="126"/>
      <c r="Q90" s="69"/>
      <c r="R90" s="33" t="s">
        <v>179</v>
      </c>
      <c r="S90" s="159" t="n">
        <f aca="false">SUM(S16,S24,S44,S51,S59,S67,S76,S84)</f>
        <v>142309.8977</v>
      </c>
      <c r="T90" s="33"/>
      <c r="U90" s="34"/>
      <c r="V90" s="35"/>
      <c r="W90" s="35"/>
    </row>
    <row r="91" customFormat="false" ht="13.5" hidden="false" customHeight="false" outlineLevel="0" collapsed="false">
      <c r="A91" s="26"/>
      <c r="B91" s="16"/>
      <c r="C91" s="16"/>
      <c r="D91" s="17"/>
      <c r="E91" s="17"/>
      <c r="F91" s="15"/>
      <c r="G91" s="15"/>
      <c r="H91" s="16"/>
      <c r="I91" s="18"/>
      <c r="J91" s="19"/>
      <c r="K91" s="19"/>
      <c r="L91" s="19"/>
      <c r="M91" s="19"/>
      <c r="N91" s="20"/>
      <c r="O91" s="19"/>
      <c r="P91" s="126"/>
      <c r="Q91" s="69"/>
      <c r="R91" s="33"/>
      <c r="S91" s="33"/>
      <c r="T91" s="33"/>
      <c r="U91" s="34"/>
      <c r="V91" s="35"/>
      <c r="W91" s="35"/>
    </row>
    <row r="92" customFormat="false" ht="12.75" hidden="false" customHeight="false" outlineLevel="0" collapsed="false">
      <c r="A92" s="26"/>
      <c r="B92" s="16"/>
      <c r="C92" s="16"/>
      <c r="D92" s="17"/>
      <c r="E92" s="17"/>
      <c r="F92" s="15"/>
      <c r="G92" s="15"/>
      <c r="H92" s="16"/>
      <c r="I92" s="19"/>
      <c r="J92" s="19"/>
      <c r="K92" s="19"/>
      <c r="L92" s="19"/>
      <c r="M92" s="19"/>
      <c r="N92" s="20"/>
      <c r="O92" s="19"/>
      <c r="P92" s="126"/>
      <c r="Q92" s="69"/>
      <c r="R92" s="33"/>
      <c r="S92" s="33"/>
      <c r="T92" s="33"/>
      <c r="U92" s="34"/>
      <c r="V92" s="35"/>
      <c r="W92" s="35"/>
    </row>
    <row r="93" customFormat="false" ht="12.75" hidden="false" customHeight="false" outlineLevel="0" collapsed="false">
      <c r="A93" s="26"/>
      <c r="B93" s="16"/>
      <c r="C93" s="16"/>
      <c r="D93" s="17"/>
      <c r="E93" s="17"/>
      <c r="F93" s="15"/>
      <c r="G93" s="15"/>
      <c r="H93" s="16"/>
      <c r="I93" s="18"/>
      <c r="J93" s="19"/>
      <c r="K93" s="19"/>
      <c r="L93" s="19"/>
      <c r="M93" s="19"/>
      <c r="N93" s="20"/>
      <c r="O93" s="19"/>
      <c r="P93" s="126"/>
      <c r="Q93" s="69"/>
      <c r="R93" s="33"/>
      <c r="S93" s="33"/>
      <c r="T93" s="33"/>
      <c r="U93" s="34"/>
      <c r="V93" s="35"/>
      <c r="W93" s="35"/>
    </row>
    <row r="94" customFormat="false" ht="12.75" hidden="false" customHeight="false" outlineLevel="0" collapsed="false">
      <c r="A94" s="26"/>
      <c r="B94" s="16"/>
      <c r="C94" s="16"/>
      <c r="D94" s="17"/>
      <c r="E94" s="17"/>
      <c r="F94" s="15"/>
      <c r="G94" s="15"/>
      <c r="H94" s="16"/>
      <c r="I94" s="19"/>
      <c r="J94" s="19"/>
      <c r="K94" s="19"/>
      <c r="L94" s="19"/>
      <c r="M94" s="19"/>
      <c r="N94" s="20"/>
      <c r="O94" s="19"/>
      <c r="P94" s="126"/>
      <c r="Q94" s="69"/>
      <c r="R94" s="33"/>
      <c r="S94" s="33"/>
      <c r="T94" s="33"/>
      <c r="U94" s="34"/>
      <c r="V94" s="35"/>
      <c r="W94" s="35"/>
    </row>
    <row r="95" customFormat="false" ht="12.75" hidden="false" customHeight="false" outlineLevel="0" collapsed="false">
      <c r="A95" s="26"/>
      <c r="B95" s="16"/>
      <c r="C95" s="16"/>
      <c r="D95" s="17"/>
      <c r="E95" s="17"/>
      <c r="F95" s="15"/>
      <c r="G95" s="15"/>
      <c r="H95" s="16"/>
      <c r="I95" s="19"/>
      <c r="J95" s="19"/>
      <c r="K95" s="19"/>
      <c r="L95" s="19"/>
      <c r="M95" s="19"/>
      <c r="N95" s="20"/>
      <c r="O95" s="19"/>
      <c r="P95" s="126"/>
      <c r="Q95" s="69"/>
      <c r="R95" s="33"/>
      <c r="S95" s="33"/>
      <c r="T95" s="33"/>
      <c r="U95" s="34"/>
      <c r="V95" s="67"/>
      <c r="W95" s="35"/>
    </row>
    <row r="96" customFormat="false" ht="12.75" hidden="false" customHeight="false" outlineLevel="0" collapsed="false">
      <c r="A96" s="26"/>
      <c r="B96" s="16"/>
      <c r="C96" s="16"/>
      <c r="D96" s="17"/>
      <c r="E96" s="17"/>
      <c r="F96" s="15"/>
      <c r="G96" s="15"/>
      <c r="H96" s="16"/>
      <c r="I96" s="19"/>
      <c r="J96" s="19"/>
      <c r="K96" s="19"/>
      <c r="L96" s="19"/>
      <c r="M96" s="19"/>
      <c r="N96" s="20"/>
      <c r="O96" s="19"/>
      <c r="P96" s="126"/>
      <c r="Q96" s="69"/>
      <c r="R96" s="33"/>
      <c r="S96" s="33"/>
      <c r="T96" s="33"/>
      <c r="U96" s="34"/>
      <c r="V96" s="35"/>
      <c r="W96" s="35"/>
    </row>
    <row r="97" customFormat="false" ht="12.75" hidden="false" customHeight="false" outlineLevel="0" collapsed="false">
      <c r="A97" s="26"/>
      <c r="B97" s="16"/>
      <c r="C97" s="16"/>
      <c r="D97" s="17"/>
      <c r="E97" s="17"/>
      <c r="F97" s="15"/>
      <c r="G97" s="15"/>
      <c r="H97" s="16"/>
      <c r="I97" s="19"/>
      <c r="J97" s="19"/>
      <c r="K97" s="19"/>
      <c r="L97" s="19"/>
      <c r="M97" s="19"/>
      <c r="N97" s="20"/>
      <c r="O97" s="19"/>
      <c r="P97" s="126"/>
      <c r="Q97" s="69"/>
      <c r="R97" s="33"/>
      <c r="S97" s="33"/>
      <c r="T97" s="33"/>
      <c r="U97" s="34"/>
      <c r="V97" s="35"/>
      <c r="W97" s="35"/>
    </row>
    <row r="98" customFormat="false" ht="12.75" hidden="false" customHeight="false" outlineLevel="0" collapsed="false">
      <c r="A98" s="26"/>
      <c r="B98" s="16"/>
      <c r="C98" s="16"/>
      <c r="D98" s="17"/>
      <c r="E98" s="17"/>
      <c r="F98" s="15"/>
      <c r="G98" s="15"/>
      <c r="H98" s="16"/>
      <c r="I98" s="18"/>
      <c r="J98" s="19"/>
      <c r="K98" s="19"/>
      <c r="L98" s="19"/>
      <c r="M98" s="19"/>
      <c r="N98" s="20"/>
      <c r="O98" s="19"/>
      <c r="P98" s="126"/>
      <c r="Q98" s="69"/>
      <c r="R98" s="67"/>
      <c r="S98" s="33"/>
      <c r="T98" s="33"/>
      <c r="U98" s="34"/>
      <c r="V98" s="35"/>
      <c r="W98" s="35"/>
    </row>
    <row r="99" customFormat="false" ht="12.75" hidden="false" customHeight="false" outlineLevel="0" collapsed="false">
      <c r="A99" s="26"/>
      <c r="B99" s="16"/>
      <c r="C99" s="16"/>
      <c r="D99" s="17"/>
      <c r="E99" s="17"/>
      <c r="F99" s="15"/>
      <c r="G99" s="15"/>
      <c r="H99" s="16"/>
      <c r="I99" s="18"/>
      <c r="J99" s="19"/>
      <c r="K99" s="19"/>
      <c r="L99" s="19"/>
      <c r="M99" s="19"/>
      <c r="N99" s="20"/>
      <c r="O99" s="19"/>
      <c r="P99" s="126"/>
      <c r="Q99" s="69"/>
      <c r="R99" s="67"/>
      <c r="S99" s="33"/>
      <c r="T99" s="33"/>
      <c r="U99" s="34"/>
      <c r="V99" s="35"/>
      <c r="W99" s="35"/>
    </row>
    <row r="100" customFormat="false" ht="12.75" hidden="false" customHeight="false" outlineLevel="0" collapsed="false">
      <c r="P100" s="71"/>
      <c r="Q100" s="71"/>
      <c r="R100" s="71"/>
      <c r="S100" s="127"/>
      <c r="T100" s="71"/>
      <c r="U100" s="70"/>
      <c r="V100" s="70"/>
    </row>
    <row r="101" customFormat="false" ht="12.75" hidden="false" customHeight="false" outlineLevel="0" collapsed="false">
      <c r="P101" s="71"/>
      <c r="Q101" s="71"/>
      <c r="R101" s="71"/>
      <c r="S101" s="127"/>
      <c r="T101" s="71"/>
      <c r="U101" s="70"/>
      <c r="V101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" activeCellId="0" sqref="K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false" hidden="false" outlineLevel="0" max="3" min="2" style="1" width="9.14"/>
    <col collapsed="false" customWidth="true" hidden="false" outlineLevel="0" max="5" min="4" style="1" width="9.85"/>
    <col collapsed="false" customWidth="true" hidden="false" outlineLevel="0" max="6" min="6" style="1" width="12.42"/>
    <col collapsed="false" customWidth="false" hidden="false" outlineLevel="0" max="7" min="7" style="1" width="9.14"/>
    <col collapsed="false" customWidth="true" hidden="false" outlineLevel="0" max="8" min="8" style="1" width="10.28"/>
    <col collapsed="false" customWidth="true" hidden="false" outlineLevel="0" max="9" min="9" style="1" width="7.7"/>
    <col collapsed="false" customWidth="true" hidden="false" outlineLevel="0" max="10" min="10" style="1" width="13.99"/>
    <col collapsed="false" customWidth="true" hidden="false" outlineLevel="0" max="11" min="11" style="1" width="8.14"/>
    <col collapsed="false" customWidth="true" hidden="false" outlineLevel="0" max="12" min="12" style="1" width="9.99"/>
    <col collapsed="false" customWidth="true" hidden="false" outlineLevel="0" max="13" min="13" style="167" width="9.7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168" t="s">
        <v>1</v>
      </c>
      <c r="B1" s="168"/>
    </row>
    <row r="2" customFormat="false" ht="12.75" hidden="false" customHeight="false" outlineLevel="0" collapsed="false">
      <c r="B2" s="168"/>
    </row>
    <row r="3" customFormat="false" ht="12.75" hidden="false" customHeight="false" outlineLevel="0" collapsed="false">
      <c r="A3" s="169" t="s">
        <v>325</v>
      </c>
      <c r="B3" s="170"/>
      <c r="C3" s="170"/>
      <c r="D3" s="170"/>
      <c r="E3" s="170"/>
      <c r="F3" s="170"/>
      <c r="G3" s="170"/>
      <c r="H3" s="171"/>
      <c r="J3" s="172" t="s">
        <v>326</v>
      </c>
      <c r="K3" s="173" t="n">
        <f aca="false">+Rates!W17</f>
        <v>0.160484787764783</v>
      </c>
      <c r="Z3" s="1" t="n">
        <v>2.8</v>
      </c>
      <c r="AC3" s="1" t="n">
        <v>3.03</v>
      </c>
    </row>
    <row r="4" customFormat="false" ht="12.75" hidden="false" customHeight="false" outlineLevel="0" collapsed="false">
      <c r="A4" s="174"/>
      <c r="B4" s="175" t="n">
        <v>1</v>
      </c>
      <c r="C4" s="175" t="n">
        <v>2</v>
      </c>
      <c r="D4" s="175" t="n">
        <v>3</v>
      </c>
      <c r="E4" s="175" t="n">
        <v>4</v>
      </c>
      <c r="F4" s="175" t="s">
        <v>327</v>
      </c>
      <c r="G4" s="175" t="n">
        <v>5</v>
      </c>
      <c r="H4" s="176" t="n">
        <v>6</v>
      </c>
      <c r="J4" s="177" t="s">
        <v>328</v>
      </c>
      <c r="K4" s="178" t="n">
        <f aca="false">(E69/(1-0.02184))-Rates!W3</f>
        <v>0.137984787764783</v>
      </c>
    </row>
    <row r="5" customFormat="false" ht="12.75" hidden="false" customHeight="false" outlineLevel="0" collapsed="false">
      <c r="A5" s="179" t="n">
        <v>1</v>
      </c>
      <c r="B5" s="180" t="n">
        <f aca="false">+Rates!B17</f>
        <v>0.0413727546412445</v>
      </c>
      <c r="C5" s="180" t="n">
        <f aca="false">+Rates!B22</f>
        <v>0.070569523137413</v>
      </c>
      <c r="D5" s="180" t="n">
        <f aca="false">+Rates!B27</f>
        <v>0.0993278914320437</v>
      </c>
      <c r="E5" s="180"/>
      <c r="F5" s="180"/>
      <c r="G5" s="180" t="n">
        <f aca="false">+Rates!B37</f>
        <v>0.32752285174693</v>
      </c>
      <c r="H5" s="181" t="n">
        <f aca="false">+Rates!B42</f>
        <v>0.38543953636075</v>
      </c>
      <c r="J5" s="175"/>
    </row>
    <row r="6" customFormat="false" ht="12.75" hidden="false" customHeight="false" outlineLevel="0" collapsed="false">
      <c r="A6" s="179" t="n">
        <v>2</v>
      </c>
      <c r="B6" s="180"/>
      <c r="C6" s="180"/>
      <c r="D6" s="180" t="n">
        <f aca="false">+Rates!B52</f>
        <v>0.0605055303259665</v>
      </c>
      <c r="E6" s="180"/>
      <c r="F6" s="180"/>
      <c r="G6" s="180" t="n">
        <f aca="false">+Rates!B62</f>
        <v>0.305171837758729</v>
      </c>
      <c r="H6" s="181" t="n">
        <f aca="false">+Rates!B67</f>
        <v>0.363021493355832</v>
      </c>
      <c r="J6" s="172" t="s">
        <v>329</v>
      </c>
      <c r="K6" s="182" t="n">
        <f aca="false">+Rates!Z17</f>
        <v>0.190958166189112</v>
      </c>
    </row>
    <row r="7" customFormat="false" ht="12.75" hidden="false" customHeight="false" outlineLevel="0" collapsed="false">
      <c r="A7" s="179" t="n">
        <v>3</v>
      </c>
      <c r="B7" s="180"/>
      <c r="C7" s="180"/>
      <c r="D7" s="180" t="n">
        <f aca="false">+Rates!B72</f>
        <v>0.0485830236062281</v>
      </c>
      <c r="E7" s="180" t="n">
        <f aca="false">+Rates!B77</f>
        <v>0.175488325652842</v>
      </c>
      <c r="F7" s="180"/>
      <c r="G7" s="180" t="n">
        <f aca="false">+Rates!B82</f>
        <v>0.280869787765293</v>
      </c>
      <c r="H7" s="181" t="n">
        <f aca="false">+Rates!B87</f>
        <v>0.339813853904282</v>
      </c>
      <c r="J7" s="177" t="s">
        <v>330</v>
      </c>
      <c r="K7" s="178" t="n">
        <f aca="false">(E68/(1-0.0228))-Rates!Z3</f>
        <v>0.145358166189112</v>
      </c>
    </row>
    <row r="8" customFormat="false" ht="12.75" hidden="false" customHeight="false" outlineLevel="0" collapsed="false">
      <c r="A8" s="179" t="n">
        <v>4</v>
      </c>
      <c r="B8" s="180"/>
      <c r="C8" s="180"/>
      <c r="D8" s="180"/>
      <c r="E8" s="180" t="n">
        <f aca="false">+Rates!B92</f>
        <v>0.144864831804281</v>
      </c>
      <c r="F8" s="180"/>
      <c r="G8" s="180"/>
      <c r="H8" s="181" t="n">
        <f aca="false">+Rates!B102</f>
        <v>0.30741328737073</v>
      </c>
      <c r="J8" s="168"/>
      <c r="K8" s="183"/>
    </row>
    <row r="9" customFormat="false" ht="12.75" hidden="false" customHeight="false" outlineLevel="0" collapsed="false">
      <c r="A9" s="184" t="s">
        <v>327</v>
      </c>
      <c r="B9" s="180"/>
      <c r="C9" s="180"/>
      <c r="D9" s="180"/>
      <c r="E9" s="180"/>
      <c r="F9" s="180" t="n">
        <f aca="false">+Rates!B107</f>
        <v>0.0379417965999397</v>
      </c>
      <c r="G9" s="180"/>
      <c r="H9" s="181"/>
      <c r="K9" s="185"/>
    </row>
    <row r="10" customFormat="false" ht="12.75" hidden="false" customHeight="false" outlineLevel="0" collapsed="false">
      <c r="A10" s="179" t="n">
        <v>5</v>
      </c>
      <c r="B10" s="180"/>
      <c r="C10" s="180"/>
      <c r="D10" s="180"/>
      <c r="E10" s="180"/>
      <c r="F10" s="180"/>
      <c r="G10" s="180" t="n">
        <f aca="false">+Rates!B112</f>
        <v>0.126609190616431</v>
      </c>
      <c r="H10" s="181"/>
      <c r="K10" s="183"/>
      <c r="N10" s="167" t="s">
        <v>249</v>
      </c>
    </row>
    <row r="11" customFormat="false" ht="12.75" hidden="false" customHeight="false" outlineLevel="0" collapsed="false">
      <c r="A11" s="179" t="n">
        <v>6</v>
      </c>
      <c r="B11" s="127"/>
      <c r="C11" s="127"/>
      <c r="D11" s="127"/>
      <c r="E11" s="127"/>
      <c r="F11" s="127"/>
      <c r="G11" s="127"/>
      <c r="H11" s="181" t="n">
        <f aca="false">+Rates!B122</f>
        <v>0.0776071399757965</v>
      </c>
      <c r="J11" s="169" t="s">
        <v>331</v>
      </c>
      <c r="K11" s="186"/>
      <c r="N11" s="167" t="n">
        <v>4.46</v>
      </c>
      <c r="O11" s="1" t="n">
        <v>4.455</v>
      </c>
    </row>
    <row r="12" customFormat="false" ht="12.75" hidden="false" customHeight="false" outlineLevel="0" collapsed="false">
      <c r="A12" s="187"/>
      <c r="B12" s="188" t="s">
        <v>332</v>
      </c>
      <c r="C12" s="188"/>
      <c r="D12" s="188"/>
      <c r="E12" s="188"/>
      <c r="F12" s="188"/>
      <c r="G12" s="188"/>
      <c r="H12" s="189"/>
      <c r="J12" s="190" t="s">
        <v>333</v>
      </c>
      <c r="K12" s="191" t="n">
        <f aca="false">SUM(Rates!AI17)</f>
        <v>0.0371824120603019</v>
      </c>
      <c r="N12" s="167" t="n">
        <v>4.42</v>
      </c>
      <c r="O12" s="1" t="n">
        <v>4.44</v>
      </c>
    </row>
    <row r="13" customFormat="false" ht="12.75" hidden="false" customHeight="false" outlineLevel="0" collapsed="false">
      <c r="A13" s="192" t="s">
        <v>334</v>
      </c>
      <c r="B13" s="193" t="s">
        <v>335</v>
      </c>
      <c r="C13" s="194" t="s">
        <v>336</v>
      </c>
      <c r="D13" s="194" t="s">
        <v>227</v>
      </c>
      <c r="E13" s="194" t="s">
        <v>228</v>
      </c>
      <c r="F13" s="195"/>
      <c r="G13" s="195"/>
      <c r="H13" s="196"/>
      <c r="J13" s="190" t="s">
        <v>337</v>
      </c>
      <c r="K13" s="197" t="n">
        <f aca="false">SUM(Rates!H132)</f>
        <v>0.0952544630641303</v>
      </c>
      <c r="N13" s="167"/>
    </row>
    <row r="14" customFormat="false" ht="13.5" hidden="false" customHeight="false" outlineLevel="0" collapsed="false">
      <c r="A14" s="198" t="s">
        <v>338</v>
      </c>
      <c r="B14" s="199" t="n">
        <f aca="false">SUM(Rates!B69+Rates!B71)</f>
        <v>0.0296830236062281</v>
      </c>
      <c r="C14" s="199" t="n">
        <f aca="false">SUM(Rates!K22+Rates!B69+Rates!B71)</f>
        <v>0.230544231215823</v>
      </c>
      <c r="D14" s="199" t="n">
        <f aca="false">SUM(Rates!B69+Rates!B71+Rates!K47)</f>
        <v>0.16069883889025</v>
      </c>
      <c r="E14" s="199" t="n">
        <f aca="false">0.0622+B14</f>
        <v>0.0918830236062281</v>
      </c>
      <c r="F14" s="116" t="s">
        <v>339</v>
      </c>
      <c r="G14" s="116"/>
      <c r="H14" s="200"/>
      <c r="J14" s="174" t="s">
        <v>340</v>
      </c>
      <c r="K14" s="201" t="n">
        <f aca="false">SUM(K12:K13)</f>
        <v>0.132436875124432</v>
      </c>
      <c r="M14" s="167" t="s">
        <v>229</v>
      </c>
      <c r="N14" s="167" t="n">
        <f aca="false">+N11-E14</f>
        <v>4.36811697639377</v>
      </c>
    </row>
    <row r="15" customFormat="false" ht="13.5" hidden="false" customHeight="false" outlineLevel="0" collapsed="false">
      <c r="A15" s="127"/>
      <c r="B15" s="202"/>
      <c r="C15" s="202"/>
      <c r="D15" s="202"/>
      <c r="E15" s="202"/>
      <c r="F15" s="127"/>
      <c r="G15" s="127"/>
      <c r="H15" s="127"/>
      <c r="J15" s="174"/>
      <c r="K15" s="191"/>
      <c r="N15" s="167"/>
    </row>
    <row r="16" customFormat="false" ht="12.75" hidden="false" customHeight="false" outlineLevel="0" collapsed="false">
      <c r="A16" s="169" t="s">
        <v>341</v>
      </c>
      <c r="B16" s="203"/>
      <c r="C16" s="203" t="n">
        <v>2</v>
      </c>
      <c r="D16" s="203" t="n">
        <v>3</v>
      </c>
      <c r="E16" s="203" t="n">
        <v>4</v>
      </c>
      <c r="F16" s="203" t="s">
        <v>327</v>
      </c>
      <c r="G16" s="203" t="n">
        <v>5</v>
      </c>
      <c r="H16" s="204" t="n">
        <v>6</v>
      </c>
      <c r="J16" s="205"/>
      <c r="K16" s="206"/>
      <c r="N16" s="167"/>
    </row>
    <row r="17" customFormat="false" ht="12.75" hidden="false" customHeight="false" outlineLevel="0" collapsed="false">
      <c r="A17" s="179" t="n">
        <v>2</v>
      </c>
      <c r="B17" s="180"/>
      <c r="C17" s="207" t="n">
        <f aca="false">SUM(Rates!E37)</f>
        <v>0.0959722322684354</v>
      </c>
      <c r="D17" s="207" t="n">
        <f aca="false">SUM(Rates!E39,Rates!E41)</f>
        <v>0.156605530325966</v>
      </c>
      <c r="E17" s="207" t="n">
        <f aca="false">SUM(Rates!E47)</f>
        <v>0.415746527420516</v>
      </c>
      <c r="F17" s="207"/>
      <c r="G17" s="207"/>
      <c r="H17" s="208"/>
      <c r="J17" s="174"/>
      <c r="K17" s="191"/>
      <c r="N17" s="167"/>
    </row>
    <row r="18" customFormat="false" ht="12.75" hidden="false" customHeight="false" outlineLevel="0" collapsed="false">
      <c r="A18" s="179" t="n">
        <v>3</v>
      </c>
      <c r="B18" s="180"/>
      <c r="C18" s="207"/>
      <c r="D18" s="207" t="n">
        <f aca="false">SUM(Rates!E49,Rates!E51)</f>
        <v>0.105983023606228</v>
      </c>
      <c r="E18" s="207" t="n">
        <f aca="false">SUM(Rates!E57)</f>
        <v>0.367488325652842</v>
      </c>
      <c r="F18" s="207"/>
      <c r="G18" s="207"/>
      <c r="H18" s="208"/>
      <c r="J18" s="174"/>
      <c r="K18" s="191"/>
      <c r="N18" s="167"/>
    </row>
    <row r="19" customFormat="false" ht="12.75" hidden="false" customHeight="false" outlineLevel="0" collapsed="false">
      <c r="A19" s="179" t="n">
        <v>4</v>
      </c>
      <c r="B19" s="180"/>
      <c r="C19" s="207"/>
      <c r="D19" s="207"/>
      <c r="E19" s="207" t="n">
        <f aca="false">SUM(Rates!E72)</f>
        <v>0.494813016464741</v>
      </c>
      <c r="F19" s="207"/>
      <c r="G19" s="207"/>
      <c r="H19" s="208"/>
      <c r="J19" s="174"/>
      <c r="K19" s="191"/>
      <c r="N19" s="167"/>
    </row>
    <row r="20" customFormat="false" ht="12.75" hidden="false" customHeight="false" outlineLevel="0" collapsed="false">
      <c r="A20" s="174" t="n">
        <v>6</v>
      </c>
      <c r="B20" s="202"/>
      <c r="C20" s="202"/>
      <c r="D20" s="202"/>
      <c r="E20" s="202"/>
      <c r="F20" s="209"/>
      <c r="G20" s="209"/>
      <c r="H20" s="210" t="n">
        <f aca="false">SUM(Rates!E102)</f>
        <v>0.445393068297655</v>
      </c>
      <c r="J20" s="174"/>
      <c r="K20" s="191"/>
      <c r="N20" s="167"/>
    </row>
    <row r="21" customFormat="false" ht="12.75" hidden="false" customHeight="false" outlineLevel="0" collapsed="false">
      <c r="A21" s="198"/>
      <c r="B21" s="211" t="s">
        <v>342</v>
      </c>
      <c r="C21" s="199"/>
      <c r="D21" s="199"/>
      <c r="E21" s="199"/>
      <c r="F21" s="116"/>
      <c r="G21" s="116"/>
      <c r="H21" s="200"/>
      <c r="J21" s="174"/>
      <c r="K21" s="191"/>
      <c r="N21" s="167"/>
    </row>
    <row r="22" customFormat="false" ht="12.75" hidden="false" customHeight="false" outlineLevel="0" collapsed="false">
      <c r="A22" s="212"/>
      <c r="J22" s="174"/>
      <c r="K22" s="191"/>
      <c r="N22" s="167" t="n">
        <f aca="false">+N12-E14</f>
        <v>4.32811697639377</v>
      </c>
    </row>
    <row r="23" customFormat="false" ht="12.75" hidden="false" customHeight="false" outlineLevel="0" collapsed="false">
      <c r="A23" s="213" t="s">
        <v>343</v>
      </c>
      <c r="B23" s="170"/>
      <c r="C23" s="170"/>
      <c r="D23" s="170"/>
      <c r="E23" s="170"/>
      <c r="F23" s="170"/>
      <c r="G23" s="170"/>
      <c r="H23" s="170"/>
      <c r="I23" s="170"/>
      <c r="J23" s="170"/>
      <c r="K23" s="206"/>
      <c r="N23" s="167"/>
    </row>
    <row r="24" customFormat="false" ht="12.75" hidden="false" customHeight="false" outlineLevel="0" collapsed="false">
      <c r="A24" s="214"/>
      <c r="B24" s="127"/>
      <c r="C24" s="175" t="s">
        <v>344</v>
      </c>
      <c r="D24" s="127"/>
      <c r="E24" s="127"/>
      <c r="F24" s="127"/>
      <c r="G24" s="127"/>
      <c r="H24" s="127"/>
      <c r="I24" s="127"/>
      <c r="J24" s="127"/>
      <c r="K24" s="215"/>
      <c r="M24" s="167" t="s">
        <v>223</v>
      </c>
      <c r="N24" s="167" t="n">
        <f aca="false">+N11-D14</f>
        <v>4.29930116110975</v>
      </c>
    </row>
    <row r="25" customFormat="false" ht="12.75" hidden="false" customHeight="false" outlineLevel="0" collapsed="false">
      <c r="A25" s="214"/>
      <c r="B25" s="127"/>
      <c r="C25" s="175" t="s">
        <v>345</v>
      </c>
      <c r="D25" s="127" t="s">
        <v>346</v>
      </c>
      <c r="E25" s="127"/>
      <c r="F25" s="127"/>
      <c r="G25" s="127"/>
      <c r="H25" s="127"/>
      <c r="I25" s="127"/>
      <c r="J25" s="127"/>
      <c r="K25" s="215"/>
      <c r="N25" s="167" t="n">
        <f aca="false">+N12-D14</f>
        <v>4.25930116110975</v>
      </c>
    </row>
    <row r="26" customFormat="false" ht="12.75" hidden="false" customHeight="false" outlineLevel="0" collapsed="false">
      <c r="A26" s="179"/>
      <c r="B26" s="175" t="s">
        <v>347</v>
      </c>
      <c r="C26" s="175" t="s">
        <v>348</v>
      </c>
      <c r="D26" s="175" t="s">
        <v>349</v>
      </c>
      <c r="E26" s="175" t="s">
        <v>350</v>
      </c>
      <c r="F26" s="175" t="s">
        <v>351</v>
      </c>
      <c r="G26" s="127" t="s">
        <v>352</v>
      </c>
      <c r="H26" s="175" t="s">
        <v>353</v>
      </c>
      <c r="I26" s="175" t="s">
        <v>354</v>
      </c>
      <c r="J26" s="175" t="s">
        <v>355</v>
      </c>
      <c r="K26" s="216" t="s">
        <v>356</v>
      </c>
      <c r="N26" s="167"/>
    </row>
    <row r="27" customFormat="false" ht="12.75" hidden="false" customHeight="false" outlineLevel="0" collapsed="false">
      <c r="A27" s="184" t="s">
        <v>357</v>
      </c>
      <c r="B27" s="180" t="n">
        <f aca="false">+Rates!H22-0.0225+B35+B36</f>
        <v>0.312911517252803</v>
      </c>
      <c r="C27" s="180" t="n">
        <f aca="false">+Rates!H22-0.0072</f>
        <v>0.256859829235676</v>
      </c>
      <c r="D27" s="180" t="n">
        <f aca="false">+C27-0.0072</f>
        <v>0.249659829235676</v>
      </c>
      <c r="E27" s="180" t="n">
        <f aca="false">+D27-0.0225</f>
        <v>0.227159829235676</v>
      </c>
      <c r="F27" s="180" t="n">
        <f aca="false">+D27+0.0072</f>
        <v>0.256859829235676</v>
      </c>
      <c r="G27" s="180" t="n">
        <f aca="false">+Rates!H27</f>
        <v>0.410858793757908</v>
      </c>
      <c r="H27" s="180" t="n">
        <f aca="false">+Rates!H32</f>
        <v>0.460159371015724</v>
      </c>
      <c r="I27" s="180" t="n">
        <f aca="false">+Rates!H37</f>
        <v>0.540958695418946</v>
      </c>
      <c r="J27" s="185" t="n">
        <f aca="false">+Rates!H42</f>
        <v>0.625441554494138</v>
      </c>
      <c r="K27" s="181" t="n">
        <f aca="false">+Rates!H47</f>
        <v>0.720039982473436</v>
      </c>
      <c r="M27" s="167" t="s">
        <v>218</v>
      </c>
      <c r="N27" s="167" t="n">
        <f aca="false">+N11-C14</f>
        <v>4.22945576878418</v>
      </c>
    </row>
    <row r="28" customFormat="false" ht="12.75" hidden="false" customHeight="false" outlineLevel="0" collapsed="false">
      <c r="A28" s="184" t="s">
        <v>358</v>
      </c>
      <c r="B28" s="180"/>
      <c r="C28" s="180" t="n">
        <f aca="false">+Rates!H52-0.0072</f>
        <v>0.112634801495101</v>
      </c>
      <c r="D28" s="180"/>
      <c r="E28" s="180"/>
      <c r="F28" s="180" t="n">
        <f aca="false">+C28+0.0072</f>
        <v>0.119834801495101</v>
      </c>
      <c r="G28" s="180"/>
      <c r="H28" s="180"/>
      <c r="I28" s="180"/>
      <c r="J28" s="217"/>
      <c r="K28" s="216"/>
      <c r="N28" s="167" t="n">
        <f aca="false">+N12-C14</f>
        <v>4.18945576878418</v>
      </c>
    </row>
    <row r="29" customFormat="false" ht="12.75" hidden="false" customHeight="false" outlineLevel="0" collapsed="false">
      <c r="A29" s="179" t="n">
        <v>1</v>
      </c>
      <c r="B29" s="180" t="n">
        <f aca="false">+Rates!H57-0.0225+B35+B36</f>
        <v>0.251370303574268</v>
      </c>
      <c r="C29" s="180"/>
      <c r="D29" s="180" t="n">
        <f aca="false">+Rates!H57-0.0072</f>
        <v>0.195318615557141</v>
      </c>
      <c r="E29" s="180" t="n">
        <f aca="false">+D29-0.0225</f>
        <v>0.172818615557141</v>
      </c>
      <c r="F29" s="180"/>
      <c r="G29" s="180" t="n">
        <f aca="false">+Rates!H62</f>
        <v>0.347704722106143</v>
      </c>
      <c r="H29" s="180" t="n">
        <f aca="false">+Rates!H67</f>
        <v>0.396058793811178</v>
      </c>
      <c r="I29" s="180" t="n">
        <f aca="false">+Rates!H72</f>
        <v>0.476450159404888</v>
      </c>
      <c r="J29" s="180" t="n">
        <f aca="false">+Rates!H77</f>
        <v>0.560318976454144</v>
      </c>
      <c r="K29" s="181" t="n">
        <f aca="false">+Rates!H82</f>
        <v>0.654506509004122</v>
      </c>
    </row>
    <row r="30" customFormat="false" ht="12.75" hidden="false" customHeight="false" outlineLevel="0" collapsed="false">
      <c r="A30" s="179" t="n">
        <v>2</v>
      </c>
      <c r="B30" s="180"/>
      <c r="C30" s="180"/>
      <c r="D30" s="180"/>
      <c r="E30" s="180"/>
      <c r="F30" s="180"/>
      <c r="G30" s="180"/>
      <c r="H30" s="180"/>
      <c r="I30" s="180"/>
      <c r="J30" s="180" t="n">
        <f aca="false">SUM(Rates!H87)</f>
        <v>0.340136932707355</v>
      </c>
      <c r="K30" s="181"/>
    </row>
    <row r="31" customFormat="false" ht="12.75" hidden="false" customHeight="false" outlineLevel="0" collapsed="false">
      <c r="A31" s="179" t="n">
        <v>4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1" t="n">
        <f aca="false">+Rates!H97</f>
        <v>0.231122436880303</v>
      </c>
    </row>
    <row r="32" customFormat="false" ht="12.75" hidden="false" customHeight="false" outlineLevel="0" collapsed="false">
      <c r="A32" s="179" t="n">
        <v>5</v>
      </c>
      <c r="B32" s="180"/>
      <c r="C32" s="180"/>
      <c r="D32" s="180"/>
      <c r="E32" s="180"/>
      <c r="F32" s="180"/>
      <c r="G32" s="180"/>
      <c r="H32" s="180"/>
      <c r="I32" s="180" t="n">
        <f aca="false">+Rates!H137</f>
        <v>0.128392189397006</v>
      </c>
      <c r="J32" s="180" t="n">
        <f aca="false">+Rates!H102</f>
        <v>0.13287244732577</v>
      </c>
      <c r="K32" s="181" t="n">
        <f aca="false">+Rates!H112</f>
        <v>0.219006608109488</v>
      </c>
    </row>
    <row r="33" customFormat="false" ht="12.75" hidden="false" customHeight="false" outlineLevel="0" collapsed="false">
      <c r="A33" s="218" t="n">
        <v>6</v>
      </c>
      <c r="B33" s="219"/>
      <c r="C33" s="219"/>
      <c r="D33" s="219"/>
      <c r="E33" s="219"/>
      <c r="F33" s="180"/>
      <c r="G33" s="180"/>
      <c r="H33" s="180"/>
      <c r="I33" s="180"/>
      <c r="J33" s="180"/>
      <c r="K33" s="181" t="n">
        <f aca="false">+Rates!H127</f>
        <v>0.125797840782969</v>
      </c>
    </row>
    <row r="34" customFormat="false" ht="12.75" hidden="false" customHeight="false" outlineLevel="0" collapsed="false">
      <c r="A34" s="183"/>
      <c r="B34" s="180"/>
      <c r="C34" s="180"/>
      <c r="D34" s="180"/>
      <c r="E34" s="180"/>
      <c r="F34" s="220"/>
      <c r="G34" s="180"/>
      <c r="H34" s="180"/>
      <c r="I34" s="180"/>
      <c r="J34" s="180"/>
      <c r="K34" s="181"/>
    </row>
    <row r="35" customFormat="false" ht="12.75" hidden="false" customHeight="false" outlineLevel="0" collapsed="false">
      <c r="A35" s="221" t="s">
        <v>359</v>
      </c>
      <c r="B35" s="173" t="n">
        <f aca="false">0.0009+0.0022+0.0075</f>
        <v>0.0106</v>
      </c>
      <c r="F35" s="222" t="s">
        <v>360</v>
      </c>
      <c r="G35" s="127"/>
      <c r="H35" s="127"/>
      <c r="I35" s="127"/>
      <c r="J35" s="127"/>
      <c r="K35" s="216"/>
    </row>
    <row r="36" customFormat="false" ht="12.75" hidden="false" customHeight="false" outlineLevel="0" collapsed="false">
      <c r="A36" s="198" t="s">
        <v>361</v>
      </c>
      <c r="B36" s="223" t="n">
        <f aca="false">0.0101*(+Rates!H4+Rates!H57-0.0225)</f>
        <v>0.0607516880171271</v>
      </c>
      <c r="F36" s="222" t="s">
        <v>362</v>
      </c>
      <c r="G36" s="127"/>
      <c r="H36" s="127"/>
      <c r="I36" s="224" t="n">
        <f aca="false">+I27-I32</f>
        <v>0.41256650602194</v>
      </c>
      <c r="J36" s="224" t="n">
        <f aca="false">+J27-J32</f>
        <v>0.492569107168368</v>
      </c>
      <c r="K36" s="225" t="n">
        <f aca="false">+K27-K32</f>
        <v>0.501033374363948</v>
      </c>
    </row>
    <row r="37" customFormat="false" ht="12.75" hidden="false" customHeight="false" outlineLevel="0" collapsed="false">
      <c r="A37" s="127"/>
      <c r="B37" s="180"/>
      <c r="F37" s="226" t="s">
        <v>363</v>
      </c>
      <c r="G37" s="116"/>
      <c r="H37" s="116"/>
      <c r="I37" s="227" t="n">
        <f aca="false">+I29-I32</f>
        <v>0.348057970007882</v>
      </c>
      <c r="J37" s="227" t="n">
        <f aca="false">+J29-J32</f>
        <v>0.427446529128374</v>
      </c>
      <c r="K37" s="228" t="n">
        <f aca="false">+K29-K32</f>
        <v>0.435499900894634</v>
      </c>
    </row>
    <row r="38" customFormat="false" ht="12.75" hidden="false" customHeight="false" outlineLevel="0" collapsed="false">
      <c r="A38" s="127"/>
      <c r="B38" s="180"/>
    </row>
    <row r="39" customFormat="false" ht="12.75" hidden="false" customHeight="false" outlineLevel="0" collapsed="false">
      <c r="A39" s="213" t="s">
        <v>364</v>
      </c>
      <c r="B39" s="170"/>
      <c r="C39" s="170"/>
      <c r="D39" s="170"/>
      <c r="E39" s="170"/>
      <c r="F39" s="170"/>
      <c r="G39" s="170"/>
      <c r="H39" s="170"/>
      <c r="I39" s="170"/>
      <c r="J39" s="229"/>
      <c r="K39" s="230"/>
      <c r="L39" s="127"/>
    </row>
    <row r="40" customFormat="false" ht="12.75" hidden="false" customHeight="false" outlineLevel="0" collapsed="false">
      <c r="A40" s="179"/>
      <c r="B40" s="175" t="s">
        <v>336</v>
      </c>
      <c r="C40" s="175" t="s">
        <v>365</v>
      </c>
      <c r="D40" s="175" t="s">
        <v>366</v>
      </c>
      <c r="E40" s="175" t="s">
        <v>367</v>
      </c>
      <c r="F40" s="175" t="s">
        <v>368</v>
      </c>
      <c r="G40" s="175" t="s">
        <v>369</v>
      </c>
      <c r="H40" s="231"/>
      <c r="I40" s="127"/>
      <c r="J40" s="231" t="s">
        <v>370</v>
      </c>
      <c r="K40" s="232" t="s">
        <v>371</v>
      </c>
      <c r="L40" s="127"/>
    </row>
    <row r="41" customFormat="false" ht="12.75" hidden="false" customHeight="false" outlineLevel="0" collapsed="false">
      <c r="A41" s="184" t="s">
        <v>336</v>
      </c>
      <c r="B41" s="180" t="n">
        <f aca="false">+Rates!K17</f>
        <v>0.19220078374755</v>
      </c>
      <c r="C41" s="180" t="n">
        <f aca="false">+Rates!K27</f>
        <v>0.292015513626834</v>
      </c>
      <c r="D41" s="180" t="n">
        <f aca="false">+Rates!K22</f>
        <v>0.200861207609595</v>
      </c>
      <c r="E41" s="180" t="n">
        <f aca="false">+Rates!K32</f>
        <v>0.485420138288678</v>
      </c>
      <c r="F41" s="180" t="n">
        <f aca="false">+Rates!K37</f>
        <v>0.668796182867288</v>
      </c>
      <c r="G41" s="180" t="n">
        <f aca="false">+Rates!K42</f>
        <v>0.794511748757343</v>
      </c>
      <c r="H41" s="207"/>
      <c r="I41" s="127"/>
      <c r="J41" s="233" t="n">
        <f aca="false">+Rates!N32</f>
        <v>1.14459618286729</v>
      </c>
      <c r="K41" s="234" t="n">
        <f aca="false">SUM(Rates!N37)</f>
        <v>1.35351174875734</v>
      </c>
      <c r="L41" s="127"/>
    </row>
    <row r="42" customFormat="false" ht="12.75" hidden="false" customHeight="false" outlineLevel="0" collapsed="false">
      <c r="A42" s="184" t="s">
        <v>372</v>
      </c>
      <c r="B42" s="180"/>
      <c r="C42" s="180" t="n">
        <f aca="false">+Rates!K87</f>
        <v>0.194513069470212</v>
      </c>
      <c r="D42" s="235" t="n">
        <f aca="false">+D44</f>
        <v>0.189113069470212</v>
      </c>
      <c r="E42" s="180" t="n">
        <f aca="false">+E44</f>
        <v>0.387330218730091</v>
      </c>
      <c r="F42" s="180" t="n">
        <f aca="false">+F44</f>
        <v>0.570013102245477</v>
      </c>
      <c r="G42" s="180" t="n">
        <f aca="false">+G44</f>
        <v>0.695166052806745</v>
      </c>
      <c r="H42" s="207"/>
      <c r="I42" s="127"/>
      <c r="J42" s="233" t="n">
        <f aca="false">SUM(Rates!N77)</f>
        <v>0.900513102245477</v>
      </c>
      <c r="K42" s="234" t="n">
        <f aca="false">SUM(Rates!N82)</f>
        <v>1.10886605280674</v>
      </c>
      <c r="L42" s="127"/>
    </row>
    <row r="43" customFormat="false" ht="12.75" hidden="false" customHeight="false" outlineLevel="0" collapsed="false">
      <c r="A43" s="184" t="s">
        <v>227</v>
      </c>
      <c r="B43" s="180"/>
      <c r="C43" s="180" t="n">
        <f aca="false">+Rates!K52</f>
        <v>0.223501346731586</v>
      </c>
      <c r="D43" s="180" t="n">
        <f aca="false">+Rates!K47</f>
        <v>0.131015815284022</v>
      </c>
      <c r="E43" s="180" t="n">
        <f aca="false">+Rates!K57</f>
        <v>0.415809947699861</v>
      </c>
      <c r="F43" s="180" t="n">
        <f aca="false">+Rates!K62</f>
        <v>0.598078082191781</v>
      </c>
      <c r="G43" s="180" t="n">
        <f aca="false">+Rates!K67</f>
        <v>0.722972894590073</v>
      </c>
      <c r="H43" s="207"/>
      <c r="I43" s="127"/>
      <c r="J43" s="233" t="n">
        <f aca="false">SUM(Rates!N52)</f>
        <v>0.943178082191781</v>
      </c>
      <c r="K43" s="234" t="n">
        <f aca="false">SUM(Rates!N57)</f>
        <v>1.15127289459007</v>
      </c>
      <c r="L43" s="127"/>
    </row>
    <row r="44" customFormat="false" ht="12.75" hidden="false" customHeight="false" outlineLevel="0" collapsed="false">
      <c r="A44" s="184" t="s">
        <v>228</v>
      </c>
      <c r="B44" s="180"/>
      <c r="C44" s="180" t="n">
        <f aca="false">+Rates!K87</f>
        <v>0.194513069470212</v>
      </c>
      <c r="D44" s="180" t="n">
        <f aca="false">+Rates!K77</f>
        <v>0.189113069470212</v>
      </c>
      <c r="E44" s="180" t="n">
        <f aca="false">+Rates!K112</f>
        <v>0.387330218730091</v>
      </c>
      <c r="F44" s="180" t="n">
        <f aca="false">+Rates!K117</f>
        <v>0.570013102245477</v>
      </c>
      <c r="G44" s="180" t="n">
        <f aca="false">+Rates!K122</f>
        <v>0.695166052806745</v>
      </c>
      <c r="H44" s="207"/>
      <c r="I44" s="127"/>
      <c r="J44" s="233" t="n">
        <f aca="false">SUM(Rates!N77)</f>
        <v>0.900513102245477</v>
      </c>
      <c r="K44" s="234" t="n">
        <f aca="false">SUM(Rates!N82)</f>
        <v>1.10886605280674</v>
      </c>
      <c r="L44" s="127"/>
    </row>
    <row r="45" customFormat="false" ht="12.75" hidden="false" customHeight="false" outlineLevel="0" collapsed="false">
      <c r="A45" s="236" t="s">
        <v>373</v>
      </c>
      <c r="B45" s="127"/>
      <c r="C45" s="127"/>
      <c r="D45" s="127"/>
      <c r="E45" s="167" t="n">
        <f aca="false">+Rates!K127</f>
        <v>0.198826965829559</v>
      </c>
      <c r="F45" s="180" t="n">
        <f aca="false">+Rates!K132</f>
        <v>0.378338175675676</v>
      </c>
      <c r="G45" s="180" t="n">
        <f aca="false">+Rates!K137</f>
        <v>0.501168384879725</v>
      </c>
      <c r="H45" s="180"/>
      <c r="I45" s="127"/>
      <c r="J45" s="233" t="n">
        <f aca="false">SUM(Rates!N87)</f>
        <v>0.638438175675676</v>
      </c>
      <c r="K45" s="234" t="n">
        <f aca="false">SUM(Rates!N92)</f>
        <v>0.844468384879725</v>
      </c>
    </row>
    <row r="46" customFormat="false" ht="12.75" hidden="false" customHeight="false" outlineLevel="0" collapsed="false">
      <c r="A46" s="236" t="s">
        <v>374</v>
      </c>
      <c r="B46" s="127"/>
      <c r="C46" s="127"/>
      <c r="D46" s="127"/>
      <c r="E46" s="167"/>
      <c r="F46" s="180" t="n">
        <f aca="false">+Rates!K142</f>
        <v>0.299085545938055</v>
      </c>
      <c r="G46" s="180" t="n">
        <f aca="false">+Rates!K147</f>
        <v>0.435405570291777</v>
      </c>
      <c r="H46" s="207"/>
      <c r="I46" s="127"/>
      <c r="J46" s="233"/>
      <c r="K46" s="234" t="n">
        <f aca="false">SUM(Rates!N102)</f>
        <v>0.702852785145889</v>
      </c>
    </row>
    <row r="47" customFormat="false" ht="12.75" hidden="false" customHeight="false" outlineLevel="0" collapsed="false">
      <c r="A47" s="237" t="s">
        <v>375</v>
      </c>
      <c r="B47" s="116"/>
      <c r="C47" s="116"/>
      <c r="D47" s="116"/>
      <c r="E47" s="238"/>
      <c r="F47" s="116"/>
      <c r="G47" s="219" t="n">
        <f aca="false">+Rates!K152</f>
        <v>0.246311244439847</v>
      </c>
      <c r="H47" s="239"/>
      <c r="I47" s="116"/>
      <c r="J47" s="240"/>
      <c r="K47" s="241" t="n">
        <f aca="false">SUM(Rates!N107)</f>
        <v>0.408711244439847</v>
      </c>
    </row>
    <row r="48" customFormat="false" ht="12.75" hidden="false" customHeight="false" outlineLevel="0" collapsed="false">
      <c r="A48" s="242"/>
      <c r="E48" s="167"/>
      <c r="G48" s="180"/>
      <c r="H48" s="243"/>
      <c r="J48" s="233"/>
      <c r="K48" s="233"/>
    </row>
    <row r="49" customFormat="false" ht="12.75" hidden="false" customHeight="false" outlineLevel="0" collapsed="false">
      <c r="F49" s="169" t="s">
        <v>376</v>
      </c>
      <c r="G49" s="170"/>
      <c r="H49" s="170"/>
      <c r="I49" s="170"/>
      <c r="J49" s="171"/>
    </row>
    <row r="50" customFormat="false" ht="12.75" hidden="false" customHeight="false" outlineLevel="0" collapsed="false">
      <c r="A50" s="169" t="s">
        <v>377</v>
      </c>
      <c r="B50" s="244" t="s">
        <v>378</v>
      </c>
      <c r="C50" s="244" t="s">
        <v>379</v>
      </c>
      <c r="D50" s="244" t="s">
        <v>380</v>
      </c>
      <c r="E50" s="244" t="s">
        <v>381</v>
      </c>
      <c r="F50" s="174"/>
      <c r="G50" s="127" t="s">
        <v>382</v>
      </c>
      <c r="H50" s="127" t="s">
        <v>383</v>
      </c>
      <c r="I50" s="175" t="s">
        <v>384</v>
      </c>
      <c r="J50" s="176" t="s">
        <v>385</v>
      </c>
    </row>
    <row r="51" customFormat="false" ht="12.75" hidden="false" customHeight="false" outlineLevel="0" collapsed="false">
      <c r="A51" s="198"/>
      <c r="B51" s="199" t="n">
        <f aca="false">+Rates!Q17</f>
        <v>0.10527614213198</v>
      </c>
      <c r="C51" s="199" t="n">
        <f aca="false">SUM(Rates!Q22)</f>
        <v>0.10727614213198</v>
      </c>
      <c r="D51" s="199" t="n">
        <f aca="false">SUM(Rates!Q27)</f>
        <v>0.16144769703173</v>
      </c>
      <c r="E51" s="199" t="n">
        <f aca="false">SUM(Rates!Q32)</f>
        <v>0.188095277207392</v>
      </c>
      <c r="F51" s="190" t="s">
        <v>386</v>
      </c>
      <c r="G51" s="207" t="n">
        <f aca="false">+Rates!AF17-0.0072</f>
        <v>0.0296546184738957</v>
      </c>
      <c r="H51" s="245" t="n">
        <f aca="false">+G51+0.0072</f>
        <v>0.0368546184738957</v>
      </c>
      <c r="I51" s="246" t="n">
        <f aca="false">+Rates!AF35</f>
        <v>0.149087391437621</v>
      </c>
      <c r="J51" s="208" t="n">
        <f aca="false">+Rates!AF23</f>
        <v>0.236615502431957</v>
      </c>
    </row>
    <row r="52" customFormat="false" ht="12.75" hidden="false" customHeight="false" outlineLevel="0" collapsed="false">
      <c r="F52" s="198" t="n">
        <v>1</v>
      </c>
      <c r="G52" s="116"/>
      <c r="H52" s="116"/>
      <c r="I52" s="116"/>
      <c r="J52" s="247" t="n">
        <f aca="false">SUM(Rates!AF29)</f>
        <v>0.234815502431957</v>
      </c>
    </row>
    <row r="53" customFormat="false" ht="13.5" hidden="false" customHeight="false" outlineLevel="0" collapsed="false">
      <c r="I53" s="248"/>
      <c r="J53" s="127"/>
      <c r="K53" s="127"/>
      <c r="L53" s="127"/>
    </row>
    <row r="54" customFormat="false" ht="14.25" hidden="false" customHeight="false" outlineLevel="0" collapsed="false">
      <c r="A54" s="169" t="s">
        <v>387</v>
      </c>
      <c r="B54" s="170"/>
      <c r="C54" s="170"/>
      <c r="D54" s="170"/>
      <c r="E54" s="171"/>
      <c r="F54" s="249" t="s">
        <v>388</v>
      </c>
      <c r="G54" s="171"/>
      <c r="I54" s="250" t="s">
        <v>389</v>
      </c>
      <c r="J54" s="251" t="s">
        <v>390</v>
      </c>
      <c r="K54" s="252" t="n">
        <f aca="false">+Rates!AR17</f>
        <v>0.13084693877551</v>
      </c>
      <c r="L54" s="253" t="s">
        <v>37</v>
      </c>
    </row>
    <row r="55" customFormat="false" ht="13.5" hidden="false" customHeight="false" outlineLevel="0" collapsed="false">
      <c r="A55" s="179"/>
      <c r="B55" s="175" t="s">
        <v>391</v>
      </c>
      <c r="C55" s="175" t="s">
        <v>392</v>
      </c>
      <c r="D55" s="175" t="s">
        <v>165</v>
      </c>
      <c r="E55" s="176"/>
      <c r="F55" s="254" t="s">
        <v>393</v>
      </c>
      <c r="G55" s="216"/>
      <c r="I55" s="255"/>
      <c r="J55" s="248"/>
      <c r="K55" s="256"/>
      <c r="L55" s="248"/>
    </row>
    <row r="56" customFormat="false" ht="12.75" hidden="false" customHeight="false" outlineLevel="0" collapsed="false">
      <c r="A56" s="184" t="s">
        <v>391</v>
      </c>
      <c r="B56" s="180" t="n">
        <f aca="false">+Rates!T32</f>
        <v>0.11871119976686</v>
      </c>
      <c r="C56" s="180" t="n">
        <f aca="false">+C57+B56</f>
        <v>0.193364696351264</v>
      </c>
      <c r="D56" s="180" t="n">
        <f aca="false">SUM(Rates!T27,Rates!T37,Rates!T32)</f>
        <v>0.386229265813787</v>
      </c>
      <c r="E56" s="181"/>
      <c r="F56" s="257" t="s">
        <v>394</v>
      </c>
      <c r="G56" s="181" t="n">
        <f aca="false">Rates!AC34</f>
        <v>0.0574740293703484</v>
      </c>
      <c r="H56" s="258"/>
      <c r="I56" s="259"/>
      <c r="J56" s="259"/>
      <c r="K56" s="259"/>
      <c r="L56" s="259"/>
    </row>
    <row r="57" customFormat="false" ht="12.75" hidden="false" customHeight="false" outlineLevel="0" collapsed="false">
      <c r="A57" s="184" t="s">
        <v>392</v>
      </c>
      <c r="B57" s="180"/>
      <c r="C57" s="180" t="n">
        <f aca="false">+Rates!T37</f>
        <v>0.0746534965844042</v>
      </c>
      <c r="D57" s="180" t="n">
        <f aca="false">+Rates!T37+Rates!T27</f>
        <v>0.267518066046927</v>
      </c>
      <c r="E57" s="181"/>
      <c r="F57" s="205"/>
      <c r="G57" s="205"/>
      <c r="H57" s="244"/>
      <c r="I57" s="260"/>
      <c r="J57" s="260" t="s">
        <v>395</v>
      </c>
      <c r="K57" s="260"/>
      <c r="L57" s="261"/>
    </row>
    <row r="58" customFormat="false" ht="12.75" hidden="false" customHeight="false" outlineLevel="0" collapsed="false">
      <c r="A58" s="184" t="s">
        <v>396</v>
      </c>
      <c r="B58" s="180"/>
      <c r="C58" s="180"/>
      <c r="D58" s="180" t="n">
        <f aca="false">+Rates!T27</f>
        <v>0.192864569462523</v>
      </c>
      <c r="E58" s="181"/>
      <c r="F58" s="180"/>
      <c r="G58" s="262"/>
      <c r="H58" s="127" t="s">
        <v>397</v>
      </c>
      <c r="I58" s="259"/>
      <c r="J58" s="259"/>
      <c r="K58" s="259"/>
      <c r="L58" s="263"/>
    </row>
    <row r="59" customFormat="false" ht="12.75" hidden="false" customHeight="false" outlineLevel="0" collapsed="false">
      <c r="A59" s="264"/>
      <c r="B59" s="219" t="s">
        <v>398</v>
      </c>
      <c r="C59" s="219"/>
      <c r="D59" s="219"/>
      <c r="E59" s="223"/>
      <c r="F59" s="180"/>
      <c r="G59" s="174"/>
      <c r="H59" s="265" t="n">
        <v>0</v>
      </c>
      <c r="I59" s="265" t="s">
        <v>358</v>
      </c>
      <c r="J59" s="265" t="n">
        <v>1</v>
      </c>
      <c r="K59" s="265" t="n">
        <v>2</v>
      </c>
      <c r="L59" s="266" t="n">
        <v>3</v>
      </c>
    </row>
    <row r="60" customFormat="false" ht="12.75" hidden="false" customHeight="false" outlineLevel="0" collapsed="false">
      <c r="G60" s="267" t="s">
        <v>357</v>
      </c>
      <c r="H60" s="202" t="n">
        <f aca="false">+Rates!H238</f>
        <v>0.0730692462919985</v>
      </c>
      <c r="I60" s="265"/>
      <c r="J60" s="202" t="n">
        <f aca="false">+Rates!H244</f>
        <v>0.190459829235676</v>
      </c>
      <c r="K60" s="202" t="n">
        <f aca="false">+Rates!H250</f>
        <v>0.338658793757908</v>
      </c>
      <c r="L60" s="210" t="n">
        <f aca="false">+Rates!H256</f>
        <v>0.385159371015724</v>
      </c>
    </row>
    <row r="61" customFormat="false" ht="13.5" hidden="false" customHeight="false" outlineLevel="0" collapsed="false">
      <c r="F61" s="268"/>
      <c r="G61" s="269" t="s">
        <v>358</v>
      </c>
      <c r="H61" s="209"/>
      <c r="I61" s="202" t="n">
        <f aca="false">+Rates!H262</f>
        <v>0.0845348014951007</v>
      </c>
      <c r="J61" s="265"/>
      <c r="K61" s="265"/>
      <c r="L61" s="266"/>
    </row>
    <row r="62" customFormat="false" ht="13.5" hidden="false" customHeight="false" outlineLevel="0" collapsed="false">
      <c r="A62" s="270" t="s">
        <v>399</v>
      </c>
      <c r="B62" s="271"/>
      <c r="C62" s="271"/>
      <c r="D62" s="271"/>
      <c r="E62" s="271"/>
      <c r="F62" s="272" t="n">
        <f aca="false">Rates!A1</f>
        <v>36935</v>
      </c>
      <c r="G62" s="273" t="n">
        <v>1</v>
      </c>
      <c r="H62" s="239"/>
      <c r="I62" s="273"/>
      <c r="J62" s="199" t="n">
        <f aca="false">+Rates!H268</f>
        <v>0.138618615557141</v>
      </c>
      <c r="K62" s="199" t="n">
        <f aca="false">+Rates!H274</f>
        <v>0.285904722106143</v>
      </c>
      <c r="L62" s="247" t="n">
        <f aca="false">+Rates!H280</f>
        <v>0.331458793811178</v>
      </c>
    </row>
    <row r="63" customFormat="false" ht="12.75" hidden="false" customHeight="false" outlineLevel="0" collapsed="false">
      <c r="A63" s="243" t="s">
        <v>400</v>
      </c>
      <c r="B63" s="167" t="n">
        <f aca="false">+Rates!B6</f>
        <v>5.715</v>
      </c>
      <c r="D63" s="274" t="s">
        <v>401</v>
      </c>
      <c r="E63" s="167" t="n">
        <f aca="false">Rates!T3</f>
        <v>5.91</v>
      </c>
      <c r="F63" s="275" t="str">
        <f aca="false">Rates!A2</f>
        <v>Gas Daily </v>
      </c>
      <c r="I63" s="259"/>
      <c r="J63" s="259"/>
      <c r="K63" s="259"/>
      <c r="L63" s="259"/>
    </row>
    <row r="64" customFormat="false" ht="13.5" hidden="false" customHeight="false" outlineLevel="0" collapsed="false">
      <c r="A64" s="175" t="s">
        <v>402</v>
      </c>
      <c r="B64" s="276" t="n">
        <f aca="false">+Rates!B5</f>
        <v>5.75</v>
      </c>
      <c r="C64" s="175"/>
      <c r="D64" s="217" t="s">
        <v>403</v>
      </c>
      <c r="E64" s="167" t="n">
        <f aca="false">Rates!T4</f>
        <v>5.9846534965844</v>
      </c>
      <c r="F64" s="277" t="str">
        <f aca="false">Rates!B2</f>
        <v>-.07</v>
      </c>
      <c r="I64" s="259"/>
      <c r="J64" s="259"/>
      <c r="K64" s="259"/>
      <c r="L64" s="259"/>
    </row>
    <row r="65" customFormat="false" ht="12.75" hidden="false" customHeight="false" outlineLevel="0" collapsed="false">
      <c r="A65" s="175" t="s">
        <v>404</v>
      </c>
      <c r="B65" s="167" t="n">
        <f aca="false">Rates!B4</f>
        <v>5.925</v>
      </c>
      <c r="C65" s="180"/>
      <c r="D65" s="185" t="s">
        <v>405</v>
      </c>
      <c r="E65" s="167" t="n">
        <f aca="false">+Rates!AF3</f>
        <v>5.89</v>
      </c>
      <c r="I65" s="259"/>
      <c r="J65" s="259"/>
      <c r="K65" s="259"/>
      <c r="L65" s="259"/>
    </row>
    <row r="66" customFormat="false" ht="12.75" hidden="false" customHeight="false" outlineLevel="0" collapsed="false">
      <c r="A66" s="243" t="s">
        <v>406</v>
      </c>
      <c r="B66" s="167" t="n">
        <f aca="false">Rates!B3</f>
        <v>5.91</v>
      </c>
      <c r="C66" s="180"/>
      <c r="D66" s="1" t="s">
        <v>407</v>
      </c>
      <c r="E66" s="167" t="n">
        <f aca="false">+Rates!H4</f>
        <v>5.835</v>
      </c>
      <c r="I66" s="259"/>
      <c r="J66" s="259"/>
      <c r="K66" s="259"/>
      <c r="L66" s="259"/>
    </row>
    <row r="67" customFormat="false" ht="12.75" hidden="false" customHeight="false" outlineLevel="0" collapsed="false">
      <c r="A67" s="243" t="s">
        <v>408</v>
      </c>
      <c r="B67" s="167" t="n">
        <f aca="false">Rates!B7</f>
        <v>6.34</v>
      </c>
      <c r="C67" s="180"/>
      <c r="D67" s="274" t="s">
        <v>409</v>
      </c>
      <c r="E67" s="167" t="n">
        <f aca="false">+Rates!H5</f>
        <v>6.245</v>
      </c>
      <c r="I67" s="248"/>
      <c r="J67" s="278"/>
      <c r="K67" s="279"/>
      <c r="L67" s="248"/>
    </row>
    <row r="68" customFormat="false" ht="12.75" hidden="false" customHeight="false" outlineLevel="0" collapsed="false">
      <c r="A68" s="175" t="s">
        <v>218</v>
      </c>
      <c r="B68" s="167" t="n">
        <f aca="false">Rates!K5</f>
        <v>5.575</v>
      </c>
      <c r="D68" s="185" t="s">
        <v>410</v>
      </c>
      <c r="E68" s="167" t="n">
        <f aca="false">Rates!Z3</f>
        <v>6.23</v>
      </c>
      <c r="I68" s="259"/>
      <c r="J68" s="259"/>
      <c r="K68" s="259"/>
      <c r="L68" s="259"/>
    </row>
    <row r="69" customFormat="false" ht="12.75" hidden="false" customHeight="false" outlineLevel="0" collapsed="false">
      <c r="A69" s="175" t="s">
        <v>223</v>
      </c>
      <c r="B69" s="167" t="n">
        <f aca="false">Rates!K4</f>
        <v>5.675</v>
      </c>
      <c r="D69" s="185" t="s">
        <v>48</v>
      </c>
      <c r="E69" s="167" t="n">
        <f aca="false">Rates!W3</f>
        <v>6.18</v>
      </c>
      <c r="I69" s="259"/>
      <c r="J69" s="259"/>
      <c r="K69" s="259"/>
      <c r="L69" s="259"/>
    </row>
    <row r="70" customFormat="false" ht="12.75" hidden="false" customHeight="false" outlineLevel="0" collapsed="false">
      <c r="A70" s="243" t="s">
        <v>229</v>
      </c>
      <c r="B70" s="167" t="n">
        <f aca="false">Rates!K3</f>
        <v>5.75</v>
      </c>
      <c r="D70" s="274" t="s">
        <v>75</v>
      </c>
      <c r="E70" s="167" t="n">
        <f aca="false">Rates!AI3</f>
        <v>6.265</v>
      </c>
      <c r="I70" s="259"/>
      <c r="J70" s="259"/>
      <c r="K70" s="259"/>
      <c r="L70" s="259"/>
    </row>
    <row r="71" customFormat="false" ht="12.75" hidden="false" customHeight="false" outlineLevel="0" collapsed="false">
      <c r="A71" s="243" t="s">
        <v>373</v>
      </c>
      <c r="B71" s="167" t="n">
        <f aca="false">Rates!K6</f>
        <v>6.005</v>
      </c>
      <c r="E71" s="167"/>
      <c r="I71" s="259"/>
      <c r="J71" s="259"/>
      <c r="K71" s="259"/>
      <c r="L71" s="259"/>
    </row>
    <row r="72" customFormat="false" ht="12.75" hidden="false" customHeight="false" outlineLevel="0" collapsed="false">
      <c r="A72" s="243" t="s">
        <v>375</v>
      </c>
      <c r="B72" s="167" t="n">
        <f aca="false">Rates!K7</f>
        <v>6.355</v>
      </c>
      <c r="D72" s="280" t="s">
        <v>411</v>
      </c>
      <c r="E72" s="281" t="n">
        <f aca="false">Rates!D2</f>
        <v>5.9</v>
      </c>
      <c r="I72" s="259"/>
      <c r="J72" s="259"/>
      <c r="K72" s="259"/>
      <c r="L72" s="259"/>
    </row>
    <row r="73" customFormat="false" ht="12.75" hidden="false" customHeight="false" outlineLevel="0" collapsed="false">
      <c r="I73" s="259"/>
      <c r="J73" s="259"/>
      <c r="K73" s="259"/>
      <c r="L73" s="259"/>
    </row>
    <row r="74" customFormat="false" ht="12.75" hidden="false" customHeight="false" outlineLevel="0" collapsed="false">
      <c r="I74" s="259"/>
      <c r="J74" s="259"/>
      <c r="K74" s="259"/>
      <c r="L74" s="259"/>
    </row>
    <row r="75" customFormat="false" ht="12.75" hidden="false" customHeight="false" outlineLevel="0" collapsed="false">
      <c r="I75" s="259"/>
      <c r="J75" s="259"/>
      <c r="K75" s="259"/>
      <c r="L75" s="259"/>
    </row>
    <row r="76" customFormat="false" ht="12.75" hidden="false" customHeight="false" outlineLevel="0" collapsed="false">
      <c r="I76" s="259"/>
      <c r="J76" s="259"/>
      <c r="K76" s="259"/>
      <c r="L76" s="259"/>
    </row>
    <row r="77" customFormat="false" ht="12.75" hidden="false" customHeight="false" outlineLevel="0" collapsed="false">
      <c r="I77" s="248"/>
      <c r="J77" s="127"/>
      <c r="K77" s="127"/>
      <c r="L77" s="127"/>
    </row>
    <row r="78" customFormat="false" ht="12.75" hidden="false" customHeight="false" outlineLevel="0" collapsed="false">
      <c r="I78" s="127"/>
      <c r="J78" s="248"/>
      <c r="K78" s="127"/>
      <c r="L78" s="248"/>
    </row>
    <row r="79" customFormat="false" ht="12.75" hidden="false" customHeight="false" outlineLevel="0" collapsed="false">
      <c r="I79" s="259"/>
      <c r="J79" s="259"/>
      <c r="K79" s="259"/>
      <c r="L79" s="259"/>
    </row>
    <row r="80" customFormat="false" ht="12.75" hidden="false" customHeight="false" outlineLevel="0" collapsed="false">
      <c r="I80" s="259"/>
      <c r="J80" s="259"/>
      <c r="K80" s="259"/>
      <c r="L80" s="259"/>
    </row>
    <row r="81" customFormat="false" ht="12.75" hidden="false" customHeight="false" outlineLevel="0" collapsed="false">
      <c r="I81" s="259"/>
      <c r="J81" s="259"/>
      <c r="K81" s="259"/>
      <c r="L81" s="259"/>
    </row>
    <row r="82" customFormat="false" ht="12.75" hidden="false" customHeight="false" outlineLevel="0" collapsed="false">
      <c r="I82" s="259"/>
      <c r="J82" s="259"/>
      <c r="K82" s="259"/>
      <c r="L82" s="259"/>
    </row>
    <row r="83" customFormat="false" ht="12.75" hidden="false" customHeight="false" outlineLevel="0" collapsed="false">
      <c r="I83" s="259"/>
      <c r="J83" s="259"/>
      <c r="K83" s="259"/>
      <c r="L83" s="259"/>
    </row>
    <row r="84" customFormat="false" ht="12.75" hidden="false" customHeight="false" outlineLevel="0" collapsed="false">
      <c r="I84" s="259"/>
      <c r="J84" s="259"/>
      <c r="K84" s="259"/>
      <c r="L84" s="259"/>
    </row>
    <row r="85" customFormat="false" ht="12.75" hidden="false" customHeight="false" outlineLevel="0" collapsed="false">
      <c r="I85" s="259"/>
      <c r="J85" s="259"/>
      <c r="K85" s="259"/>
      <c r="L85" s="259"/>
    </row>
    <row r="86" customFormat="false" ht="12.75" hidden="false" customHeight="false" outlineLevel="0" collapsed="false">
      <c r="I86" s="282"/>
      <c r="J86" s="282"/>
      <c r="K86" s="282"/>
      <c r="L86" s="282"/>
    </row>
    <row r="87" customFormat="false" ht="12.75" hidden="false" customHeight="false" outlineLevel="0" collapsed="false">
      <c r="I87" s="282"/>
      <c r="J87" s="282"/>
      <c r="K87" s="282"/>
      <c r="L87" s="282"/>
    </row>
    <row r="88" customFormat="false" ht="12.75" hidden="false" customHeight="false" outlineLevel="0" collapsed="false">
      <c r="I88" s="282"/>
      <c r="J88" s="282"/>
      <c r="K88" s="282"/>
      <c r="L88" s="282"/>
    </row>
    <row r="89" customFormat="false" ht="12.75" hidden="false" customHeight="false" outlineLevel="0" collapsed="false">
      <c r="I89" s="282"/>
      <c r="J89" s="282"/>
      <c r="K89" s="282"/>
      <c r="L89" s="282"/>
    </row>
    <row r="90" customFormat="false" ht="12.75" hidden="false" customHeight="false" outlineLevel="0" collapsed="false">
      <c r="I90" s="282"/>
      <c r="J90" s="282"/>
      <c r="K90" s="282"/>
      <c r="L90" s="2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&amp;C&amp;14February
 2001 Rates Using Current Cash Prices</oddHeader>
    <oddFooter>&amp;L&amp;D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11.85"/>
    <col collapsed="false" customWidth="true" hidden="false" outlineLevel="0" max="2" min="2" style="25" width="10.85"/>
    <col collapsed="false" customWidth="true" hidden="false" outlineLevel="0" max="3" min="3" style="25" width="3.99"/>
    <col collapsed="false" customWidth="true" hidden="false" outlineLevel="0" max="4" min="4" style="25" width="11.85"/>
    <col collapsed="false" customWidth="true" hidden="false" outlineLevel="0" max="5" min="5" style="25" width="11.99"/>
    <col collapsed="false" customWidth="true" hidden="false" outlineLevel="0" max="6" min="6" style="25" width="2.84"/>
    <col collapsed="false" customWidth="true" hidden="false" outlineLevel="0" max="8" min="7" style="25" width="10.85"/>
    <col collapsed="false" customWidth="true" hidden="false" outlineLevel="0" max="9" min="9" style="25" width="2.84"/>
    <col collapsed="false" customWidth="true" hidden="false" outlineLevel="0" max="11" min="10" style="25" width="10.85"/>
    <col collapsed="false" customWidth="true" hidden="false" outlineLevel="0" max="12" min="12" style="25" width="2.84"/>
    <col collapsed="false" customWidth="true" hidden="false" outlineLevel="0" max="14" min="13" style="25" width="10.85"/>
    <col collapsed="false" customWidth="true" hidden="false" outlineLevel="0" max="15" min="15" style="25" width="2.84"/>
    <col collapsed="false" customWidth="true" hidden="false" outlineLevel="0" max="17" min="16" style="25" width="10.85"/>
    <col collapsed="false" customWidth="true" hidden="false" outlineLevel="0" max="18" min="18" style="25" width="2.84"/>
    <col collapsed="false" customWidth="true" hidden="false" outlineLevel="0" max="20" min="19" style="25" width="10.85"/>
    <col collapsed="false" customWidth="true" hidden="false" outlineLevel="0" max="21" min="21" style="25" width="2.84"/>
    <col collapsed="false" customWidth="true" hidden="false" outlineLevel="0" max="23" min="22" style="25" width="10.85"/>
    <col collapsed="false" customWidth="true" hidden="false" outlineLevel="0" max="24" min="24" style="25" width="2.84"/>
    <col collapsed="false" customWidth="true" hidden="false" outlineLevel="0" max="25" min="25" style="25" width="12.14"/>
    <col collapsed="false" customWidth="true" hidden="false" outlineLevel="0" max="26" min="26" style="25" width="10.85"/>
    <col collapsed="false" customWidth="true" hidden="false" outlineLevel="0" max="27" min="27" style="25" width="3.42"/>
    <col collapsed="false" customWidth="true" hidden="false" outlineLevel="0" max="28" min="28" style="25" width="9.28"/>
    <col collapsed="false" customWidth="false" hidden="false" outlineLevel="0" max="29" min="29" style="25" width="9.14"/>
    <col collapsed="false" customWidth="true" hidden="false" outlineLevel="0" max="30" min="30" style="25" width="3.42"/>
    <col collapsed="false" customWidth="false" hidden="false" outlineLevel="0" max="32" min="31" style="25" width="9.14"/>
    <col collapsed="false" customWidth="true" hidden="false" outlineLevel="0" max="33" min="33" style="25" width="3.42"/>
    <col collapsed="false" customWidth="true" hidden="false" outlineLevel="0" max="34" min="34" style="25" width="9.28"/>
    <col collapsed="false" customWidth="false" hidden="false" outlineLevel="0" max="35" min="35" style="25" width="9.14"/>
    <col collapsed="false" customWidth="true" hidden="false" outlineLevel="0" max="36" min="36" style="25" width="3.42"/>
    <col collapsed="false" customWidth="false" hidden="false" outlineLevel="0" max="38" min="37" style="25" width="9.14"/>
    <col collapsed="false" customWidth="true" hidden="false" outlineLevel="0" max="39" min="39" style="25" width="3.42"/>
    <col collapsed="false" customWidth="false" hidden="false" outlineLevel="0" max="41" min="40" style="25" width="9.14"/>
    <col collapsed="false" customWidth="true" hidden="false" outlineLevel="0" max="42" min="42" style="25" width="3.42"/>
    <col collapsed="false" customWidth="false" hidden="false" outlineLevel="0" max="257" min="43" style="25" width="9.14"/>
  </cols>
  <sheetData>
    <row r="1" customFormat="false" ht="13.5" hidden="false" customHeight="false" outlineLevel="0" collapsed="false">
      <c r="A1" s="283" t="n">
        <v>36935</v>
      </c>
      <c r="D1" s="284" t="s">
        <v>411</v>
      </c>
      <c r="AK1" s="25" t="s">
        <v>412</v>
      </c>
    </row>
    <row r="2" customFormat="false" ht="13.5" hidden="false" customHeight="false" outlineLevel="0" collapsed="false">
      <c r="A2" s="285" t="s">
        <v>413</v>
      </c>
      <c r="B2" s="286" t="s">
        <v>414</v>
      </c>
      <c r="C2" s="285"/>
      <c r="D2" s="287" t="n">
        <v>5.9</v>
      </c>
      <c r="E2" s="288" t="s">
        <v>415</v>
      </c>
      <c r="F2" s="285"/>
      <c r="G2" s="285" t="s">
        <v>1</v>
      </c>
      <c r="H2" s="285"/>
      <c r="I2" s="285"/>
      <c r="J2" s="289"/>
      <c r="K2" s="290"/>
      <c r="L2" s="285"/>
      <c r="M2" s="285"/>
      <c r="N2" s="288" t="s">
        <v>415</v>
      </c>
      <c r="O2" s="285"/>
      <c r="P2" s="285"/>
      <c r="Q2" s="291"/>
      <c r="R2" s="285"/>
      <c r="S2" s="285"/>
      <c r="T2" s="291"/>
      <c r="U2" s="285"/>
      <c r="V2" s="285"/>
      <c r="W2" s="291"/>
      <c r="X2" s="285" t="s">
        <v>1</v>
      </c>
      <c r="Y2" s="285" t="s">
        <v>1</v>
      </c>
      <c r="Z2" s="285" t="s">
        <v>1</v>
      </c>
      <c r="AC2" s="25" t="s">
        <v>416</v>
      </c>
      <c r="AH2" s="292" t="s">
        <v>417</v>
      </c>
      <c r="AL2" s="25" t="s">
        <v>416</v>
      </c>
      <c r="AO2" s="25" t="s">
        <v>416</v>
      </c>
    </row>
    <row r="3" customFormat="false" ht="12.75" hidden="false" customHeight="false" outlineLevel="0" collapsed="false">
      <c r="A3" s="289" t="s">
        <v>418</v>
      </c>
      <c r="B3" s="293" t="n">
        <v>5.91</v>
      </c>
      <c r="C3" s="285"/>
      <c r="D3" s="289" t="s">
        <v>418</v>
      </c>
      <c r="E3" s="294" t="n">
        <f aca="false">+B3</f>
        <v>5.91</v>
      </c>
      <c r="F3" s="285"/>
      <c r="G3" s="295" t="s">
        <v>419</v>
      </c>
      <c r="H3" s="296" t="n">
        <v>5.765</v>
      </c>
      <c r="I3" s="285"/>
      <c r="J3" s="289" t="s">
        <v>420</v>
      </c>
      <c r="K3" s="290" t="n">
        <v>5.75</v>
      </c>
      <c r="L3" s="285"/>
      <c r="M3" s="289" t="s">
        <v>420</v>
      </c>
      <c r="N3" s="294" t="n">
        <f aca="false">+K3</f>
        <v>5.75</v>
      </c>
      <c r="O3" s="285"/>
      <c r="P3" s="289" t="s">
        <v>421</v>
      </c>
      <c r="Q3" s="290" t="n">
        <v>5.915</v>
      </c>
      <c r="R3" s="285" t="s">
        <v>1</v>
      </c>
      <c r="S3" s="289" t="s">
        <v>422</v>
      </c>
      <c r="T3" s="290" t="n">
        <v>5.91</v>
      </c>
      <c r="U3" s="285" t="s">
        <v>1</v>
      </c>
      <c r="V3" s="289" t="s">
        <v>48</v>
      </c>
      <c r="W3" s="290" t="n">
        <v>6.18</v>
      </c>
      <c r="X3" s="285"/>
      <c r="Y3" s="297" t="s">
        <v>423</v>
      </c>
      <c r="Z3" s="290" t="n">
        <v>6.23</v>
      </c>
      <c r="AB3" s="289" t="s">
        <v>375</v>
      </c>
      <c r="AC3" s="298" t="n">
        <f aca="false">K7</f>
        <v>6.355</v>
      </c>
      <c r="AE3" s="168" t="s">
        <v>424</v>
      </c>
      <c r="AF3" s="290" t="n">
        <v>5.89</v>
      </c>
      <c r="AH3" s="289" t="s">
        <v>425</v>
      </c>
      <c r="AI3" s="290" t="n">
        <v>6.265</v>
      </c>
      <c r="AK3" s="289" t="s">
        <v>50</v>
      </c>
      <c r="AL3" s="298" t="n">
        <f aca="false">+Z3</f>
        <v>6.23</v>
      </c>
      <c r="AN3" s="289" t="s">
        <v>426</v>
      </c>
      <c r="AO3" s="298" t="n">
        <f aca="false">+H3</f>
        <v>5.765</v>
      </c>
      <c r="AQ3" s="289" t="s">
        <v>389</v>
      </c>
      <c r="AR3" s="290" t="n">
        <v>6.24</v>
      </c>
    </row>
    <row r="4" customFormat="false" ht="12.75" hidden="false" customHeight="false" outlineLevel="0" collapsed="false">
      <c r="A4" s="289" t="s">
        <v>427</v>
      </c>
      <c r="B4" s="299" t="n">
        <v>5.925</v>
      </c>
      <c r="C4" s="175"/>
      <c r="D4" s="289" t="s">
        <v>427</v>
      </c>
      <c r="E4" s="294" t="n">
        <f aca="false">+B4</f>
        <v>5.925</v>
      </c>
      <c r="F4" s="175"/>
      <c r="G4" s="295" t="s">
        <v>428</v>
      </c>
      <c r="H4" s="299" t="n">
        <v>5.835</v>
      </c>
      <c r="I4" s="285"/>
      <c r="J4" s="289" t="s">
        <v>429</v>
      </c>
      <c r="K4" s="290" t="n">
        <v>5.675</v>
      </c>
      <c r="L4" s="285"/>
      <c r="M4" s="289" t="s">
        <v>429</v>
      </c>
      <c r="N4" s="294" t="n">
        <f aca="false">+K4</f>
        <v>5.675</v>
      </c>
      <c r="O4" s="285"/>
      <c r="P4" s="289"/>
      <c r="Q4" s="290"/>
      <c r="R4" s="285"/>
      <c r="S4" s="289" t="s">
        <v>430</v>
      </c>
      <c r="T4" s="290" t="n">
        <f aca="false">+T3+T37</f>
        <v>5.9846534965844</v>
      </c>
      <c r="U4" s="285"/>
      <c r="V4" s="289"/>
      <c r="W4" s="290" t="n">
        <f aca="false">+W17+W3</f>
        <v>6.34048478776478</v>
      </c>
      <c r="X4" s="285"/>
      <c r="Y4" s="285"/>
      <c r="Z4" s="285"/>
      <c r="AB4" s="168" t="s">
        <v>431</v>
      </c>
      <c r="AE4" s="168" t="s">
        <v>432</v>
      </c>
      <c r="AR4" s="300"/>
    </row>
    <row r="5" customFormat="false" ht="12.75" hidden="false" customHeight="false" outlineLevel="0" collapsed="false">
      <c r="A5" s="289" t="s">
        <v>433</v>
      </c>
      <c r="B5" s="301" t="n">
        <v>5.75</v>
      </c>
      <c r="C5" s="180"/>
      <c r="D5" s="289" t="s">
        <v>433</v>
      </c>
      <c r="E5" s="294" t="n">
        <f aca="false">+B5</f>
        <v>5.75</v>
      </c>
      <c r="F5" s="180"/>
      <c r="G5" s="295" t="s">
        <v>307</v>
      </c>
      <c r="H5" s="301" t="n">
        <v>6.245</v>
      </c>
      <c r="I5" s="285"/>
      <c r="J5" s="289" t="s">
        <v>434</v>
      </c>
      <c r="K5" s="290" t="n">
        <v>5.575</v>
      </c>
      <c r="L5" s="285"/>
      <c r="M5" s="289" t="s">
        <v>434</v>
      </c>
      <c r="N5" s="294" t="n">
        <f aca="false">+K5</f>
        <v>5.575</v>
      </c>
      <c r="O5" s="285"/>
      <c r="P5" s="289"/>
      <c r="Q5" s="291"/>
      <c r="R5" s="285"/>
      <c r="S5" s="289" t="s">
        <v>435</v>
      </c>
      <c r="T5" s="291" t="n">
        <f aca="false">+T4+T27</f>
        <v>6.17751806604693</v>
      </c>
      <c r="U5" s="285"/>
      <c r="V5" s="289"/>
      <c r="W5" s="291"/>
      <c r="X5" s="285"/>
      <c r="Y5" s="285"/>
      <c r="Z5" s="302"/>
      <c r="AR5" s="300"/>
    </row>
    <row r="6" customFormat="false" ht="12.75" hidden="false" customHeight="false" outlineLevel="0" collapsed="false">
      <c r="A6" s="295" t="s">
        <v>436</v>
      </c>
      <c r="B6" s="301" t="n">
        <v>5.715</v>
      </c>
      <c r="C6" s="180"/>
      <c r="D6" s="295" t="s">
        <v>436</v>
      </c>
      <c r="E6" s="294" t="n">
        <f aca="false">+B6</f>
        <v>5.715</v>
      </c>
      <c r="F6" s="180"/>
      <c r="G6" s="127"/>
      <c r="H6" s="127"/>
      <c r="I6" s="256"/>
      <c r="J6" s="295" t="s">
        <v>437</v>
      </c>
      <c r="K6" s="303" t="n">
        <v>6.005</v>
      </c>
      <c r="L6" s="256"/>
      <c r="M6" s="295" t="s">
        <v>437</v>
      </c>
      <c r="N6" s="294" t="n">
        <f aca="false">+K6</f>
        <v>6.005</v>
      </c>
      <c r="O6" s="256"/>
      <c r="P6" s="295"/>
      <c r="Q6" s="304"/>
      <c r="R6" s="256"/>
      <c r="S6" s="295" t="s">
        <v>438</v>
      </c>
      <c r="T6" s="304" t="n">
        <f aca="false">+T5-T3</f>
        <v>0.267518066046927</v>
      </c>
      <c r="U6" s="256"/>
      <c r="V6" s="295"/>
      <c r="W6" s="304"/>
      <c r="X6" s="256"/>
      <c r="Y6" s="256"/>
      <c r="Z6" s="304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  <c r="IW6" s="127"/>
    </row>
    <row r="7" customFormat="false" ht="12.75" hidden="false" customHeight="false" outlineLevel="0" collapsed="false">
      <c r="A7" s="305" t="s">
        <v>439</v>
      </c>
      <c r="B7" s="301" t="n">
        <v>6.34</v>
      </c>
      <c r="C7" s="180"/>
      <c r="D7" s="305" t="s">
        <v>439</v>
      </c>
      <c r="E7" s="294" t="n">
        <f aca="false">+B7</f>
        <v>6.34</v>
      </c>
      <c r="F7" s="180"/>
      <c r="G7" s="180"/>
      <c r="H7" s="180"/>
      <c r="I7" s="306"/>
      <c r="J7" s="305" t="s">
        <v>375</v>
      </c>
      <c r="K7" s="307" t="n">
        <v>6.355</v>
      </c>
      <c r="L7" s="306"/>
      <c r="M7" s="305" t="s">
        <v>375</v>
      </c>
      <c r="N7" s="294" t="n">
        <f aca="false">+K7</f>
        <v>6.355</v>
      </c>
      <c r="O7" s="306"/>
      <c r="P7" s="305"/>
      <c r="Q7" s="308"/>
      <c r="R7" s="306"/>
      <c r="S7" s="305"/>
      <c r="T7" s="308"/>
      <c r="U7" s="306"/>
      <c r="V7" s="305"/>
      <c r="W7" s="308"/>
      <c r="X7" s="306"/>
      <c r="Y7" s="306"/>
      <c r="Z7" s="308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</row>
    <row r="8" customFormat="false" ht="12.75" hidden="false" customHeight="false" outlineLevel="0" collapsed="false">
      <c r="A8" s="289" t="s">
        <v>440</v>
      </c>
      <c r="B8" s="180"/>
      <c r="C8" s="180"/>
      <c r="D8" s="180"/>
      <c r="E8" s="180"/>
      <c r="F8" s="180"/>
      <c r="G8" s="309" t="s">
        <v>441</v>
      </c>
      <c r="H8" s="180"/>
      <c r="I8" s="310"/>
      <c r="J8" s="295" t="s">
        <v>442</v>
      </c>
      <c r="K8" s="303"/>
      <c r="L8" s="285"/>
      <c r="M8" s="295" t="s">
        <v>442</v>
      </c>
      <c r="N8" s="303"/>
      <c r="O8" s="285"/>
      <c r="P8" s="289"/>
      <c r="Q8" s="291"/>
      <c r="R8" s="285"/>
      <c r="S8" s="310" t="s">
        <v>443</v>
      </c>
      <c r="T8" s="291"/>
      <c r="U8" s="285"/>
      <c r="V8" s="289" t="s">
        <v>444</v>
      </c>
      <c r="W8" s="291"/>
      <c r="X8" s="285"/>
      <c r="Y8" s="289" t="s">
        <v>445</v>
      </c>
      <c r="Z8" s="285"/>
      <c r="AB8" s="25" t="s">
        <v>446</v>
      </c>
      <c r="AE8" s="25" t="s">
        <v>447</v>
      </c>
      <c r="AH8" s="25" t="s">
        <v>448</v>
      </c>
      <c r="AK8" s="25" t="s">
        <v>449</v>
      </c>
      <c r="AQ8" s="25" t="s">
        <v>450</v>
      </c>
    </row>
    <row r="9" customFormat="false" ht="12.75" hidden="false" customHeight="false" outlineLevel="0" collapsed="false">
      <c r="A9" s="295" t="s">
        <v>451</v>
      </c>
      <c r="B9" s="180"/>
      <c r="C9" s="180"/>
      <c r="D9" s="180"/>
      <c r="E9" s="180"/>
      <c r="F9" s="180"/>
      <c r="G9" s="180" t="s">
        <v>452</v>
      </c>
      <c r="H9" s="180"/>
      <c r="I9" s="209"/>
      <c r="J9" s="1" t="s">
        <v>453</v>
      </c>
      <c r="K9" s="303"/>
      <c r="L9" s="285"/>
      <c r="M9" s="1" t="s">
        <v>454</v>
      </c>
      <c r="N9" s="303"/>
      <c r="O9" s="285"/>
      <c r="P9" s="310" t="s">
        <v>455</v>
      </c>
      <c r="Q9" s="304"/>
      <c r="R9" s="256"/>
      <c r="S9" s="295" t="s">
        <v>456</v>
      </c>
      <c r="T9" s="304"/>
      <c r="U9" s="256"/>
      <c r="V9" s="295" t="s">
        <v>457</v>
      </c>
      <c r="W9" s="304"/>
      <c r="X9" s="285"/>
      <c r="Y9" s="289" t="s">
        <v>361</v>
      </c>
      <c r="Z9" s="285"/>
      <c r="AE9" s="25" t="s">
        <v>458</v>
      </c>
      <c r="AH9" s="25" t="s">
        <v>459</v>
      </c>
      <c r="AK9" s="25" t="s">
        <v>460</v>
      </c>
      <c r="AQ9" s="25" t="s">
        <v>461</v>
      </c>
    </row>
    <row r="10" customFormat="false" ht="12.75" hidden="false" customHeight="false" outlineLevel="0" collapsed="false">
      <c r="A10" s="295"/>
      <c r="B10" s="180"/>
      <c r="C10" s="180"/>
      <c r="D10" s="180"/>
      <c r="E10" s="180"/>
      <c r="F10" s="180"/>
      <c r="G10" s="180" t="s">
        <v>462</v>
      </c>
      <c r="H10" s="180"/>
      <c r="I10" s="209"/>
      <c r="J10" s="310" t="s">
        <v>463</v>
      </c>
      <c r="K10" s="303"/>
      <c r="L10" s="285"/>
      <c r="M10" s="310" t="s">
        <v>463</v>
      </c>
      <c r="N10" s="303"/>
      <c r="O10" s="285"/>
      <c r="P10" s="310" t="s">
        <v>464</v>
      </c>
      <c r="Q10" s="304"/>
      <c r="R10" s="256"/>
      <c r="S10" s="295" t="s">
        <v>465</v>
      </c>
      <c r="T10" s="304"/>
      <c r="U10" s="256"/>
      <c r="V10" s="295" t="s">
        <v>466</v>
      </c>
      <c r="W10" s="304"/>
      <c r="X10" s="285"/>
      <c r="Y10" s="289" t="s">
        <v>467</v>
      </c>
      <c r="Z10" s="289"/>
      <c r="AB10" s="25" t="s">
        <v>468</v>
      </c>
      <c r="AE10" s="25" t="s">
        <v>469</v>
      </c>
      <c r="AH10" s="25" t="s">
        <v>470</v>
      </c>
      <c r="AK10" s="311" t="n">
        <v>36526</v>
      </c>
      <c r="AN10" s="311"/>
      <c r="AQ10" s="25" t="s">
        <v>471</v>
      </c>
    </row>
    <row r="11" customFormat="false" ht="12.75" hidden="false" customHeight="false" outlineLevel="0" collapsed="false">
      <c r="A11" s="295"/>
      <c r="B11" s="1"/>
      <c r="C11" s="1"/>
      <c r="D11" s="1"/>
      <c r="E11" s="1"/>
      <c r="F11" s="1"/>
      <c r="G11" s="1" t="s">
        <v>472</v>
      </c>
      <c r="H11" s="180"/>
      <c r="I11" s="209"/>
      <c r="J11" s="310" t="s">
        <v>473</v>
      </c>
      <c r="K11" s="303"/>
      <c r="L11" s="285"/>
      <c r="M11" s="310" t="s">
        <v>473</v>
      </c>
      <c r="N11" s="303"/>
      <c r="O11" s="285"/>
      <c r="P11" s="310" t="s">
        <v>474</v>
      </c>
      <c r="Q11" s="304"/>
      <c r="R11" s="256"/>
      <c r="S11" s="295"/>
      <c r="T11" s="304"/>
      <c r="U11" s="256"/>
      <c r="V11" s="295" t="s">
        <v>475</v>
      </c>
      <c r="W11" s="304"/>
      <c r="X11" s="285"/>
      <c r="Y11" s="289"/>
      <c r="Z11" s="289"/>
      <c r="AB11" s="25" t="s">
        <v>476</v>
      </c>
      <c r="AE11" s="25" t="s">
        <v>477</v>
      </c>
      <c r="AK11" s="311"/>
      <c r="AN11" s="311"/>
      <c r="AQ11" s="25" t="s">
        <v>478</v>
      </c>
    </row>
    <row r="12" customFormat="false" ht="12.75" hidden="false" customHeight="false" outlineLevel="0" collapsed="false">
      <c r="A12" s="312"/>
      <c r="B12" s="313"/>
      <c r="C12" s="285"/>
      <c r="D12" s="289"/>
      <c r="E12" s="314"/>
      <c r="F12" s="315"/>
      <c r="G12" s="316"/>
      <c r="H12" s="317"/>
      <c r="I12" s="285"/>
      <c r="J12" s="310" t="s">
        <v>479</v>
      </c>
      <c r="K12" s="290"/>
      <c r="L12" s="285"/>
      <c r="M12" s="289" t="s">
        <v>11</v>
      </c>
      <c r="N12" s="290"/>
      <c r="O12" s="285"/>
      <c r="P12" s="295" t="s">
        <v>480</v>
      </c>
      <c r="Q12" s="291"/>
      <c r="R12" s="285"/>
      <c r="S12" s="289"/>
      <c r="T12" s="291"/>
      <c r="U12" s="285"/>
      <c r="V12" s="289"/>
      <c r="W12" s="291"/>
      <c r="X12" s="285"/>
      <c r="Y12" s="289"/>
      <c r="Z12" s="289"/>
      <c r="AE12" s="25" t="s">
        <v>481</v>
      </c>
      <c r="AK12" s="311" t="s">
        <v>482</v>
      </c>
      <c r="AN12" s="311"/>
      <c r="AQ12" s="311" t="n">
        <v>36526</v>
      </c>
      <c r="AT12" s="25" t="s">
        <v>483</v>
      </c>
      <c r="AU12" s="296" t="n">
        <v>2.025</v>
      </c>
    </row>
    <row r="13" customFormat="false" ht="12.75" hidden="false" customHeight="false" outlineLevel="0" collapsed="false">
      <c r="A13" s="318" t="s">
        <v>84</v>
      </c>
      <c r="B13" s="319" t="s">
        <v>484</v>
      </c>
      <c r="C13" s="320"/>
      <c r="D13" s="25" t="s">
        <v>84</v>
      </c>
      <c r="E13" s="25" t="s">
        <v>485</v>
      </c>
      <c r="F13" s="321"/>
      <c r="G13" s="318" t="s">
        <v>486</v>
      </c>
      <c r="H13" s="322" t="s">
        <v>487</v>
      </c>
      <c r="I13" s="315"/>
      <c r="J13" s="323" t="s">
        <v>488</v>
      </c>
      <c r="K13" s="319" t="s">
        <v>489</v>
      </c>
      <c r="L13" s="315"/>
      <c r="M13" s="324" t="s">
        <v>490</v>
      </c>
      <c r="N13" s="325" t="s">
        <v>489</v>
      </c>
      <c r="O13" s="315"/>
      <c r="P13" s="326" t="s">
        <v>377</v>
      </c>
      <c r="Q13" s="327" t="s">
        <v>491</v>
      </c>
      <c r="R13" s="320"/>
      <c r="S13" s="326" t="s">
        <v>492</v>
      </c>
      <c r="T13" s="327" t="s">
        <v>493</v>
      </c>
      <c r="U13" s="320"/>
      <c r="V13" s="326" t="s">
        <v>494</v>
      </c>
      <c r="W13" s="327" t="s">
        <v>495</v>
      </c>
      <c r="X13" s="320"/>
      <c r="Y13" s="326" t="s">
        <v>50</v>
      </c>
      <c r="Z13" s="327" t="s">
        <v>496</v>
      </c>
      <c r="AB13" s="326" t="s">
        <v>254</v>
      </c>
      <c r="AC13" s="327" t="s">
        <v>394</v>
      </c>
      <c r="AE13" s="25" t="s">
        <v>497</v>
      </c>
      <c r="AH13" s="326" t="s">
        <v>417</v>
      </c>
      <c r="AI13" s="327" t="s">
        <v>498</v>
      </c>
      <c r="AK13" s="326" t="s">
        <v>499</v>
      </c>
      <c r="AL13" s="327" t="s">
        <v>500</v>
      </c>
      <c r="AN13" s="326" t="s">
        <v>501</v>
      </c>
      <c r="AO13" s="327" t="s">
        <v>11</v>
      </c>
      <c r="AQ13" s="326" t="s">
        <v>502</v>
      </c>
      <c r="AR13" s="327" t="s">
        <v>503</v>
      </c>
      <c r="AT13" s="168" t="s">
        <v>504</v>
      </c>
      <c r="AU13" s="296"/>
    </row>
    <row r="14" customFormat="false" ht="12.75" hidden="false" customHeight="false" outlineLevel="0" collapsed="false">
      <c r="A14" s="328" t="s">
        <v>505</v>
      </c>
      <c r="B14" s="329" t="n">
        <v>0.0024</v>
      </c>
      <c r="C14" s="321"/>
      <c r="D14" s="330" t="s">
        <v>506</v>
      </c>
      <c r="E14" s="331" t="n">
        <v>0.0653</v>
      </c>
      <c r="F14" s="321"/>
      <c r="G14" s="328" t="s">
        <v>505</v>
      </c>
      <c r="H14" s="329" t="n">
        <v>0.0439</v>
      </c>
      <c r="I14" s="321"/>
      <c r="J14" s="332" t="s">
        <v>505</v>
      </c>
      <c r="K14" s="329" t="n">
        <v>0.0088</v>
      </c>
      <c r="L14" s="321"/>
      <c r="M14" s="333" t="s">
        <v>505</v>
      </c>
      <c r="N14" s="334" t="n">
        <v>0.1895</v>
      </c>
      <c r="O14" s="321"/>
      <c r="P14" s="330" t="s">
        <v>505</v>
      </c>
      <c r="Q14" s="334" t="n">
        <v>0.006</v>
      </c>
      <c r="R14" s="321"/>
      <c r="S14" s="330" t="s">
        <v>505</v>
      </c>
      <c r="T14" s="335" t="n">
        <v>0.0002</v>
      </c>
      <c r="U14" s="321"/>
      <c r="V14" s="330" t="s">
        <v>505</v>
      </c>
      <c r="W14" s="335" t="n">
        <v>0.0133</v>
      </c>
      <c r="X14" s="321"/>
      <c r="Y14" s="330" t="s">
        <v>505</v>
      </c>
      <c r="Z14" s="335" t="n">
        <v>0.0434</v>
      </c>
      <c r="AB14" s="330" t="s">
        <v>505</v>
      </c>
      <c r="AC14" s="334" t="n">
        <v>0.0112</v>
      </c>
      <c r="AE14" s="330" t="s">
        <v>505</v>
      </c>
      <c r="AF14" s="334" t="n">
        <f aca="false">0.004</f>
        <v>0.004</v>
      </c>
      <c r="AH14" s="330" t="s">
        <v>505</v>
      </c>
      <c r="AI14" s="334" t="n">
        <v>0.003</v>
      </c>
      <c r="AK14" s="330" t="s">
        <v>505</v>
      </c>
      <c r="AL14" s="334" t="n">
        <v>0.2127</v>
      </c>
      <c r="AN14" s="330" t="s">
        <v>505</v>
      </c>
      <c r="AO14" s="334" t="n">
        <v>0.017</v>
      </c>
      <c r="AQ14" s="330" t="s">
        <v>505</v>
      </c>
      <c r="AR14" s="334" t="n">
        <f aca="false">+AR20+AR26+AR32</f>
        <v>0.0013</v>
      </c>
      <c r="AT14" s="25" t="s">
        <v>506</v>
      </c>
      <c r="AU14" s="296" t="n">
        <v>0.01</v>
      </c>
    </row>
    <row r="15" customFormat="false" ht="12.75" hidden="false" customHeight="false" outlineLevel="0" collapsed="false">
      <c r="A15" s="328" t="s">
        <v>112</v>
      </c>
      <c r="B15" s="329" t="n">
        <f aca="false">0.0022+0.007+0.0097</f>
        <v>0.0189</v>
      </c>
      <c r="C15" s="321"/>
      <c r="D15" s="330" t="s">
        <v>112</v>
      </c>
      <c r="E15" s="331" t="n">
        <f aca="false">0.007+0.0022+0.0097</f>
        <v>0.0189</v>
      </c>
      <c r="F15" s="336"/>
      <c r="G15" s="328" t="s">
        <v>112</v>
      </c>
      <c r="H15" s="329" t="n">
        <f aca="false">0.0022+0.007+0.0225</f>
        <v>0.0317</v>
      </c>
      <c r="I15" s="321"/>
      <c r="J15" s="332" t="s">
        <v>112</v>
      </c>
      <c r="K15" s="329" t="n">
        <f aca="false">0.0022+0.007</f>
        <v>0.0092</v>
      </c>
      <c r="L15" s="321"/>
      <c r="M15" s="333" t="s">
        <v>112</v>
      </c>
      <c r="N15" s="334" t="n">
        <f aca="false">0.0022+0.007</f>
        <v>0.0092</v>
      </c>
      <c r="O15" s="321"/>
      <c r="P15" s="330" t="s">
        <v>112</v>
      </c>
      <c r="Q15" s="334" t="n">
        <f aca="false">0.0022+0.007</f>
        <v>0.0092</v>
      </c>
      <c r="R15" s="321"/>
      <c r="S15" s="330" t="s">
        <v>112</v>
      </c>
      <c r="T15" s="335" t="n">
        <v>0.0022</v>
      </c>
      <c r="U15" s="321"/>
      <c r="V15" s="330" t="s">
        <v>112</v>
      </c>
      <c r="W15" s="335" t="n">
        <f aca="false">0.0022+0.007</f>
        <v>0.0092</v>
      </c>
      <c r="X15" s="321"/>
      <c r="Y15" s="330" t="s">
        <v>112</v>
      </c>
      <c r="Z15" s="334" t="n">
        <v>0.0022</v>
      </c>
      <c r="AB15" s="330" t="s">
        <v>112</v>
      </c>
      <c r="AC15" s="334" t="n">
        <f aca="false">0.0022+0.007</f>
        <v>0.0092</v>
      </c>
      <c r="AE15" s="330" t="s">
        <v>112</v>
      </c>
      <c r="AF15" s="334" t="n">
        <f aca="false">0.0022+0.007</f>
        <v>0.0092</v>
      </c>
      <c r="AH15" s="330" t="s">
        <v>112</v>
      </c>
      <c r="AI15" s="334" t="n">
        <f aca="false">0.0022+0.0007-0.0002</f>
        <v>0.0027</v>
      </c>
      <c r="AK15" s="330" t="s">
        <v>112</v>
      </c>
      <c r="AL15" s="334" t="n">
        <f aca="false">0.0022+0.007</f>
        <v>0.0092</v>
      </c>
      <c r="AN15" s="330" t="s">
        <v>112</v>
      </c>
      <c r="AO15" s="334" t="n">
        <v>0</v>
      </c>
      <c r="AQ15" s="330" t="s">
        <v>112</v>
      </c>
      <c r="AR15" s="334" t="n">
        <f aca="false">0.0022</f>
        <v>0.0022</v>
      </c>
      <c r="AT15" s="25" t="s">
        <v>507</v>
      </c>
      <c r="AU15" s="296" t="n">
        <v>0.0022</v>
      </c>
    </row>
    <row r="16" customFormat="false" ht="12.75" hidden="false" customHeight="false" outlineLevel="0" collapsed="false">
      <c r="A16" s="328" t="s">
        <v>508</v>
      </c>
      <c r="B16" s="337" t="n">
        <f aca="false">B6/(1-0.0035)-B6</f>
        <v>0.0200727546412445</v>
      </c>
      <c r="C16" s="336"/>
      <c r="D16" s="330" t="s">
        <v>508</v>
      </c>
      <c r="E16" s="338" t="n">
        <f aca="false">(E6)/(1-0.0035)-E6</f>
        <v>0.0200727546412445</v>
      </c>
      <c r="F16" s="339"/>
      <c r="G16" s="340" t="n">
        <v>0.0089</v>
      </c>
      <c r="H16" s="341" t="n">
        <f aca="false">(H$3)/(1-G16)-H$3</f>
        <v>0.0517692462919985</v>
      </c>
      <c r="I16" s="336"/>
      <c r="J16" s="340" t="n">
        <v>0.0303</v>
      </c>
      <c r="K16" s="337" t="n">
        <f aca="false">(K$5)/(1-J16)-K$5</f>
        <v>0.17420078374755</v>
      </c>
      <c r="L16" s="336"/>
      <c r="M16" s="342" t="n">
        <v>0.0303</v>
      </c>
      <c r="N16" s="338" t="n">
        <f aca="false">(N$5)/(1-M16)-N$5</f>
        <v>0.17420078374755</v>
      </c>
      <c r="O16" s="336"/>
      <c r="P16" s="330" t="s">
        <v>509</v>
      </c>
      <c r="Q16" s="338" t="n">
        <f aca="false">+Q$3/(1-0.015)-Q$3</f>
        <v>0.0900761421319798</v>
      </c>
      <c r="R16" s="336"/>
      <c r="S16" s="330" t="s">
        <v>510</v>
      </c>
      <c r="T16" s="338" t="n">
        <f aca="false">(+T3-0.108)/(1-0.00489)-(T3-0.108)</f>
        <v>0.0285111997668599</v>
      </c>
      <c r="U16" s="336"/>
      <c r="V16" s="342" t="n">
        <v>0.02184</v>
      </c>
      <c r="W16" s="338" t="n">
        <f aca="false">+W$3/(1-V16)-W$3</f>
        <v>0.137984787764783</v>
      </c>
      <c r="X16" s="336"/>
      <c r="Y16" s="342" t="n">
        <v>0.0228</v>
      </c>
      <c r="Z16" s="338" t="n">
        <f aca="false">+Z$3/(1-Y16)-Z$3</f>
        <v>0.145358166189112</v>
      </c>
      <c r="AB16" s="342" t="n">
        <v>0.0058</v>
      </c>
      <c r="AC16" s="338" t="n">
        <f aca="false">+AC3/(1-AB16)-AC3</f>
        <v>0.0370740293703484</v>
      </c>
      <c r="AE16" s="342" t="n">
        <v>0.004</v>
      </c>
      <c r="AF16" s="338" t="n">
        <f aca="false">+AF$3/(1-AE16)-AF$3</f>
        <v>0.0236546184738957</v>
      </c>
      <c r="AH16" s="342" t="n">
        <v>0.005</v>
      </c>
      <c r="AI16" s="338" t="n">
        <f aca="false">+AI3/(1-AH16)-AI3</f>
        <v>0.0314824120603019</v>
      </c>
      <c r="AK16" s="343" t="n">
        <v>0.0275</v>
      </c>
      <c r="AL16" s="338" t="n">
        <f aca="false">+AL3/(1-AK16)-AL3</f>
        <v>0.176169665809768</v>
      </c>
      <c r="AN16" s="330" t="s">
        <v>511</v>
      </c>
      <c r="AO16" s="338" t="n">
        <f aca="false">+AO3/(1-0)-AO3</f>
        <v>0</v>
      </c>
      <c r="AQ16" s="330" t="s">
        <v>512</v>
      </c>
      <c r="AR16" s="338" t="n">
        <f aca="false">+AR3/(1-0.02)-AR3</f>
        <v>0.12734693877551</v>
      </c>
      <c r="AT16" s="25" t="s">
        <v>513</v>
      </c>
      <c r="AU16" s="296" t="n">
        <v>0</v>
      </c>
    </row>
    <row r="17" customFormat="false" ht="12.75" hidden="false" customHeight="false" outlineLevel="0" collapsed="false">
      <c r="A17" s="344"/>
      <c r="B17" s="345" t="n">
        <f aca="false">SUM(B14:B16)</f>
        <v>0.0413727546412445</v>
      </c>
      <c r="C17" s="339"/>
      <c r="D17" s="330"/>
      <c r="E17" s="346" t="n">
        <f aca="false">SUM(E14:E16)</f>
        <v>0.104272754641244</v>
      </c>
      <c r="F17" s="315"/>
      <c r="G17" s="344"/>
      <c r="H17" s="345" t="n">
        <f aca="false">SUM(H14:H16)</f>
        <v>0.127369246291999</v>
      </c>
      <c r="I17" s="339"/>
      <c r="J17" s="332"/>
      <c r="K17" s="345" t="n">
        <f aca="false">SUM(K14:K16)</f>
        <v>0.19220078374755</v>
      </c>
      <c r="L17" s="339"/>
      <c r="M17" s="342"/>
      <c r="N17" s="338" t="n">
        <f aca="false">SUM(N14:N16)</f>
        <v>0.37290078374755</v>
      </c>
      <c r="O17" s="339"/>
      <c r="P17" s="347"/>
      <c r="Q17" s="346" t="n">
        <f aca="false">SUM(Q14:Q16)</f>
        <v>0.10527614213198</v>
      </c>
      <c r="R17" s="339"/>
      <c r="S17" s="347"/>
      <c r="T17" s="346" t="n">
        <f aca="false">SUM(T14:T16)</f>
        <v>0.0309111997668599</v>
      </c>
      <c r="U17" s="339"/>
      <c r="V17" s="347"/>
      <c r="W17" s="346" t="n">
        <f aca="false">SUM(W14:W16)</f>
        <v>0.160484787764783</v>
      </c>
      <c r="X17" s="339" t="n">
        <v>0</v>
      </c>
      <c r="Y17" s="347"/>
      <c r="Z17" s="346" t="n">
        <f aca="false">SUM(Z14:Z16)</f>
        <v>0.190958166189112</v>
      </c>
      <c r="AB17" s="347"/>
      <c r="AC17" s="346" t="n">
        <f aca="false">SUM(AC14:AC16)</f>
        <v>0.0574740293703484</v>
      </c>
      <c r="AE17" s="347"/>
      <c r="AF17" s="346" t="n">
        <f aca="false">SUM(AF14:AF16)</f>
        <v>0.0368546184738957</v>
      </c>
      <c r="AH17" s="347"/>
      <c r="AI17" s="346" t="n">
        <f aca="false">SUM(AI14:AI16)</f>
        <v>0.0371824120603019</v>
      </c>
      <c r="AK17" s="347"/>
      <c r="AL17" s="346" t="n">
        <f aca="false">SUM(AL14:AL16)</f>
        <v>0.398069665809768</v>
      </c>
      <c r="AN17" s="347"/>
      <c r="AO17" s="346" t="n">
        <f aca="false">SUM(AO14:AO16)</f>
        <v>0.017</v>
      </c>
      <c r="AQ17" s="347"/>
      <c r="AR17" s="346" t="n">
        <f aca="false">SUM(AR14:AR16)</f>
        <v>0.13084693877551</v>
      </c>
      <c r="AT17" s="25" t="s">
        <v>514</v>
      </c>
      <c r="AU17" s="25" t="n">
        <v>0.016</v>
      </c>
    </row>
    <row r="18" customFormat="false" ht="12.75" hidden="false" customHeight="false" outlineLevel="0" collapsed="false">
      <c r="A18" s="348" t="s">
        <v>84</v>
      </c>
      <c r="B18" s="319" t="s">
        <v>515</v>
      </c>
      <c r="C18" s="320"/>
      <c r="D18" s="25" t="s">
        <v>84</v>
      </c>
      <c r="E18" s="25" t="s">
        <v>516</v>
      </c>
      <c r="F18" s="321"/>
      <c r="G18" s="348" t="s">
        <v>486</v>
      </c>
      <c r="H18" s="349" t="s">
        <v>517</v>
      </c>
      <c r="I18" s="315"/>
      <c r="J18" s="323" t="s">
        <v>488</v>
      </c>
      <c r="K18" s="319" t="s">
        <v>518</v>
      </c>
      <c r="L18" s="315"/>
      <c r="M18" s="324" t="s">
        <v>490</v>
      </c>
      <c r="N18" s="325" t="s">
        <v>518</v>
      </c>
      <c r="O18" s="315"/>
      <c r="P18" s="350" t="s">
        <v>377</v>
      </c>
      <c r="Q18" s="351" t="s">
        <v>519</v>
      </c>
      <c r="R18" s="320"/>
      <c r="S18" s="350" t="s">
        <v>492</v>
      </c>
      <c r="T18" s="351" t="s">
        <v>520</v>
      </c>
      <c r="U18" s="320"/>
      <c r="V18" s="350" t="s">
        <v>494</v>
      </c>
      <c r="W18" s="351" t="s">
        <v>521</v>
      </c>
      <c r="X18" s="320"/>
      <c r="Y18" s="326" t="s">
        <v>50</v>
      </c>
      <c r="Z18" s="327" t="s">
        <v>522</v>
      </c>
      <c r="AN18" s="71"/>
      <c r="AO18" s="71"/>
      <c r="AT18" s="25" t="s">
        <v>523</v>
      </c>
      <c r="AU18" s="296" t="n">
        <f aca="false">+AU12/(1-AU17)-AU12</f>
        <v>0.0329268292682925</v>
      </c>
    </row>
    <row r="19" customFormat="false" ht="12.75" hidden="false" customHeight="false" outlineLevel="0" collapsed="false">
      <c r="A19" s="328" t="s">
        <v>505</v>
      </c>
      <c r="B19" s="329" t="n">
        <v>0.005</v>
      </c>
      <c r="C19" s="321"/>
      <c r="D19" s="330" t="s">
        <v>505</v>
      </c>
      <c r="E19" s="331" t="n">
        <v>0.0899</v>
      </c>
      <c r="F19" s="321"/>
      <c r="G19" s="328" t="s">
        <v>505</v>
      </c>
      <c r="H19" s="329" t="n">
        <v>0.0669</v>
      </c>
      <c r="I19" s="321"/>
      <c r="J19" s="332" t="s">
        <v>505</v>
      </c>
      <c r="K19" s="329" t="n">
        <v>0.0096</v>
      </c>
      <c r="L19" s="321"/>
      <c r="M19" s="333" t="s">
        <v>505</v>
      </c>
      <c r="N19" s="334" t="n">
        <v>0.1953</v>
      </c>
      <c r="O19" s="321"/>
      <c r="P19" s="330" t="s">
        <v>505</v>
      </c>
      <c r="Q19" s="334" t="n">
        <v>0.008</v>
      </c>
      <c r="R19" s="321"/>
      <c r="S19" s="330" t="s">
        <v>505</v>
      </c>
      <c r="T19" s="335" t="n">
        <v>0.0017</v>
      </c>
      <c r="U19" s="321"/>
      <c r="V19" s="330" t="s">
        <v>505</v>
      </c>
      <c r="W19" s="335" t="n">
        <v>0.1441</v>
      </c>
      <c r="X19" s="321"/>
      <c r="Y19" s="330" t="s">
        <v>505</v>
      </c>
      <c r="Z19" s="335" t="n">
        <v>0.1943</v>
      </c>
      <c r="AB19" s="326" t="s">
        <v>254</v>
      </c>
      <c r="AC19" s="327" t="s">
        <v>524</v>
      </c>
      <c r="AE19" s="25" t="s">
        <v>525</v>
      </c>
      <c r="AH19" s="326" t="s">
        <v>417</v>
      </c>
      <c r="AI19" s="327" t="s">
        <v>526</v>
      </c>
      <c r="AK19" s="326" t="s">
        <v>499</v>
      </c>
      <c r="AL19" s="327" t="s">
        <v>263</v>
      </c>
      <c r="AN19" s="352"/>
      <c r="AO19" s="320"/>
      <c r="AQ19" s="326" t="s">
        <v>502</v>
      </c>
      <c r="AR19" s="327" t="s">
        <v>527</v>
      </c>
      <c r="AT19" s="25" t="s">
        <v>528</v>
      </c>
      <c r="AU19" s="353" t="n">
        <f aca="false">+AU18+AU16+AU15+AU14</f>
        <v>0.0451268292682925</v>
      </c>
    </row>
    <row r="20" customFormat="false" ht="13.5" hidden="false" customHeight="false" outlineLevel="0" collapsed="false">
      <c r="A20" s="328" t="s">
        <v>112</v>
      </c>
      <c r="B20" s="329" t="n">
        <f aca="false">0.0022+0.007+0.0097</f>
        <v>0.0189</v>
      </c>
      <c r="C20" s="321"/>
      <c r="D20" s="330" t="s">
        <v>112</v>
      </c>
      <c r="E20" s="331" t="n">
        <f aca="false">0.007+0.0022+0.0097</f>
        <v>0.0189</v>
      </c>
      <c r="F20" s="336"/>
      <c r="G20" s="328" t="s">
        <v>112</v>
      </c>
      <c r="H20" s="329" t="n">
        <f aca="false">0.0022+0.007+0.0225</f>
        <v>0.0317</v>
      </c>
      <c r="I20" s="321"/>
      <c r="J20" s="332" t="s">
        <v>112</v>
      </c>
      <c r="K20" s="329" t="n">
        <f aca="false">0.0022</f>
        <v>0.0022</v>
      </c>
      <c r="L20" s="321"/>
      <c r="M20" s="333" t="s">
        <v>112</v>
      </c>
      <c r="N20" s="334" t="n">
        <f aca="false">0.0022+0.007</f>
        <v>0.0092</v>
      </c>
      <c r="O20" s="321"/>
      <c r="P20" s="330" t="s">
        <v>112</v>
      </c>
      <c r="Q20" s="334" t="n">
        <f aca="false">0.0022+0.007</f>
        <v>0.0092</v>
      </c>
      <c r="R20" s="321"/>
      <c r="S20" s="330" t="s">
        <v>112</v>
      </c>
      <c r="T20" s="335" t="n">
        <v>0.0022</v>
      </c>
      <c r="U20" s="321"/>
      <c r="V20" s="330" t="s">
        <v>112</v>
      </c>
      <c r="W20" s="335" t="n">
        <f aca="false">0.0022+0.007</f>
        <v>0.0092</v>
      </c>
      <c r="X20" s="321"/>
      <c r="Y20" s="330" t="s">
        <v>112</v>
      </c>
      <c r="Z20" s="334" t="n">
        <v>0.0022</v>
      </c>
      <c r="AB20" s="330" t="s">
        <v>505</v>
      </c>
      <c r="AC20" s="334" t="n">
        <v>0</v>
      </c>
      <c r="AE20" s="330" t="s">
        <v>505</v>
      </c>
      <c r="AF20" s="334" t="n">
        <f aca="false">0.022</f>
        <v>0.022</v>
      </c>
      <c r="AH20" s="330" t="s">
        <v>505</v>
      </c>
      <c r="AI20" s="334" t="n">
        <v>0.0054</v>
      </c>
      <c r="AK20" s="330" t="s">
        <v>505</v>
      </c>
      <c r="AL20" s="334" t="n">
        <v>0.0092</v>
      </c>
      <c r="AN20" s="354"/>
      <c r="AO20" s="321"/>
      <c r="AQ20" s="330" t="s">
        <v>505</v>
      </c>
      <c r="AR20" s="334" t="n">
        <f aca="false">0.0001</f>
        <v>0.0001</v>
      </c>
      <c r="AT20" s="25" t="s">
        <v>529</v>
      </c>
      <c r="AU20" s="355"/>
      <c r="AW20" s="25" t="s">
        <v>530</v>
      </c>
    </row>
    <row r="21" customFormat="false" ht="13.5" hidden="false" customHeight="false" outlineLevel="0" collapsed="false">
      <c r="A21" s="328" t="s">
        <v>531</v>
      </c>
      <c r="B21" s="337" t="n">
        <f aca="false">B6/(1-0.0081)-B6</f>
        <v>0.046669523137413</v>
      </c>
      <c r="C21" s="336"/>
      <c r="D21" s="330" t="s">
        <v>531</v>
      </c>
      <c r="E21" s="338" t="n">
        <f aca="false">(E6)/(1-0.0081)-E6</f>
        <v>0.046669523137413</v>
      </c>
      <c r="F21" s="339"/>
      <c r="G21" s="340" t="n">
        <v>0.0279</v>
      </c>
      <c r="H21" s="341" t="n">
        <f aca="false">(H$3)/(1-G21)-H$3</f>
        <v>0.165459829235676</v>
      </c>
      <c r="I21" s="336"/>
      <c r="J21" s="340" t="n">
        <v>0.0328</v>
      </c>
      <c r="K21" s="337" t="n">
        <f aca="false">(K$5)/(1-J21)-K$5</f>
        <v>0.189061207609595</v>
      </c>
      <c r="L21" s="336"/>
      <c r="M21" s="342" t="n">
        <v>0.0328</v>
      </c>
      <c r="N21" s="338" t="n">
        <f aca="false">(N$5)/(1-M21)-N$5</f>
        <v>0.189061207609595</v>
      </c>
      <c r="O21" s="336"/>
      <c r="P21" s="330" t="s">
        <v>509</v>
      </c>
      <c r="Q21" s="338" t="n">
        <f aca="false">+Q$3/(1-0.015)-Q$3</f>
        <v>0.0900761421319798</v>
      </c>
      <c r="R21" s="336"/>
      <c r="S21" s="330" t="s">
        <v>532</v>
      </c>
      <c r="T21" s="338" t="n">
        <f aca="false">+T3/(1-0.00603)-T3</f>
        <v>0.0358534965844042</v>
      </c>
      <c r="U21" s="336"/>
      <c r="V21" s="342" t="n">
        <v>0.02184</v>
      </c>
      <c r="W21" s="338" t="n">
        <f aca="false">+W$3/(1-V21)-W$3</f>
        <v>0.137984787764783</v>
      </c>
      <c r="X21" s="336"/>
      <c r="Y21" s="342" t="n">
        <v>0.0228</v>
      </c>
      <c r="Z21" s="338" t="n">
        <f aca="false">+Z$3/(1-Y21)-Z$3</f>
        <v>0.145358166189112</v>
      </c>
      <c r="AB21" s="330" t="s">
        <v>112</v>
      </c>
      <c r="AC21" s="334" t="n">
        <f aca="false">0.0022+0.007</f>
        <v>0.0092</v>
      </c>
      <c r="AE21" s="330" t="s">
        <v>112</v>
      </c>
      <c r="AF21" s="334" t="n">
        <f aca="false">0.007+0.0022</f>
        <v>0.0092</v>
      </c>
      <c r="AH21" s="330" t="s">
        <v>112</v>
      </c>
      <c r="AI21" s="334" t="n">
        <f aca="false">0.0022+0.007+0.0012-0.0004</f>
        <v>0.01</v>
      </c>
      <c r="AK21" s="330" t="s">
        <v>112</v>
      </c>
      <c r="AL21" s="334" t="n">
        <f aca="false">0.0022+0.007</f>
        <v>0.0092</v>
      </c>
      <c r="AN21" s="354"/>
      <c r="AO21" s="321"/>
      <c r="AQ21" s="330" t="s">
        <v>112</v>
      </c>
      <c r="AR21" s="334" t="n">
        <f aca="false">0.007+0.0022</f>
        <v>0.0092</v>
      </c>
    </row>
    <row r="22" customFormat="false" ht="12.75" hidden="false" customHeight="false" outlineLevel="0" collapsed="false">
      <c r="A22" s="344" t="s">
        <v>1</v>
      </c>
      <c r="B22" s="345" t="n">
        <f aca="false">SUM(B19:B21)</f>
        <v>0.070569523137413</v>
      </c>
      <c r="C22" s="339"/>
      <c r="D22" s="330"/>
      <c r="E22" s="346" t="n">
        <f aca="false">SUM(E19:E21)</f>
        <v>0.155469523137413</v>
      </c>
      <c r="F22" s="339"/>
      <c r="G22" s="344"/>
      <c r="H22" s="345" t="n">
        <f aca="false">SUM(H19:H21)</f>
        <v>0.264059829235676</v>
      </c>
      <c r="I22" s="339"/>
      <c r="J22" s="332"/>
      <c r="K22" s="345" t="n">
        <f aca="false">SUM(K19:K21)</f>
        <v>0.200861207609595</v>
      </c>
      <c r="L22" s="339"/>
      <c r="M22" s="333"/>
      <c r="N22" s="346" t="n">
        <f aca="false">SUM(N19:N21)</f>
        <v>0.393561207609595</v>
      </c>
      <c r="O22" s="339"/>
      <c r="P22" s="347"/>
      <c r="Q22" s="346" t="n">
        <f aca="false">SUM(Q19:Q21)</f>
        <v>0.10727614213198</v>
      </c>
      <c r="R22" s="339"/>
      <c r="S22" s="347"/>
      <c r="T22" s="346" t="n">
        <f aca="false">SUM(T19:T21)</f>
        <v>0.0397534965844042</v>
      </c>
      <c r="U22" s="339"/>
      <c r="V22" s="347"/>
      <c r="W22" s="346" t="n">
        <f aca="false">SUM(W19:W21)</f>
        <v>0.291284787764783</v>
      </c>
      <c r="X22" s="339"/>
      <c r="Y22" s="347"/>
      <c r="Z22" s="346" t="n">
        <f aca="false">SUM(Z19:Z21)</f>
        <v>0.341858166189112</v>
      </c>
      <c r="AB22" s="342" t="n">
        <v>0.0058</v>
      </c>
      <c r="AC22" s="338" t="n">
        <f aca="false">+AC$3/(1-AB22)-AC3</f>
        <v>0.0370740293703484</v>
      </c>
      <c r="AE22" s="342" t="n">
        <v>0.0337</v>
      </c>
      <c r="AF22" s="338" t="n">
        <f aca="false">+AF$3/(1-AE22)-AF$3</f>
        <v>0.205415502431957</v>
      </c>
      <c r="AH22" s="342" t="n">
        <v>0.01</v>
      </c>
      <c r="AI22" s="338" t="n">
        <f aca="false">+AI3/(1-AH22)-AI3</f>
        <v>0.0632828282828282</v>
      </c>
      <c r="AK22" s="343" t="n">
        <v>0.0275</v>
      </c>
      <c r="AL22" s="338" t="n">
        <f aca="false">+AL3/(1-AK22)-AL3</f>
        <v>0.176169665809768</v>
      </c>
      <c r="AN22" s="354"/>
      <c r="AO22" s="336"/>
      <c r="AQ22" s="330" t="s">
        <v>512</v>
      </c>
      <c r="AR22" s="338" t="n">
        <f aca="false">+AR3/(1-0.02)-AR3</f>
        <v>0.12734693877551</v>
      </c>
    </row>
    <row r="23" customFormat="false" ht="12.75" hidden="false" customHeight="false" outlineLevel="0" collapsed="false">
      <c r="A23" s="348" t="s">
        <v>84</v>
      </c>
      <c r="B23" s="319" t="s">
        <v>533</v>
      </c>
      <c r="C23" s="320"/>
      <c r="D23" s="324" t="s">
        <v>84</v>
      </c>
      <c r="E23" s="346" t="s">
        <v>534</v>
      </c>
      <c r="F23" s="356"/>
      <c r="G23" s="348" t="s">
        <v>486</v>
      </c>
      <c r="H23" s="349" t="s">
        <v>535</v>
      </c>
      <c r="I23" s="339"/>
      <c r="J23" s="357" t="s">
        <v>488</v>
      </c>
      <c r="K23" s="358" t="s">
        <v>536</v>
      </c>
      <c r="L23" s="339"/>
      <c r="M23" s="324" t="s">
        <v>490</v>
      </c>
      <c r="N23" s="325" t="s">
        <v>536</v>
      </c>
      <c r="O23" s="339"/>
      <c r="P23" s="350" t="s">
        <v>377</v>
      </c>
      <c r="Q23" s="351" t="s">
        <v>537</v>
      </c>
      <c r="R23" s="320"/>
      <c r="S23" s="350" t="s">
        <v>492</v>
      </c>
      <c r="T23" s="351" t="s">
        <v>538</v>
      </c>
      <c r="U23" s="320"/>
      <c r="V23" s="350" t="s">
        <v>494</v>
      </c>
      <c r="W23" s="351" t="s">
        <v>539</v>
      </c>
      <c r="X23" s="320"/>
      <c r="Y23" s="320"/>
      <c r="Z23" s="320"/>
      <c r="AB23" s="347"/>
      <c r="AC23" s="346" t="n">
        <f aca="false">SUM(AC20:AC22)</f>
        <v>0.0462740293703484</v>
      </c>
      <c r="AE23" s="347"/>
      <c r="AF23" s="346" t="n">
        <f aca="false">SUM(AF20:AF22)</f>
        <v>0.236615502431957</v>
      </c>
      <c r="AH23" s="347"/>
      <c r="AI23" s="346" t="n">
        <f aca="false">SUM(AI20:AI22)</f>
        <v>0.0786828282828282</v>
      </c>
      <c r="AK23" s="347"/>
      <c r="AL23" s="346" t="n">
        <f aca="false">SUM(AL20:AL22)</f>
        <v>0.194569665809768</v>
      </c>
      <c r="AN23" s="71"/>
      <c r="AO23" s="339"/>
      <c r="AQ23" s="347"/>
      <c r="AR23" s="346" t="n">
        <f aca="false">SUM(AR20:AR22)</f>
        <v>0.13664693877551</v>
      </c>
    </row>
    <row r="24" customFormat="false" ht="12.75" hidden="false" customHeight="false" outlineLevel="0" collapsed="false">
      <c r="A24" s="328" t="s">
        <v>505</v>
      </c>
      <c r="B24" s="329" t="n">
        <v>0.0075</v>
      </c>
      <c r="C24" s="321"/>
      <c r="D24" s="330" t="s">
        <v>505</v>
      </c>
      <c r="E24" s="331" t="n">
        <v>0.1243</v>
      </c>
      <c r="F24" s="356"/>
      <c r="G24" s="328" t="s">
        <v>505</v>
      </c>
      <c r="H24" s="329" t="n">
        <v>0.088</v>
      </c>
      <c r="I24" s="356"/>
      <c r="J24" s="332" t="s">
        <v>505</v>
      </c>
      <c r="K24" s="329" t="n">
        <v>0.014</v>
      </c>
      <c r="L24" s="356"/>
      <c r="M24" s="333" t="s">
        <v>505</v>
      </c>
      <c r="N24" s="334" t="n">
        <v>0.2297</v>
      </c>
      <c r="O24" s="356"/>
      <c r="P24" s="330" t="s">
        <v>505</v>
      </c>
      <c r="Q24" s="334" t="n">
        <v>0.013</v>
      </c>
      <c r="R24" s="321"/>
      <c r="S24" s="330" t="s">
        <v>505</v>
      </c>
      <c r="T24" s="335" t="n">
        <v>0.017</v>
      </c>
      <c r="U24" s="321"/>
      <c r="V24" s="330" t="s">
        <v>505</v>
      </c>
      <c r="W24" s="335" t="n">
        <v>0.2097</v>
      </c>
      <c r="X24" s="321"/>
      <c r="Y24" s="326" t="s">
        <v>50</v>
      </c>
      <c r="Z24" s="327" t="s">
        <v>540</v>
      </c>
      <c r="AN24" s="71"/>
      <c r="AO24" s="71"/>
    </row>
    <row r="25" customFormat="false" ht="12.75" hidden="false" customHeight="false" outlineLevel="0" collapsed="false">
      <c r="A25" s="328" t="s">
        <v>112</v>
      </c>
      <c r="B25" s="329" t="n">
        <f aca="false">0.0022+0.007+0.0097</f>
        <v>0.0189</v>
      </c>
      <c r="C25" s="321"/>
      <c r="D25" s="330" t="s">
        <v>112</v>
      </c>
      <c r="E25" s="331" t="n">
        <f aca="false">0.007+0.0022+0.0097</f>
        <v>0.0189</v>
      </c>
      <c r="F25" s="336"/>
      <c r="G25" s="328" t="s">
        <v>112</v>
      </c>
      <c r="H25" s="329" t="n">
        <f aca="false">0.0022+0.007</f>
        <v>0.0092</v>
      </c>
      <c r="I25" s="356"/>
      <c r="J25" s="332" t="s">
        <v>112</v>
      </c>
      <c r="K25" s="329" t="n">
        <f aca="false">0.0022+0.007</f>
        <v>0.0092</v>
      </c>
      <c r="L25" s="356"/>
      <c r="M25" s="333" t="s">
        <v>112</v>
      </c>
      <c r="N25" s="334" t="n">
        <f aca="false">0.0022+0.007</f>
        <v>0.0092</v>
      </c>
      <c r="O25" s="356"/>
      <c r="P25" s="330" t="s">
        <v>112</v>
      </c>
      <c r="Q25" s="334" t="n">
        <f aca="false">0.0022+0.007</f>
        <v>0.0092</v>
      </c>
      <c r="R25" s="321"/>
      <c r="S25" s="330" t="s">
        <v>112</v>
      </c>
      <c r="T25" s="335" t="n">
        <v>0.0022</v>
      </c>
      <c r="U25" s="321"/>
      <c r="V25" s="330" t="s">
        <v>112</v>
      </c>
      <c r="W25" s="335" t="n">
        <f aca="false">0.0022+0.007</f>
        <v>0.0092</v>
      </c>
      <c r="X25" s="321"/>
      <c r="Y25" s="330" t="s">
        <v>505</v>
      </c>
      <c r="Z25" s="334" t="n">
        <v>0.15</v>
      </c>
      <c r="AB25" s="25" t="s">
        <v>446</v>
      </c>
      <c r="AE25" s="25" t="s">
        <v>541</v>
      </c>
      <c r="AH25" s="326" t="s">
        <v>417</v>
      </c>
      <c r="AI25" s="327" t="s">
        <v>542</v>
      </c>
      <c r="AK25" s="352"/>
      <c r="AL25" s="320"/>
      <c r="AN25" s="352"/>
      <c r="AO25" s="320"/>
      <c r="AQ25" s="326" t="s">
        <v>502</v>
      </c>
      <c r="AR25" s="327" t="s">
        <v>543</v>
      </c>
    </row>
    <row r="26" customFormat="false" ht="12.75" hidden="false" customHeight="false" outlineLevel="0" collapsed="false">
      <c r="A26" s="328" t="s">
        <v>544</v>
      </c>
      <c r="B26" s="337" t="n">
        <f aca="false">B6/(1-0.0126)-B6</f>
        <v>0.0729278914320437</v>
      </c>
      <c r="C26" s="336"/>
      <c r="D26" s="330" t="s">
        <v>544</v>
      </c>
      <c r="E26" s="338" t="n">
        <f aca="false">E6/(1-0.0126)-E6</f>
        <v>0.0729278914320437</v>
      </c>
      <c r="F26" s="339"/>
      <c r="G26" s="340" t="n">
        <v>0.0516</v>
      </c>
      <c r="H26" s="341" t="n">
        <f aca="false">(H$3)/(1-G26)-H$3</f>
        <v>0.313658793757908</v>
      </c>
      <c r="I26" s="336"/>
      <c r="J26" s="340" t="n">
        <v>0.046</v>
      </c>
      <c r="K26" s="337" t="n">
        <f aca="false">(K$5)/(1-J26)-K$5</f>
        <v>0.268815513626834</v>
      </c>
      <c r="L26" s="336"/>
      <c r="M26" s="342" t="n">
        <v>0.046</v>
      </c>
      <c r="N26" s="338" t="n">
        <f aca="false">(N$5)/(1-M26)-N$5</f>
        <v>0.268815513626834</v>
      </c>
      <c r="O26" s="336"/>
      <c r="P26" s="330" t="s">
        <v>545</v>
      </c>
      <c r="Q26" s="338" t="n">
        <f aca="false">+Q$3/(1-0.023)-Q$3</f>
        <v>0.13924769703173</v>
      </c>
      <c r="R26" s="336"/>
      <c r="S26" s="330" t="s">
        <v>546</v>
      </c>
      <c r="T26" s="338" t="n">
        <f aca="false">+T4/(1-0.0282)-T4</f>
        <v>0.173664569462523</v>
      </c>
      <c r="U26" s="336"/>
      <c r="V26" s="342" t="n">
        <v>0.02184</v>
      </c>
      <c r="W26" s="338" t="n">
        <f aca="false">+W$3/(1-V26)-W$3</f>
        <v>0.137984787764783</v>
      </c>
      <c r="X26" s="336"/>
      <c r="Y26" s="330" t="s">
        <v>112</v>
      </c>
      <c r="Z26" s="334" t="n">
        <v>0.0022</v>
      </c>
      <c r="AB26" s="25" t="s">
        <v>547</v>
      </c>
      <c r="AE26" s="330" t="s">
        <v>505</v>
      </c>
      <c r="AF26" s="334" t="n">
        <v>0.0202</v>
      </c>
      <c r="AH26" s="330" t="s">
        <v>505</v>
      </c>
      <c r="AI26" s="334" t="n">
        <v>0.4693</v>
      </c>
      <c r="AK26" s="354"/>
      <c r="AL26" s="321"/>
      <c r="AN26" s="354"/>
      <c r="AO26" s="321"/>
      <c r="AQ26" s="330" t="s">
        <v>505</v>
      </c>
      <c r="AR26" s="334" t="n">
        <v>0.0009</v>
      </c>
    </row>
    <row r="27" customFormat="false" ht="12.75" hidden="false" customHeight="false" outlineLevel="0" collapsed="false">
      <c r="A27" s="344"/>
      <c r="B27" s="345" t="n">
        <f aca="false">SUM(B24:B26)</f>
        <v>0.0993278914320437</v>
      </c>
      <c r="C27" s="339"/>
      <c r="D27" s="330"/>
      <c r="E27" s="346" t="n">
        <f aca="false">SUM(E24:E26)</f>
        <v>0.216127891432044</v>
      </c>
      <c r="F27" s="320"/>
      <c r="G27" s="344"/>
      <c r="H27" s="345" t="n">
        <f aca="false">SUM(H24:H26)</f>
        <v>0.410858793757908</v>
      </c>
      <c r="I27" s="339"/>
      <c r="J27" s="332"/>
      <c r="K27" s="345" t="n">
        <f aca="false">SUM(K24:K26)</f>
        <v>0.292015513626834</v>
      </c>
      <c r="L27" s="339"/>
      <c r="M27" s="333"/>
      <c r="N27" s="346" t="n">
        <f aca="false">SUM(N24:N26)</f>
        <v>0.507715513626834</v>
      </c>
      <c r="O27" s="339"/>
      <c r="P27" s="347"/>
      <c r="Q27" s="346" t="n">
        <f aca="false">SUM(Q24:Q26)</f>
        <v>0.16144769703173</v>
      </c>
      <c r="R27" s="339"/>
      <c r="S27" s="347"/>
      <c r="T27" s="346" t="n">
        <f aca="false">SUM(T24:T26)</f>
        <v>0.192864569462523</v>
      </c>
      <c r="U27" s="339"/>
      <c r="V27" s="347"/>
      <c r="W27" s="346" t="n">
        <f aca="false">SUM(W24:W26)</f>
        <v>0.356884787764783</v>
      </c>
      <c r="X27" s="339"/>
      <c r="Y27" s="342" t="n">
        <v>0.0228</v>
      </c>
      <c r="Z27" s="338" t="n">
        <f aca="false">+Z$3/(1-Y27)-Z$3</f>
        <v>0.145358166189112</v>
      </c>
      <c r="AB27" s="25" t="s">
        <v>468</v>
      </c>
      <c r="AE27" s="330" t="s">
        <v>112</v>
      </c>
      <c r="AF27" s="334" t="n">
        <f aca="false">0.007+0.0022</f>
        <v>0.0092</v>
      </c>
      <c r="AH27" s="330" t="s">
        <v>112</v>
      </c>
      <c r="AI27" s="334" t="n">
        <f aca="false">0.0022+0.007+0.0012-0.0004</f>
        <v>0.01</v>
      </c>
      <c r="AK27" s="354"/>
      <c r="AL27" s="321"/>
      <c r="AN27" s="354"/>
      <c r="AO27" s="321"/>
      <c r="AQ27" s="330" t="s">
        <v>112</v>
      </c>
      <c r="AR27" s="334" t="n">
        <f aca="false">0.007+0.0022</f>
        <v>0.0092</v>
      </c>
    </row>
    <row r="28" customFormat="false" ht="12.75" hidden="false" customHeight="false" outlineLevel="0" collapsed="false">
      <c r="A28" s="318" t="s">
        <v>84</v>
      </c>
      <c r="B28" s="319" t="s">
        <v>548</v>
      </c>
      <c r="D28" s="25" t="s">
        <v>84</v>
      </c>
      <c r="E28" s="25" t="s">
        <v>549</v>
      </c>
      <c r="F28" s="321"/>
      <c r="G28" s="348" t="s">
        <v>486</v>
      </c>
      <c r="H28" s="359" t="s">
        <v>550</v>
      </c>
      <c r="I28" s="320"/>
      <c r="J28" s="323" t="s">
        <v>488</v>
      </c>
      <c r="K28" s="319" t="s">
        <v>551</v>
      </c>
      <c r="L28" s="320"/>
      <c r="M28" s="324" t="s">
        <v>490</v>
      </c>
      <c r="N28" s="325" t="s">
        <v>552</v>
      </c>
      <c r="O28" s="320"/>
      <c r="P28" s="350" t="s">
        <v>377</v>
      </c>
      <c r="Q28" s="351" t="s">
        <v>553</v>
      </c>
      <c r="S28" s="326" t="s">
        <v>492</v>
      </c>
      <c r="T28" s="327" t="s">
        <v>554</v>
      </c>
      <c r="V28" s="326" t="s">
        <v>494</v>
      </c>
      <c r="W28" s="327" t="s">
        <v>555</v>
      </c>
      <c r="Y28" s="347"/>
      <c r="Z28" s="346" t="n">
        <f aca="false">SUM(Z25:Z27)</f>
        <v>0.297558166189112</v>
      </c>
      <c r="AB28" s="25" t="s">
        <v>476</v>
      </c>
      <c r="AE28" s="342" t="n">
        <v>0.0337</v>
      </c>
      <c r="AF28" s="338" t="n">
        <f aca="false">+AF$3/(1-AE28)-AF$3</f>
        <v>0.205415502431957</v>
      </c>
      <c r="AH28" s="342" t="n">
        <v>0.01</v>
      </c>
      <c r="AI28" s="338" t="n">
        <f aca="false">+AI3/(1-AH28)-AI3</f>
        <v>0.0632828282828282</v>
      </c>
      <c r="AK28" s="354"/>
      <c r="AL28" s="336"/>
      <c r="AN28" s="354"/>
      <c r="AO28" s="336"/>
      <c r="AQ28" s="330" t="s">
        <v>512</v>
      </c>
      <c r="AR28" s="338" t="n">
        <f aca="false">+AR3/(1-0.02)-AR3</f>
        <v>0.12734693877551</v>
      </c>
    </row>
    <row r="29" customFormat="false" ht="12.75" hidden="false" customHeight="false" outlineLevel="0" collapsed="false">
      <c r="A29" s="328" t="s">
        <v>505</v>
      </c>
      <c r="B29" s="329" t="n">
        <v>0.0186</v>
      </c>
      <c r="D29" s="330" t="s">
        <v>505</v>
      </c>
      <c r="E29" s="331" t="n">
        <v>0.2511</v>
      </c>
      <c r="F29" s="321"/>
      <c r="G29" s="344" t="s">
        <v>505</v>
      </c>
      <c r="H29" s="329" t="n">
        <v>0.0978</v>
      </c>
      <c r="I29" s="321"/>
      <c r="J29" s="332" t="s">
        <v>505</v>
      </c>
      <c r="K29" s="329" t="n">
        <v>0.0281</v>
      </c>
      <c r="L29" s="321"/>
      <c r="M29" s="333" t="s">
        <v>505</v>
      </c>
      <c r="N29" s="334" t="n">
        <v>0.5242</v>
      </c>
      <c r="O29" s="321"/>
      <c r="P29" s="330" t="s">
        <v>505</v>
      </c>
      <c r="Q29" s="334" t="n">
        <v>0.021</v>
      </c>
      <c r="S29" s="330" t="s">
        <v>505</v>
      </c>
      <c r="T29" s="335" t="n">
        <v>0.088</v>
      </c>
      <c r="V29" s="330" t="s">
        <v>505</v>
      </c>
      <c r="W29" s="334" t="s">
        <v>556</v>
      </c>
      <c r="Y29" s="321" t="s">
        <v>1</v>
      </c>
      <c r="Z29" s="321" t="s">
        <v>1</v>
      </c>
      <c r="AE29" s="347"/>
      <c r="AF29" s="346" t="n">
        <f aca="false">SUM(AF26:AF28)</f>
        <v>0.234815502431957</v>
      </c>
      <c r="AH29" s="347"/>
      <c r="AI29" s="346" t="n">
        <f aca="false">SUM(AI26:AI28)</f>
        <v>0.542582828282828</v>
      </c>
      <c r="AK29" s="71"/>
      <c r="AL29" s="339"/>
      <c r="AN29" s="71"/>
      <c r="AO29" s="339"/>
      <c r="AQ29" s="347"/>
      <c r="AR29" s="346" t="n">
        <f aca="false">SUM(AR26:AR28)</f>
        <v>0.13744693877551</v>
      </c>
    </row>
    <row r="30" customFormat="false" ht="12.75" hidden="false" customHeight="false" outlineLevel="0" collapsed="false">
      <c r="A30" s="328" t="s">
        <v>112</v>
      </c>
      <c r="B30" s="329" t="n">
        <f aca="false">0.0022+0.007+0.0097</f>
        <v>0.0189</v>
      </c>
      <c r="C30" s="356"/>
      <c r="D30" s="330" t="s">
        <v>112</v>
      </c>
      <c r="E30" s="331" t="n">
        <f aca="false">0.007+0.0097+0.0022</f>
        <v>0.0189</v>
      </c>
      <c r="F30" s="336"/>
      <c r="G30" s="344" t="s">
        <v>112</v>
      </c>
      <c r="H30" s="329" t="n">
        <f aca="false">0.0022</f>
        <v>0.0022</v>
      </c>
      <c r="I30" s="321"/>
      <c r="J30" s="332" t="s">
        <v>112</v>
      </c>
      <c r="K30" s="329" t="n">
        <f aca="false">0.0022+0.007</f>
        <v>0.0092</v>
      </c>
      <c r="L30" s="321"/>
      <c r="M30" s="333" t="s">
        <v>112</v>
      </c>
      <c r="N30" s="334" t="n">
        <f aca="false">0.0022+0.007</f>
        <v>0.0092</v>
      </c>
      <c r="O30" s="321"/>
      <c r="P30" s="330" t="s">
        <v>112</v>
      </c>
      <c r="Q30" s="334" t="n">
        <f aca="false">0.0022+0.007</f>
        <v>0.0092</v>
      </c>
      <c r="R30" s="356"/>
      <c r="S30" s="330" t="s">
        <v>112</v>
      </c>
      <c r="T30" s="335" t="n">
        <v>0.0022</v>
      </c>
      <c r="U30" s="356"/>
      <c r="V30" s="330" t="s">
        <v>112</v>
      </c>
      <c r="W30" s="334" t="n">
        <v>0</v>
      </c>
      <c r="X30" s="356"/>
      <c r="Y30" s="321" t="s">
        <v>1</v>
      </c>
      <c r="Z30" s="321" t="s">
        <v>1</v>
      </c>
      <c r="AB30" s="326" t="s">
        <v>254</v>
      </c>
      <c r="AC30" s="327" t="s">
        <v>394</v>
      </c>
      <c r="AL30" s="360"/>
      <c r="AN30" s="71"/>
      <c r="AO30" s="360"/>
    </row>
    <row r="31" customFormat="false" ht="12.75" hidden="false" customHeight="false" outlineLevel="0" collapsed="false">
      <c r="A31" s="328" t="s">
        <v>557</v>
      </c>
      <c r="B31" s="337" t="n">
        <f aca="false">B6/(1-0.0316)-B6</f>
        <v>0.186486988847584</v>
      </c>
      <c r="C31" s="336"/>
      <c r="D31" s="330" t="s">
        <v>557</v>
      </c>
      <c r="E31" s="338" t="n">
        <f aca="false">+E6/(1-0.0316)-E6</f>
        <v>0.186486988847584</v>
      </c>
      <c r="F31" s="339"/>
      <c r="G31" s="340" t="n">
        <v>0.0588</v>
      </c>
      <c r="H31" s="341" t="n">
        <f aca="false">(H$3)/(1-G31)-H$3</f>
        <v>0.360159371015724</v>
      </c>
      <c r="I31" s="336"/>
      <c r="J31" s="340" t="n">
        <v>0.0744</v>
      </c>
      <c r="K31" s="337" t="n">
        <f aca="false">(K$5)/(1-J31)-K$5</f>
        <v>0.448120138288678</v>
      </c>
      <c r="L31" s="336"/>
      <c r="M31" s="342" t="n">
        <v>0.0988</v>
      </c>
      <c r="N31" s="338" t="n">
        <f aca="false">(N$5)/(1-M31)-N$5</f>
        <v>0.611196182867288</v>
      </c>
      <c r="O31" s="336"/>
      <c r="P31" s="330" t="s">
        <v>558</v>
      </c>
      <c r="Q31" s="338" t="n">
        <f aca="false">+Q$3/(1-0.026)-Q$3</f>
        <v>0.157895277207392</v>
      </c>
      <c r="R31" s="336"/>
      <c r="S31" s="330" t="s">
        <v>510</v>
      </c>
      <c r="T31" s="338" t="n">
        <f aca="false">(+T3-0.108)/(1-0.00489)-(T3-0.108)</f>
        <v>0.0285111997668599</v>
      </c>
      <c r="U31" s="336"/>
      <c r="V31" s="342" t="n">
        <v>0.02184</v>
      </c>
      <c r="W31" s="338" t="n">
        <f aca="false">+W$3/(1-V31)-W$3</f>
        <v>0.137984787764783</v>
      </c>
      <c r="X31" s="336"/>
      <c r="Y31" s="336"/>
      <c r="Z31" s="336"/>
      <c r="AB31" s="330" t="s">
        <v>505</v>
      </c>
      <c r="AC31" s="334" t="n">
        <v>0.0112</v>
      </c>
      <c r="AE31" s="25" t="s">
        <v>559</v>
      </c>
      <c r="AH31" s="326" t="s">
        <v>417</v>
      </c>
      <c r="AI31" s="327" t="s">
        <v>560</v>
      </c>
      <c r="AL31" s="360"/>
      <c r="AO31" s="360"/>
      <c r="AQ31" s="326" t="s">
        <v>502</v>
      </c>
      <c r="AR31" s="327" t="s">
        <v>561</v>
      </c>
    </row>
    <row r="32" customFormat="false" ht="12.75" hidden="false" customHeight="false" outlineLevel="0" collapsed="false">
      <c r="A32" s="344"/>
      <c r="B32" s="345" t="n">
        <f aca="false">SUM(B29:B31)</f>
        <v>0.223986988847584</v>
      </c>
      <c r="C32" s="339"/>
      <c r="D32" s="330"/>
      <c r="E32" s="346" t="n">
        <f aca="false">SUM(E29:E31)</f>
        <v>0.456486988847584</v>
      </c>
      <c r="F32" s="320"/>
      <c r="G32" s="344"/>
      <c r="H32" s="345" t="n">
        <f aca="false">SUM(H29:H31)</f>
        <v>0.460159371015724</v>
      </c>
      <c r="I32" s="339"/>
      <c r="J32" s="332"/>
      <c r="K32" s="345" t="n">
        <f aca="false">SUM(K29:K31)</f>
        <v>0.485420138288678</v>
      </c>
      <c r="L32" s="339"/>
      <c r="M32" s="333"/>
      <c r="N32" s="346" t="n">
        <f aca="false">SUM(N29:N31)</f>
        <v>1.14459618286729</v>
      </c>
      <c r="O32" s="339"/>
      <c r="P32" s="347"/>
      <c r="Q32" s="346" t="n">
        <f aca="false">SUM(Q29:Q31)</f>
        <v>0.188095277207392</v>
      </c>
      <c r="R32" s="339"/>
      <c r="S32" s="347"/>
      <c r="T32" s="346" t="n">
        <f aca="false">SUM(T29:T31)</f>
        <v>0.11871119976686</v>
      </c>
      <c r="U32" s="339"/>
      <c r="V32" s="347"/>
      <c r="W32" s="346" t="n">
        <f aca="false">SUM(W29:W31)</f>
        <v>0.137984787764783</v>
      </c>
      <c r="X32" s="339"/>
      <c r="Y32" s="339"/>
      <c r="Z32" s="339"/>
      <c r="AB32" s="330" t="s">
        <v>112</v>
      </c>
      <c r="AC32" s="334" t="n">
        <f aca="false">0.0022+0.007</f>
        <v>0.0092</v>
      </c>
      <c r="AE32" s="330" t="s">
        <v>505</v>
      </c>
      <c r="AF32" s="334" t="n">
        <v>0.0117</v>
      </c>
      <c r="AH32" s="330" t="s">
        <v>505</v>
      </c>
      <c r="AI32" s="334" t="n">
        <v>0.045</v>
      </c>
      <c r="AK32" s="361" t="n">
        <v>0.0574</v>
      </c>
      <c r="AL32" s="25" t="n">
        <v>0.0574</v>
      </c>
      <c r="AN32" s="361"/>
      <c r="AQ32" s="330" t="s">
        <v>505</v>
      </c>
      <c r="AR32" s="334" t="n">
        <v>0.0003</v>
      </c>
    </row>
    <row r="33" customFormat="false" ht="12.75" hidden="false" customHeight="false" outlineLevel="0" collapsed="false">
      <c r="A33" s="318" t="s">
        <v>84</v>
      </c>
      <c r="B33" s="319" t="s">
        <v>562</v>
      </c>
      <c r="C33" s="320"/>
      <c r="D33" s="25" t="s">
        <v>84</v>
      </c>
      <c r="E33" s="25" t="s">
        <v>563</v>
      </c>
      <c r="F33" s="321"/>
      <c r="G33" s="348" t="s">
        <v>486</v>
      </c>
      <c r="H33" s="359" t="s">
        <v>564</v>
      </c>
      <c r="I33" s="320"/>
      <c r="J33" s="323" t="s">
        <v>488</v>
      </c>
      <c r="K33" s="319" t="s">
        <v>552</v>
      </c>
      <c r="L33" s="320"/>
      <c r="M33" s="324" t="s">
        <v>490</v>
      </c>
      <c r="N33" s="325" t="s">
        <v>565</v>
      </c>
      <c r="O33" s="320"/>
      <c r="P33" s="352"/>
      <c r="Q33" s="320"/>
      <c r="R33" s="320"/>
      <c r="S33" s="350" t="s">
        <v>492</v>
      </c>
      <c r="T33" s="351" t="s">
        <v>566</v>
      </c>
      <c r="U33" s="320"/>
      <c r="V33" s="350" t="s">
        <v>494</v>
      </c>
      <c r="W33" s="351" t="s">
        <v>567</v>
      </c>
      <c r="X33" s="320"/>
      <c r="Y33" s="320"/>
      <c r="Z33" s="320"/>
      <c r="AB33" s="342" t="n">
        <v>0.0058</v>
      </c>
      <c r="AC33" s="338" t="n">
        <f aca="false">+AC3/(1-0.0058)-AC3</f>
        <v>0.0370740293703484</v>
      </c>
      <c r="AE33" s="330" t="s">
        <v>112</v>
      </c>
      <c r="AF33" s="334" t="n">
        <f aca="false">0.007+0.0022</f>
        <v>0.0092</v>
      </c>
      <c r="AH33" s="330" t="s">
        <v>112</v>
      </c>
      <c r="AI33" s="334" t="n">
        <f aca="false">0.0022+0.0012</f>
        <v>0.0034</v>
      </c>
      <c r="AK33" s="362"/>
      <c r="AL33" s="360"/>
      <c r="AN33" s="362"/>
      <c r="AO33" s="360"/>
      <c r="AQ33" s="330" t="s">
        <v>112</v>
      </c>
      <c r="AR33" s="334" t="n">
        <f aca="false">0.0022</f>
        <v>0.0022</v>
      </c>
    </row>
    <row r="34" customFormat="false" ht="12.75" hidden="false" customHeight="false" outlineLevel="0" collapsed="false">
      <c r="A34" s="328" t="s">
        <v>505</v>
      </c>
      <c r="B34" s="329" t="n">
        <v>0.0274</v>
      </c>
      <c r="C34" s="321"/>
      <c r="D34" s="330" t="s">
        <v>505</v>
      </c>
      <c r="E34" s="331" t="n">
        <v>0.0694</v>
      </c>
      <c r="F34" s="321"/>
      <c r="G34" s="344" t="s">
        <v>505</v>
      </c>
      <c r="H34" s="329" t="n">
        <v>0.1118</v>
      </c>
      <c r="I34" s="321"/>
      <c r="J34" s="332" t="s">
        <v>505</v>
      </c>
      <c r="K34" s="329" t="n">
        <v>0.0484</v>
      </c>
      <c r="L34" s="321"/>
      <c r="M34" s="333" t="s">
        <v>505</v>
      </c>
      <c r="N34" s="334" t="n">
        <v>0.6213</v>
      </c>
      <c r="O34" s="321"/>
      <c r="P34" s="354"/>
      <c r="Q34" s="321"/>
      <c r="R34" s="321"/>
      <c r="S34" s="330" t="s">
        <v>505</v>
      </c>
      <c r="T34" s="335" t="n">
        <v>0.0366</v>
      </c>
      <c r="U34" s="321"/>
      <c r="V34" s="330" t="s">
        <v>505</v>
      </c>
      <c r="W34" s="334" t="n">
        <v>0.05</v>
      </c>
      <c r="X34" s="321"/>
      <c r="Y34" s="321"/>
      <c r="Z34" s="321"/>
      <c r="AB34" s="347"/>
      <c r="AC34" s="346" t="n">
        <f aca="false">SUM(AC31:AC33)</f>
        <v>0.0574740293703484</v>
      </c>
      <c r="AE34" s="342" t="n">
        <v>0.0213</v>
      </c>
      <c r="AF34" s="338" t="n">
        <f aca="false">+AF$3/(1-AE34)-AF$3</f>
        <v>0.128187391437621</v>
      </c>
      <c r="AH34" s="342" t="n">
        <v>0.01</v>
      </c>
      <c r="AI34" s="338" t="n">
        <f aca="false">+AI3/(1-AH34)-AI3</f>
        <v>0.0632828282828282</v>
      </c>
      <c r="AL34" s="360"/>
      <c r="AO34" s="360"/>
      <c r="AQ34" s="330" t="s">
        <v>512</v>
      </c>
      <c r="AR34" s="338" t="n">
        <f aca="false">+AR3/(1-0.02)-AR3</f>
        <v>0.12734693877551</v>
      </c>
    </row>
    <row r="35" customFormat="false" ht="12.75" hidden="false" customHeight="false" outlineLevel="0" collapsed="false">
      <c r="A35" s="328" t="s">
        <v>112</v>
      </c>
      <c r="B35" s="329" t="n">
        <f aca="false">0.0022+0.007+0.0097</f>
        <v>0.0189</v>
      </c>
      <c r="C35" s="321"/>
      <c r="D35" s="330" t="s">
        <v>112</v>
      </c>
      <c r="E35" s="331" t="n">
        <v>0</v>
      </c>
      <c r="F35" s="336"/>
      <c r="G35" s="344" t="s">
        <v>112</v>
      </c>
      <c r="H35" s="329" t="n">
        <f aca="false">0.0022+0.007</f>
        <v>0.0092</v>
      </c>
      <c r="I35" s="321"/>
      <c r="J35" s="332" t="s">
        <v>112</v>
      </c>
      <c r="K35" s="329" t="n">
        <f aca="false">0.0022+0.007</f>
        <v>0.0092</v>
      </c>
      <c r="L35" s="321"/>
      <c r="M35" s="333" t="s">
        <v>112</v>
      </c>
      <c r="N35" s="334" t="n">
        <f aca="false">0.0022+0.007</f>
        <v>0.0092</v>
      </c>
      <c r="O35" s="321"/>
      <c r="P35" s="354"/>
      <c r="Q35" s="321"/>
      <c r="R35" s="321"/>
      <c r="S35" s="330" t="s">
        <v>112</v>
      </c>
      <c r="T35" s="335" t="n">
        <v>0.0022</v>
      </c>
      <c r="U35" s="321"/>
      <c r="V35" s="330" t="s">
        <v>112</v>
      </c>
      <c r="W35" s="334" t="n">
        <f aca="false">0.0022</f>
        <v>0.0022</v>
      </c>
      <c r="X35" s="321"/>
      <c r="Y35" s="321"/>
      <c r="Z35" s="321"/>
      <c r="AE35" s="347"/>
      <c r="AF35" s="346" t="n">
        <f aca="false">SUM(AF32:AF34)</f>
        <v>0.149087391437621</v>
      </c>
      <c r="AH35" s="347"/>
      <c r="AI35" s="346" t="n">
        <f aca="false">SUM(AI32:AI34)</f>
        <v>0.111682828282828</v>
      </c>
      <c r="AL35" s="360"/>
      <c r="AO35" s="360"/>
      <c r="AQ35" s="347"/>
      <c r="AR35" s="346" t="n">
        <f aca="false">SUM(AR32:AR34)</f>
        <v>0.12984693877551</v>
      </c>
    </row>
    <row r="36" customFormat="false" ht="12.75" hidden="false" customHeight="false" outlineLevel="0" collapsed="false">
      <c r="A36" s="328" t="s">
        <v>568</v>
      </c>
      <c r="B36" s="337" t="n">
        <f aca="false">B6/(1-0.0469)-B6</f>
        <v>0.28122285174693</v>
      </c>
      <c r="C36" s="336"/>
      <c r="D36" s="330" t="s">
        <v>569</v>
      </c>
      <c r="E36" s="338" t="n">
        <f aca="false">+E5/(1-0.0046)-E5</f>
        <v>0.0265722322684354</v>
      </c>
      <c r="F36" s="339"/>
      <c r="G36" s="340" t="n">
        <v>0.0679</v>
      </c>
      <c r="H36" s="341" t="n">
        <f aca="false">(H$3)/(1-G36)-H$3</f>
        <v>0.419958695418946</v>
      </c>
      <c r="I36" s="336"/>
      <c r="J36" s="340" t="n">
        <v>0.0988</v>
      </c>
      <c r="K36" s="337" t="n">
        <f aca="false">(K$5)/(1-J36)-K$5</f>
        <v>0.611196182867288</v>
      </c>
      <c r="L36" s="336"/>
      <c r="M36" s="342" t="n">
        <v>0.1148</v>
      </c>
      <c r="N36" s="338" t="n">
        <f aca="false">(N$5)/(1-M36)-N$5</f>
        <v>0.723011748757343</v>
      </c>
      <c r="O36" s="336"/>
      <c r="P36" s="354"/>
      <c r="Q36" s="336"/>
      <c r="R36" s="336"/>
      <c r="S36" s="330" t="s">
        <v>532</v>
      </c>
      <c r="T36" s="338" t="n">
        <f aca="false">T3/(1-0.00603)-T3</f>
        <v>0.0358534965844042</v>
      </c>
      <c r="U36" s="336"/>
      <c r="V36" s="342" t="n">
        <v>0.02184</v>
      </c>
      <c r="W36" s="338" t="n">
        <f aca="false">+W$3/(1-V36)-W$3</f>
        <v>0.137984787764783</v>
      </c>
      <c r="X36" s="336"/>
      <c r="Y36" s="336"/>
      <c r="Z36" s="336"/>
      <c r="AB36" s="326" t="s">
        <v>254</v>
      </c>
      <c r="AC36" s="327" t="s">
        <v>524</v>
      </c>
      <c r="AI36" s="363" t="n">
        <f aca="false">SUM(AI35,AI3)</f>
        <v>6.37668282828283</v>
      </c>
      <c r="AR36" s="363"/>
    </row>
    <row r="37" customFormat="false" ht="12.75" hidden="false" customHeight="false" outlineLevel="0" collapsed="false">
      <c r="A37" s="344"/>
      <c r="B37" s="345" t="n">
        <f aca="false">SUM(B34:B36)</f>
        <v>0.32752285174693</v>
      </c>
      <c r="C37" s="339"/>
      <c r="D37" s="330"/>
      <c r="E37" s="346" t="n">
        <f aca="false">SUM(E34:E36)</f>
        <v>0.0959722322684354</v>
      </c>
      <c r="F37" s="320"/>
      <c r="G37" s="344"/>
      <c r="H37" s="345" t="n">
        <f aca="false">SUM(H34:H36)</f>
        <v>0.540958695418946</v>
      </c>
      <c r="I37" s="339"/>
      <c r="J37" s="332"/>
      <c r="K37" s="345" t="n">
        <f aca="false">SUM(K34:K36)</f>
        <v>0.668796182867288</v>
      </c>
      <c r="L37" s="339"/>
      <c r="M37" s="333"/>
      <c r="N37" s="346" t="n">
        <f aca="false">SUM(N34:N36)</f>
        <v>1.35351174875734</v>
      </c>
      <c r="O37" s="339"/>
      <c r="P37" s="71"/>
      <c r="Q37" s="364"/>
      <c r="R37" s="339"/>
      <c r="S37" s="347"/>
      <c r="T37" s="365" t="n">
        <f aca="false">SUM(T34:T36)</f>
        <v>0.0746534965844042</v>
      </c>
      <c r="U37" s="339"/>
      <c r="V37" s="347"/>
      <c r="W37" s="346" t="n">
        <f aca="false">SUM(W34:W36)</f>
        <v>0.190184787764783</v>
      </c>
      <c r="X37" s="339"/>
      <c r="Y37" s="339"/>
      <c r="Z37" s="339"/>
      <c r="AB37" s="330" t="s">
        <v>505</v>
      </c>
      <c r="AC37" s="334" t="n">
        <v>0</v>
      </c>
      <c r="AE37" s="25" t="s">
        <v>570</v>
      </c>
      <c r="AH37" s="326" t="s">
        <v>417</v>
      </c>
      <c r="AI37" s="327" t="s">
        <v>571</v>
      </c>
      <c r="AK37" s="361"/>
      <c r="AN37" s="361"/>
      <c r="AQ37" s="352"/>
      <c r="AR37" s="320"/>
    </row>
    <row r="38" customFormat="false" ht="12.75" hidden="false" customHeight="false" outlineLevel="0" collapsed="false">
      <c r="A38" s="348" t="s">
        <v>84</v>
      </c>
      <c r="B38" s="319" t="s">
        <v>572</v>
      </c>
      <c r="C38" s="320"/>
      <c r="D38" s="324" t="s">
        <v>84</v>
      </c>
      <c r="E38" s="346" t="s">
        <v>573</v>
      </c>
      <c r="F38" s="321"/>
      <c r="G38" s="348" t="s">
        <v>486</v>
      </c>
      <c r="H38" s="359" t="s">
        <v>574</v>
      </c>
      <c r="I38" s="320"/>
      <c r="J38" s="323" t="s">
        <v>488</v>
      </c>
      <c r="K38" s="319" t="s">
        <v>565</v>
      </c>
      <c r="L38" s="320"/>
      <c r="M38" s="324" t="s">
        <v>490</v>
      </c>
      <c r="N38" s="325" t="s">
        <v>575</v>
      </c>
      <c r="O38" s="320"/>
      <c r="P38" s="352"/>
      <c r="Q38" s="320"/>
      <c r="R38" s="320"/>
      <c r="S38" s="350" t="s">
        <v>492</v>
      </c>
      <c r="T38" s="351" t="s">
        <v>576</v>
      </c>
      <c r="U38" s="320"/>
      <c r="V38" s="350"/>
      <c r="W38" s="351"/>
      <c r="X38" s="320"/>
      <c r="Y38" s="320"/>
      <c r="Z38" s="320"/>
      <c r="AB38" s="330" t="s">
        <v>112</v>
      </c>
      <c r="AC38" s="334" t="n">
        <f aca="false">0.0022+0.007</f>
        <v>0.0092</v>
      </c>
      <c r="AE38" s="330" t="s">
        <v>505</v>
      </c>
      <c r="AF38" s="334" t="n">
        <v>0.0117</v>
      </c>
      <c r="AH38" s="330" t="s">
        <v>505</v>
      </c>
      <c r="AI38" s="334" t="n">
        <f aca="false">0.04+0.004+0.0022+0.0005</f>
        <v>0.0467</v>
      </c>
      <c r="AK38" s="362"/>
      <c r="AL38" s="360"/>
      <c r="AN38" s="362"/>
      <c r="AO38" s="360"/>
      <c r="AQ38" s="354"/>
      <c r="AR38" s="321"/>
    </row>
    <row r="39" customFormat="false" ht="12.75" hidden="false" customHeight="false" outlineLevel="0" collapsed="false">
      <c r="A39" s="328" t="s">
        <v>505</v>
      </c>
      <c r="B39" s="329" t="n">
        <v>0.032</v>
      </c>
      <c r="C39" s="321"/>
      <c r="D39" s="330" t="s">
        <v>505</v>
      </c>
      <c r="E39" s="331" t="n">
        <v>0.1038</v>
      </c>
      <c r="F39" s="321"/>
      <c r="G39" s="344" t="s">
        <v>505</v>
      </c>
      <c r="H39" s="329" t="n">
        <v>0.1231</v>
      </c>
      <c r="I39" s="321"/>
      <c r="J39" s="332" t="s">
        <v>505</v>
      </c>
      <c r="K39" s="329" t="n">
        <v>0.0623</v>
      </c>
      <c r="L39" s="321"/>
      <c r="M39" s="333" t="s">
        <v>505</v>
      </c>
      <c r="N39" s="334" t="n">
        <v>0.0658</v>
      </c>
      <c r="O39" s="321"/>
      <c r="P39" s="354"/>
      <c r="Q39" s="321"/>
      <c r="R39" s="321"/>
      <c r="S39" s="330" t="s">
        <v>505</v>
      </c>
      <c r="T39" s="335" t="n">
        <v>0.1204</v>
      </c>
      <c r="U39" s="321"/>
      <c r="V39" s="330"/>
      <c r="W39" s="334"/>
      <c r="X39" s="321"/>
      <c r="Y39" s="321"/>
      <c r="Z39" s="321"/>
      <c r="AB39" s="342" t="n">
        <v>0.0058</v>
      </c>
      <c r="AC39" s="338" t="n">
        <f aca="false">+AC3/(1-0.0058)-AC3</f>
        <v>0.0370740293703484</v>
      </c>
      <c r="AE39" s="330" t="s">
        <v>112</v>
      </c>
      <c r="AF39" s="334" t="n">
        <f aca="false">0.007+0.0022</f>
        <v>0.0092</v>
      </c>
      <c r="AH39" s="330" t="s">
        <v>112</v>
      </c>
      <c r="AI39" s="334" t="n">
        <v>0</v>
      </c>
      <c r="AL39" s="360"/>
      <c r="AO39" s="360"/>
      <c r="AQ39" s="354"/>
      <c r="AR39" s="321"/>
    </row>
    <row r="40" customFormat="false" ht="12.75" hidden="false" customHeight="false" outlineLevel="0" collapsed="false">
      <c r="A40" s="328" t="s">
        <v>112</v>
      </c>
      <c r="B40" s="329" t="n">
        <f aca="false">0.0022+0.007+0.0097</f>
        <v>0.0189</v>
      </c>
      <c r="C40" s="321"/>
      <c r="D40" s="330" t="s">
        <v>112</v>
      </c>
      <c r="E40" s="331" t="n">
        <f aca="false">0.007+0.0022+0.0097</f>
        <v>0.0189</v>
      </c>
      <c r="F40" s="336"/>
      <c r="G40" s="344" t="s">
        <v>112</v>
      </c>
      <c r="H40" s="329" t="n">
        <f aca="false">0.0022+0.007</f>
        <v>0.0092</v>
      </c>
      <c r="I40" s="321"/>
      <c r="J40" s="332" t="s">
        <v>112</v>
      </c>
      <c r="K40" s="329" t="n">
        <f aca="false">0.0022+0.007</f>
        <v>0.0092</v>
      </c>
      <c r="L40" s="321"/>
      <c r="M40" s="333" t="s">
        <v>112</v>
      </c>
      <c r="N40" s="334" t="n">
        <f aca="false">0.0022</f>
        <v>0.0022</v>
      </c>
      <c r="O40" s="321"/>
      <c r="P40" s="354"/>
      <c r="Q40" s="321"/>
      <c r="R40" s="321"/>
      <c r="S40" s="330" t="s">
        <v>112</v>
      </c>
      <c r="T40" s="335" t="n">
        <v>0.0022</v>
      </c>
      <c r="U40" s="321"/>
      <c r="V40" s="330"/>
      <c r="W40" s="334"/>
      <c r="X40" s="321"/>
      <c r="Y40" s="321"/>
      <c r="Z40" s="321"/>
      <c r="AB40" s="347"/>
      <c r="AC40" s="346" t="n">
        <f aca="false">SUM(AC37:AC39)</f>
        <v>0.0462740293703484</v>
      </c>
      <c r="AE40" s="342" t="n">
        <v>0.0058</v>
      </c>
      <c r="AF40" s="338" t="n">
        <f aca="false">+AF$3/(1-AE40)-AF$3</f>
        <v>0.0343612955139809</v>
      </c>
      <c r="AH40" s="342" t="n">
        <v>0.005</v>
      </c>
      <c r="AI40" s="338" t="n">
        <f aca="false">+AI3/(1-AH40)-AI3</f>
        <v>0.0314824120603019</v>
      </c>
      <c r="AL40" s="360"/>
      <c r="AO40" s="360"/>
      <c r="AQ40" s="354"/>
      <c r="AR40" s="336"/>
    </row>
    <row r="41" customFormat="false" ht="12.75" hidden="false" customHeight="false" outlineLevel="0" collapsed="false">
      <c r="A41" s="328" t="s">
        <v>577</v>
      </c>
      <c r="B41" s="337" t="n">
        <f aca="false">B6/(1-0.0553)-B6</f>
        <v>0.33453953636075</v>
      </c>
      <c r="C41" s="336"/>
      <c r="D41" s="330" t="s">
        <v>578</v>
      </c>
      <c r="E41" s="338" t="n">
        <f aca="false">E5/(1-0.0091)-E5</f>
        <v>0.0528055303259665</v>
      </c>
      <c r="F41" s="339"/>
      <c r="G41" s="340" t="n">
        <v>0.0788</v>
      </c>
      <c r="H41" s="341" t="n">
        <f aca="false">(H$3)/(1-G41)-H$3</f>
        <v>0.493141554494138</v>
      </c>
      <c r="I41" s="336"/>
      <c r="J41" s="340" t="n">
        <v>0.1148</v>
      </c>
      <c r="K41" s="337" t="n">
        <f aca="false">(K$5)/(1-J41)-K$5</f>
        <v>0.723011748757343</v>
      </c>
      <c r="L41" s="336"/>
      <c r="M41" s="342" t="n">
        <v>0.0212</v>
      </c>
      <c r="N41" s="338" t="n">
        <f aca="false">(N$4)/(1-M41)-N$4</f>
        <v>0.122915815284022</v>
      </c>
      <c r="O41" s="336"/>
      <c r="P41" s="354"/>
      <c r="Q41" s="336"/>
      <c r="R41" s="336"/>
      <c r="S41" s="330" t="s">
        <v>546</v>
      </c>
      <c r="T41" s="338" t="n">
        <f aca="false">T4/(1-0.0282)-T4</f>
        <v>0.173664569462523</v>
      </c>
      <c r="U41" s="336"/>
      <c r="V41" s="330"/>
      <c r="W41" s="338"/>
      <c r="X41" s="336"/>
      <c r="Y41" s="336"/>
      <c r="Z41" s="336"/>
      <c r="AE41" s="347"/>
      <c r="AF41" s="346" t="n">
        <f aca="false">SUM(AF38:AF40)</f>
        <v>0.0552612955139809</v>
      </c>
      <c r="AH41" s="347"/>
      <c r="AI41" s="346" t="n">
        <f aca="false">SUM(AI38:AI40)</f>
        <v>0.0781824120603019</v>
      </c>
      <c r="AQ41" s="71"/>
      <c r="AR41" s="339"/>
    </row>
    <row r="42" customFormat="false" ht="12.75" hidden="false" customHeight="false" outlineLevel="0" collapsed="false">
      <c r="A42" s="344"/>
      <c r="B42" s="345" t="n">
        <f aca="false">SUM(B39:B41)</f>
        <v>0.38543953636075</v>
      </c>
      <c r="C42" s="339"/>
      <c r="D42" s="330"/>
      <c r="E42" s="346" t="n">
        <f aca="false">SUM(E39:E41)</f>
        <v>0.175505530325966</v>
      </c>
      <c r="F42" s="320"/>
      <c r="G42" s="344"/>
      <c r="H42" s="345" t="n">
        <f aca="false">SUM(H39:H41)</f>
        <v>0.625441554494138</v>
      </c>
      <c r="I42" s="339"/>
      <c r="J42" s="332"/>
      <c r="K42" s="345" t="n">
        <f aca="false">SUM(K39:K41)</f>
        <v>0.794511748757343</v>
      </c>
      <c r="L42" s="339"/>
      <c r="M42" s="333"/>
      <c r="N42" s="346" t="n">
        <f aca="false">SUM(N39:N41)</f>
        <v>0.190915815284022</v>
      </c>
      <c r="O42" s="339"/>
      <c r="P42" s="71"/>
      <c r="Q42" s="339"/>
      <c r="R42" s="339"/>
      <c r="S42" s="347"/>
      <c r="T42" s="346" t="n">
        <f aca="false">SUM(T39:T41)</f>
        <v>0.296264569462523</v>
      </c>
      <c r="U42" s="339"/>
      <c r="V42" s="347"/>
      <c r="W42" s="346"/>
      <c r="X42" s="339"/>
      <c r="Y42" s="339"/>
      <c r="Z42" s="339"/>
      <c r="AI42" s="366" t="n">
        <f aca="false">+AI41+AI3</f>
        <v>6.3431824120603</v>
      </c>
      <c r="AK42" s="361"/>
      <c r="AN42" s="361"/>
      <c r="AQ42" s="71"/>
      <c r="AR42" s="367"/>
    </row>
    <row r="43" customFormat="false" ht="12.75" hidden="false" customHeight="false" outlineLevel="0" collapsed="false">
      <c r="A43" s="348" t="s">
        <v>84</v>
      </c>
      <c r="B43" s="319" t="s">
        <v>579</v>
      </c>
      <c r="C43" s="320"/>
      <c r="D43" s="25" t="s">
        <v>84</v>
      </c>
      <c r="E43" s="25" t="s">
        <v>580</v>
      </c>
      <c r="F43" s="321"/>
      <c r="G43" s="348" t="s">
        <v>486</v>
      </c>
      <c r="H43" s="359" t="s">
        <v>581</v>
      </c>
      <c r="I43" s="320"/>
      <c r="J43" s="323" t="s">
        <v>488</v>
      </c>
      <c r="K43" s="319" t="s">
        <v>575</v>
      </c>
      <c r="L43" s="320"/>
      <c r="M43" s="324" t="s">
        <v>490</v>
      </c>
      <c r="N43" s="325" t="s">
        <v>582</v>
      </c>
      <c r="O43" s="320"/>
      <c r="P43" s="320"/>
      <c r="Q43" s="320"/>
      <c r="R43" s="320"/>
      <c r="S43" s="320"/>
      <c r="T43" s="320"/>
      <c r="U43" s="320"/>
      <c r="V43" s="320"/>
      <c r="W43" s="320"/>
      <c r="X43" s="320"/>
      <c r="Y43" s="368"/>
      <c r="Z43" s="368"/>
      <c r="AH43" s="25" t="s">
        <v>583</v>
      </c>
      <c r="AK43" s="362"/>
      <c r="AL43" s="360"/>
      <c r="AN43" s="362"/>
      <c r="AO43" s="360"/>
    </row>
    <row r="44" customFormat="false" ht="12.75" hidden="false" customHeight="false" outlineLevel="0" collapsed="false">
      <c r="A44" s="328" t="s">
        <v>505</v>
      </c>
      <c r="B44" s="329" t="n">
        <v>0.003</v>
      </c>
      <c r="C44" s="321"/>
      <c r="D44" s="330" t="s">
        <v>505</v>
      </c>
      <c r="E44" s="331" t="n">
        <v>0.2306</v>
      </c>
      <c r="F44" s="321"/>
      <c r="G44" s="344" t="s">
        <v>505</v>
      </c>
      <c r="H44" s="329" t="n">
        <v>0.1608</v>
      </c>
      <c r="I44" s="321"/>
      <c r="J44" s="332" t="s">
        <v>505</v>
      </c>
      <c r="K44" s="329" t="n">
        <v>0.0059</v>
      </c>
      <c r="L44" s="321"/>
      <c r="M44" s="333" t="s">
        <v>505</v>
      </c>
      <c r="N44" s="334" t="n">
        <v>0.2477</v>
      </c>
      <c r="O44" s="321"/>
      <c r="P44" s="352"/>
      <c r="Q44" s="320"/>
      <c r="R44" s="321"/>
      <c r="S44" s="350" t="s">
        <v>492</v>
      </c>
      <c r="T44" s="351" t="s">
        <v>584</v>
      </c>
      <c r="U44" s="321"/>
      <c r="V44" s="350"/>
      <c r="W44" s="351"/>
      <c r="X44" s="321"/>
      <c r="Y44" s="321"/>
      <c r="Z44" s="321"/>
      <c r="AL44" s="360"/>
      <c r="AO44" s="360"/>
    </row>
    <row r="45" customFormat="false" ht="12.75" hidden="false" customHeight="false" outlineLevel="0" collapsed="false">
      <c r="A45" s="328" t="s">
        <v>112</v>
      </c>
      <c r="B45" s="329" t="n">
        <f aca="false">0.0022+0.007+0.0097</f>
        <v>0.0189</v>
      </c>
      <c r="C45" s="321"/>
      <c r="D45" s="330" t="s">
        <v>112</v>
      </c>
      <c r="E45" s="331" t="n">
        <f aca="false">0.007+0.0022+0.0097</f>
        <v>0.0189</v>
      </c>
      <c r="F45" s="336"/>
      <c r="G45" s="344" t="s">
        <v>112</v>
      </c>
      <c r="H45" s="329" t="n">
        <f aca="false">0.0022+0.007</f>
        <v>0.0092</v>
      </c>
      <c r="I45" s="321"/>
      <c r="J45" s="332" t="s">
        <v>112</v>
      </c>
      <c r="K45" s="329" t="n">
        <f aca="false">0.0022</f>
        <v>0.0022</v>
      </c>
      <c r="L45" s="321"/>
      <c r="M45" s="333" t="s">
        <v>112</v>
      </c>
      <c r="N45" s="334" t="n">
        <f aca="false">0.0022+0.007</f>
        <v>0.0092</v>
      </c>
      <c r="O45" s="321"/>
      <c r="P45" s="354"/>
      <c r="Q45" s="321"/>
      <c r="R45" s="321"/>
      <c r="S45" s="330" t="s">
        <v>505</v>
      </c>
      <c r="T45" s="334" t="n">
        <v>0.03</v>
      </c>
      <c r="U45" s="321"/>
      <c r="V45" s="330"/>
      <c r="W45" s="334"/>
      <c r="X45" s="321"/>
      <c r="Y45" s="321"/>
      <c r="Z45" s="321"/>
      <c r="AH45" s="361" t="n">
        <v>36923</v>
      </c>
      <c r="AL45" s="360"/>
      <c r="AO45" s="360"/>
      <c r="AQ45" s="361"/>
    </row>
    <row r="46" customFormat="false" ht="12.75" hidden="false" customHeight="false" outlineLevel="0" collapsed="false">
      <c r="A46" s="328" t="s">
        <v>569</v>
      </c>
      <c r="B46" s="337" t="n">
        <f aca="false">B4/(1-0.0046)-B4</f>
        <v>0.0273809523809527</v>
      </c>
      <c r="C46" s="336"/>
      <c r="D46" s="330" t="s">
        <v>585</v>
      </c>
      <c r="E46" s="338" t="n">
        <f aca="false">(E5)/(1-0.0281)-E5</f>
        <v>0.166246527420516</v>
      </c>
      <c r="F46" s="339"/>
      <c r="G46" s="340" t="n">
        <v>0.0871</v>
      </c>
      <c r="H46" s="341" t="n">
        <f aca="false">(H$3)/(1-G46)-H$3</f>
        <v>0.550039982473436</v>
      </c>
      <c r="I46" s="336"/>
      <c r="J46" s="340" t="n">
        <v>0.0212</v>
      </c>
      <c r="K46" s="337" t="n">
        <f aca="false">(K$4)/(1-J46)-K$4</f>
        <v>0.122915815284022</v>
      </c>
      <c r="L46" s="336"/>
      <c r="M46" s="342" t="n">
        <v>0.0631</v>
      </c>
      <c r="N46" s="338" t="n">
        <f aca="false">(N$4)/(1-M46)-N$4</f>
        <v>0.382209947699861</v>
      </c>
      <c r="O46" s="336"/>
      <c r="P46" s="354"/>
      <c r="Q46" s="321"/>
      <c r="R46" s="336"/>
      <c r="S46" s="330" t="s">
        <v>112</v>
      </c>
      <c r="T46" s="334" t="n">
        <v>0.0022</v>
      </c>
      <c r="U46" s="336"/>
      <c r="V46" s="330"/>
      <c r="W46" s="334"/>
      <c r="X46" s="336"/>
      <c r="Y46" s="336"/>
      <c r="Z46" s="336"/>
      <c r="AH46" s="362" t="s">
        <v>586</v>
      </c>
      <c r="AI46" s="360" t="n">
        <v>0.005</v>
      </c>
      <c r="AQ46" s="362"/>
      <c r="AR46" s="360"/>
    </row>
    <row r="47" customFormat="false" ht="12.75" hidden="false" customHeight="false" outlineLevel="0" collapsed="false">
      <c r="A47" s="344"/>
      <c r="B47" s="345" t="n">
        <f aca="false">SUM(B44:B46)</f>
        <v>0.0492809523809527</v>
      </c>
      <c r="C47" s="339"/>
      <c r="D47" s="330"/>
      <c r="E47" s="346" t="n">
        <f aca="false">SUM(E44:E46)</f>
        <v>0.415746527420516</v>
      </c>
      <c r="F47" s="368"/>
      <c r="G47" s="344"/>
      <c r="H47" s="345" t="n">
        <f aca="false">SUM(H44:H46)</f>
        <v>0.720039982473436</v>
      </c>
      <c r="I47" s="339"/>
      <c r="J47" s="332"/>
      <c r="K47" s="345" t="n">
        <f aca="false">SUM(K44:K46)</f>
        <v>0.131015815284022</v>
      </c>
      <c r="L47" s="339"/>
      <c r="M47" s="333"/>
      <c r="N47" s="346" t="n">
        <f aca="false">SUM(N44:N46)</f>
        <v>0.639109947699861</v>
      </c>
      <c r="O47" s="339"/>
      <c r="P47" s="354"/>
      <c r="Q47" s="336"/>
      <c r="R47" s="339"/>
      <c r="S47" s="330" t="s">
        <v>532</v>
      </c>
      <c r="T47" s="338" t="n">
        <f aca="false">T3/(1-0.00603)-T3</f>
        <v>0.0358534965844042</v>
      </c>
      <c r="U47" s="339"/>
      <c r="V47" s="330"/>
      <c r="W47" s="338"/>
      <c r="X47" s="339"/>
      <c r="Y47" s="339"/>
      <c r="Z47" s="339"/>
      <c r="AH47" s="25" t="s">
        <v>587</v>
      </c>
      <c r="AI47" s="360" t="n">
        <v>0.01</v>
      </c>
      <c r="AK47" s="361"/>
      <c r="AN47" s="361"/>
      <c r="AR47" s="360"/>
    </row>
    <row r="48" customFormat="false" ht="12.75" hidden="false" customHeight="false" outlineLevel="0" collapsed="false">
      <c r="A48" s="369" t="s">
        <v>84</v>
      </c>
      <c r="B48" s="319" t="s">
        <v>588</v>
      </c>
      <c r="C48" s="320"/>
      <c r="D48" s="324" t="s">
        <v>84</v>
      </c>
      <c r="E48" s="346" t="s">
        <v>589</v>
      </c>
      <c r="F48" s="321"/>
      <c r="G48" s="348" t="s">
        <v>486</v>
      </c>
      <c r="H48" s="349" t="s">
        <v>590</v>
      </c>
      <c r="I48" s="368"/>
      <c r="J48" s="323" t="s">
        <v>488</v>
      </c>
      <c r="K48" s="319" t="s">
        <v>591</v>
      </c>
      <c r="L48" s="368"/>
      <c r="M48" s="324" t="s">
        <v>490</v>
      </c>
      <c r="N48" s="325" t="s">
        <v>592</v>
      </c>
      <c r="O48" s="368"/>
      <c r="P48" s="71"/>
      <c r="Q48" s="339"/>
      <c r="R48" s="320"/>
      <c r="S48" s="347"/>
      <c r="T48" s="346" t="n">
        <f aca="false">SUM(T45:T47)</f>
        <v>0.0680534965844042</v>
      </c>
      <c r="U48" s="320"/>
      <c r="V48" s="347"/>
      <c r="W48" s="346"/>
      <c r="X48" s="320"/>
      <c r="Y48" s="368"/>
      <c r="Z48" s="368"/>
      <c r="AH48" s="25" t="s">
        <v>593</v>
      </c>
      <c r="AI48" s="360" t="n">
        <v>0.005</v>
      </c>
      <c r="AK48" s="362"/>
      <c r="AL48" s="360"/>
      <c r="AN48" s="362"/>
      <c r="AO48" s="360"/>
      <c r="AR48" s="360"/>
    </row>
    <row r="49" customFormat="false" ht="12.75" hidden="false" customHeight="false" outlineLevel="0" collapsed="false">
      <c r="A49" s="348" t="s">
        <v>505</v>
      </c>
      <c r="B49" s="329" t="n">
        <v>0.0055</v>
      </c>
      <c r="C49" s="321"/>
      <c r="D49" s="330" t="s">
        <v>505</v>
      </c>
      <c r="E49" s="331" t="n">
        <v>0.0792</v>
      </c>
      <c r="F49" s="321"/>
      <c r="G49" s="328" t="s">
        <v>505</v>
      </c>
      <c r="H49" s="329" t="n">
        <v>0.0286</v>
      </c>
      <c r="I49" s="321"/>
      <c r="J49" s="332" t="s">
        <v>505</v>
      </c>
      <c r="K49" s="329" t="n">
        <v>0.0103</v>
      </c>
      <c r="L49" s="321"/>
      <c r="M49" s="333" t="s">
        <v>505</v>
      </c>
      <c r="N49" s="334" t="n">
        <v>0.3898</v>
      </c>
      <c r="O49" s="321"/>
      <c r="P49" s="71"/>
      <c r="Q49" s="339"/>
      <c r="R49" s="321"/>
      <c r="S49" s="347"/>
      <c r="T49" s="346"/>
      <c r="U49" s="321"/>
      <c r="V49" s="347"/>
      <c r="W49" s="346"/>
      <c r="X49" s="321"/>
      <c r="Y49" s="321"/>
      <c r="Z49" s="321"/>
      <c r="AL49" s="360"/>
      <c r="AO49" s="360"/>
      <c r="AR49" s="360"/>
    </row>
    <row r="50" customFormat="false" ht="12.75" hidden="false" customHeight="false" outlineLevel="0" collapsed="false">
      <c r="A50" s="328" t="s">
        <v>112</v>
      </c>
      <c r="B50" s="329" t="n">
        <v>0.0022</v>
      </c>
      <c r="C50" s="321"/>
      <c r="D50" s="330" t="s">
        <v>112</v>
      </c>
      <c r="E50" s="331" t="n">
        <f aca="false">0.007+0.0022+0.0097</f>
        <v>0.0189</v>
      </c>
      <c r="F50" s="336"/>
      <c r="G50" s="328" t="s">
        <v>112</v>
      </c>
      <c r="H50" s="329" t="n">
        <f aca="false">0.0022+0.007+0.0225</f>
        <v>0.0317</v>
      </c>
      <c r="I50" s="321"/>
      <c r="J50" s="332" t="s">
        <v>112</v>
      </c>
      <c r="K50" s="329" t="n">
        <f aca="false">0.0022+0.007</f>
        <v>0.0092</v>
      </c>
      <c r="L50" s="321"/>
      <c r="M50" s="333" t="s">
        <v>112</v>
      </c>
      <c r="N50" s="334" t="n">
        <f aca="false">0.0022+0.007</f>
        <v>0.0092</v>
      </c>
      <c r="O50" s="321"/>
      <c r="P50" s="352"/>
      <c r="Q50" s="320"/>
      <c r="R50" s="321"/>
      <c r="S50" s="350" t="s">
        <v>492</v>
      </c>
      <c r="T50" s="351" t="s">
        <v>594</v>
      </c>
      <c r="U50" s="321"/>
      <c r="V50" s="350"/>
      <c r="W50" s="351"/>
      <c r="X50" s="321"/>
      <c r="Y50" s="321"/>
      <c r="Z50" s="321"/>
      <c r="AH50" s="361" t="n">
        <v>36892</v>
      </c>
      <c r="AL50" s="360"/>
      <c r="AO50" s="360"/>
      <c r="AQ50" s="361"/>
    </row>
    <row r="51" customFormat="false" ht="12.75" hidden="false" customHeight="false" outlineLevel="0" collapsed="false">
      <c r="A51" s="328" t="s">
        <v>595</v>
      </c>
      <c r="B51" s="337" t="n">
        <f aca="false">B5/(1-0.0091)-B5</f>
        <v>0.0528055303259665</v>
      </c>
      <c r="C51" s="336"/>
      <c r="D51" s="330" t="s">
        <v>596</v>
      </c>
      <c r="E51" s="338" t="n">
        <f aca="false">(E4)/(1-0.0045)-E4</f>
        <v>0.0267830236062281</v>
      </c>
      <c r="F51" s="339"/>
      <c r="G51" s="340" t="n">
        <v>0.0101</v>
      </c>
      <c r="H51" s="337" t="n">
        <f aca="false">(H$4)/(1-G51)-H$4</f>
        <v>0.0595348014951007</v>
      </c>
      <c r="I51" s="336"/>
      <c r="J51" s="340" t="n">
        <v>0.0347</v>
      </c>
      <c r="K51" s="337" t="n">
        <f aca="false">(K$4)/(1-J51)-K$4</f>
        <v>0.204001346731586</v>
      </c>
      <c r="L51" s="336"/>
      <c r="M51" s="342" t="n">
        <v>0.0875</v>
      </c>
      <c r="N51" s="338" t="n">
        <f aca="false">(N$4)/(1-M51)-N$4</f>
        <v>0.544178082191781</v>
      </c>
      <c r="O51" s="336"/>
      <c r="P51" s="354"/>
      <c r="Q51" s="321"/>
      <c r="R51" s="336"/>
      <c r="S51" s="330" t="s">
        <v>505</v>
      </c>
      <c r="T51" s="334" t="n">
        <v>0.03</v>
      </c>
      <c r="U51" s="336"/>
      <c r="V51" s="330"/>
      <c r="W51" s="334"/>
      <c r="X51" s="336"/>
      <c r="Y51" s="336"/>
      <c r="Z51" s="336"/>
      <c r="AH51" s="362" t="s">
        <v>586</v>
      </c>
      <c r="AI51" s="360" t="n">
        <v>0.005</v>
      </c>
      <c r="AQ51" s="362"/>
      <c r="AR51" s="360"/>
    </row>
    <row r="52" customFormat="false" ht="12.75" hidden="false" customHeight="false" outlineLevel="0" collapsed="false">
      <c r="A52" s="328"/>
      <c r="B52" s="345" t="n">
        <f aca="false">SUM(B49:B51)</f>
        <v>0.0605055303259665</v>
      </c>
      <c r="C52" s="339"/>
      <c r="D52" s="330"/>
      <c r="E52" s="346" t="n">
        <f aca="false">SUM(E49:E51)</f>
        <v>0.124883023606228</v>
      </c>
      <c r="F52" s="368"/>
      <c r="G52" s="344"/>
      <c r="H52" s="345" t="n">
        <f aca="false">SUM(H49:H51)</f>
        <v>0.119834801495101</v>
      </c>
      <c r="I52" s="339"/>
      <c r="J52" s="332"/>
      <c r="K52" s="345" t="n">
        <f aca="false">SUM(K49:K51)</f>
        <v>0.223501346731586</v>
      </c>
      <c r="L52" s="339"/>
      <c r="M52" s="333"/>
      <c r="N52" s="346" t="n">
        <f aca="false">SUM(N49:N51)</f>
        <v>0.943178082191781</v>
      </c>
      <c r="O52" s="339"/>
      <c r="P52" s="354"/>
      <c r="Q52" s="321"/>
      <c r="R52" s="339"/>
      <c r="S52" s="330" t="s">
        <v>112</v>
      </c>
      <c r="T52" s="334" t="n">
        <v>0.0022</v>
      </c>
      <c r="U52" s="339"/>
      <c r="V52" s="330"/>
      <c r="W52" s="334"/>
      <c r="X52" s="339"/>
      <c r="Y52" s="339"/>
      <c r="Z52" s="339"/>
      <c r="AH52" s="25" t="s">
        <v>587</v>
      </c>
      <c r="AI52" s="360" t="n">
        <v>0.01</v>
      </c>
      <c r="AR52" s="360"/>
    </row>
    <row r="53" customFormat="false" ht="12.75" hidden="false" customHeight="false" outlineLevel="0" collapsed="false">
      <c r="A53" s="344" t="s">
        <v>84</v>
      </c>
      <c r="B53" s="319" t="s">
        <v>597</v>
      </c>
      <c r="C53" s="368"/>
      <c r="D53" s="25" t="s">
        <v>84</v>
      </c>
      <c r="E53" s="25" t="s">
        <v>598</v>
      </c>
      <c r="F53" s="321"/>
      <c r="G53" s="348" t="s">
        <v>486</v>
      </c>
      <c r="H53" s="349" t="s">
        <v>599</v>
      </c>
      <c r="I53" s="368"/>
      <c r="J53" s="323" t="s">
        <v>488</v>
      </c>
      <c r="K53" s="319" t="s">
        <v>582</v>
      </c>
      <c r="L53" s="368"/>
      <c r="M53" s="324" t="s">
        <v>490</v>
      </c>
      <c r="N53" s="325" t="s">
        <v>600</v>
      </c>
      <c r="O53" s="368"/>
      <c r="P53" s="354"/>
      <c r="Q53" s="336"/>
      <c r="R53" s="368"/>
      <c r="S53" s="330" t="s">
        <v>546</v>
      </c>
      <c r="T53" s="338" t="n">
        <f aca="false">T4/(1-0.0282)-T4</f>
        <v>0.173664569462523</v>
      </c>
      <c r="U53" s="368"/>
      <c r="V53" s="330"/>
      <c r="W53" s="338"/>
      <c r="X53" s="368"/>
      <c r="Y53" s="320"/>
      <c r="Z53" s="320"/>
      <c r="AH53" s="25" t="s">
        <v>593</v>
      </c>
      <c r="AI53" s="360" t="n">
        <v>0.005</v>
      </c>
      <c r="AR53" s="360"/>
    </row>
    <row r="54" customFormat="false" ht="12.75" hidden="false" customHeight="false" outlineLevel="0" collapsed="false">
      <c r="A54" s="344" t="s">
        <v>505</v>
      </c>
      <c r="B54" s="329" t="n">
        <v>0.0166</v>
      </c>
      <c r="C54" s="321"/>
      <c r="D54" s="330" t="s">
        <v>505</v>
      </c>
      <c r="E54" s="331" t="n">
        <v>0.206</v>
      </c>
      <c r="F54" s="321"/>
      <c r="G54" s="328" t="s">
        <v>505</v>
      </c>
      <c r="H54" s="329" t="n">
        <v>0.0572</v>
      </c>
      <c r="I54" s="321"/>
      <c r="J54" s="332" t="s">
        <v>505</v>
      </c>
      <c r="K54" s="329" t="n">
        <v>0.0244</v>
      </c>
      <c r="L54" s="321"/>
      <c r="M54" s="333" t="s">
        <v>505</v>
      </c>
      <c r="N54" s="334" t="n">
        <v>0.4869</v>
      </c>
      <c r="O54" s="321"/>
      <c r="P54" s="71"/>
      <c r="Q54" s="339"/>
      <c r="R54" s="321"/>
      <c r="S54" s="347"/>
      <c r="T54" s="346" t="n">
        <f aca="false">SUM(T51:T53)</f>
        <v>0.205864569462523</v>
      </c>
      <c r="U54" s="321"/>
      <c r="V54" s="347"/>
      <c r="W54" s="346"/>
      <c r="X54" s="321"/>
      <c r="Y54" s="321"/>
      <c r="Z54" s="321"/>
      <c r="AR54" s="360"/>
    </row>
    <row r="55" customFormat="false" ht="12.75" hidden="false" customHeight="false" outlineLevel="0" collapsed="false">
      <c r="A55" s="348" t="s">
        <v>112</v>
      </c>
      <c r="B55" s="329" t="n">
        <f aca="false">0.0022+0.007+0.0097</f>
        <v>0.0189</v>
      </c>
      <c r="C55" s="321"/>
      <c r="D55" s="330" t="s">
        <v>112</v>
      </c>
      <c r="E55" s="331" t="n">
        <f aca="false">0.007+0.0022+0.0097</f>
        <v>0.0189</v>
      </c>
      <c r="F55" s="336"/>
      <c r="G55" s="328" t="s">
        <v>112</v>
      </c>
      <c r="H55" s="329" t="n">
        <f aca="false">0.0022+0.007+0.0225</f>
        <v>0.0317</v>
      </c>
      <c r="I55" s="321"/>
      <c r="J55" s="332" t="s">
        <v>112</v>
      </c>
      <c r="K55" s="329" t="n">
        <f aca="false">0.0022+0.007</f>
        <v>0.0092</v>
      </c>
      <c r="L55" s="321"/>
      <c r="M55" s="333" t="s">
        <v>112</v>
      </c>
      <c r="N55" s="334" t="n">
        <f aca="false">0.0022+0.007</f>
        <v>0.0092</v>
      </c>
      <c r="O55" s="321"/>
      <c r="P55" s="320"/>
      <c r="Q55" s="339"/>
      <c r="R55" s="321"/>
      <c r="S55" s="320"/>
      <c r="T55" s="339" t="n">
        <f aca="false">+T54+T48</f>
        <v>0.273918066046927</v>
      </c>
      <c r="U55" s="321"/>
      <c r="V55" s="320"/>
      <c r="W55" s="339"/>
      <c r="X55" s="321"/>
      <c r="Y55" s="321"/>
      <c r="Z55" s="321"/>
      <c r="AH55" s="361" t="n">
        <v>36861</v>
      </c>
      <c r="AQ55" s="361"/>
    </row>
    <row r="56" customFormat="false" ht="12.75" hidden="false" customHeight="false" outlineLevel="0" collapsed="false">
      <c r="A56" s="328" t="s">
        <v>585</v>
      </c>
      <c r="B56" s="337" t="n">
        <f aca="false">B$5/(1-0.0281)-B$5</f>
        <v>0.166246527420516</v>
      </c>
      <c r="C56" s="336"/>
      <c r="D56" s="330" t="s">
        <v>601</v>
      </c>
      <c r="E56" s="338" t="n">
        <f aca="false">(E4)/(1-0.0235)-E4</f>
        <v>0.142588325652842</v>
      </c>
      <c r="F56" s="339"/>
      <c r="G56" s="340" t="n">
        <v>0.0191</v>
      </c>
      <c r="H56" s="337" t="n">
        <f aca="false">(H$4)/(1-G56)-H$4</f>
        <v>0.113618615557141</v>
      </c>
      <c r="I56" s="336"/>
      <c r="J56" s="340" t="n">
        <v>0.0631</v>
      </c>
      <c r="K56" s="337" t="n">
        <f aca="false">(K$4)/(1-J56)-K$4</f>
        <v>0.382209947699861</v>
      </c>
      <c r="L56" s="336"/>
      <c r="M56" s="342" t="n">
        <v>0.1035</v>
      </c>
      <c r="N56" s="338" t="n">
        <f aca="false">(N$4)/(1-M56)-N$4</f>
        <v>0.655172894590073</v>
      </c>
      <c r="O56" s="336"/>
      <c r="P56" s="352"/>
      <c r="Q56" s="320"/>
      <c r="R56" s="336"/>
      <c r="S56" s="326" t="s">
        <v>1</v>
      </c>
      <c r="T56" s="327" t="s">
        <v>1</v>
      </c>
      <c r="U56" s="336"/>
      <c r="V56" s="326"/>
      <c r="W56" s="327"/>
      <c r="X56" s="336"/>
      <c r="Y56" s="336"/>
      <c r="Z56" s="336"/>
      <c r="AH56" s="362" t="s">
        <v>586</v>
      </c>
      <c r="AI56" s="360" t="n">
        <v>0.005</v>
      </c>
      <c r="AQ56" s="362"/>
      <c r="AR56" s="360"/>
    </row>
    <row r="57" customFormat="false" ht="12.75" hidden="false" customHeight="false" outlineLevel="0" collapsed="false">
      <c r="A57" s="328"/>
      <c r="B57" s="345" t="n">
        <f aca="false">SUM(B54:B56)</f>
        <v>0.201746527420516</v>
      </c>
      <c r="C57" s="339"/>
      <c r="D57" s="330"/>
      <c r="E57" s="346" t="n">
        <f aca="false">SUM(E54:E56)</f>
        <v>0.367488325652842</v>
      </c>
      <c r="F57" s="320"/>
      <c r="G57" s="344"/>
      <c r="H57" s="345" t="n">
        <f aca="false">SUM(H54:H56)</f>
        <v>0.202518615557141</v>
      </c>
      <c r="I57" s="339"/>
      <c r="J57" s="332"/>
      <c r="K57" s="345" t="n">
        <f aca="false">SUM(K54:K56)</f>
        <v>0.415809947699861</v>
      </c>
      <c r="L57" s="339"/>
      <c r="M57" s="333"/>
      <c r="N57" s="346" t="n">
        <f aca="false">SUM(N54:N56)</f>
        <v>1.15127289459007</v>
      </c>
      <c r="O57" s="339"/>
      <c r="P57" s="354"/>
      <c r="Q57" s="321"/>
      <c r="R57" s="339"/>
      <c r="S57" s="330"/>
      <c r="T57" s="334" t="s">
        <v>1</v>
      </c>
      <c r="U57" s="339"/>
      <c r="V57" s="330"/>
      <c r="W57" s="334"/>
      <c r="X57" s="339"/>
      <c r="Y57" s="339"/>
      <c r="Z57" s="339"/>
      <c r="AH57" s="25" t="s">
        <v>587</v>
      </c>
      <c r="AI57" s="360" t="n">
        <v>0.01</v>
      </c>
      <c r="AR57" s="360"/>
    </row>
    <row r="58" customFormat="false" ht="12.75" hidden="false" customHeight="false" outlineLevel="0" collapsed="false">
      <c r="A58" s="344" t="s">
        <v>84</v>
      </c>
      <c r="B58" s="319" t="s">
        <v>602</v>
      </c>
      <c r="C58" s="368"/>
      <c r="D58" s="25" t="s">
        <v>84</v>
      </c>
      <c r="E58" s="25" t="s">
        <v>603</v>
      </c>
      <c r="F58" s="321"/>
      <c r="G58" s="348" t="s">
        <v>486</v>
      </c>
      <c r="H58" s="349" t="s">
        <v>604</v>
      </c>
      <c r="I58" s="320"/>
      <c r="J58" s="323" t="s">
        <v>488</v>
      </c>
      <c r="K58" s="319" t="s">
        <v>592</v>
      </c>
      <c r="L58" s="320"/>
      <c r="M58" s="324" t="s">
        <v>490</v>
      </c>
      <c r="N58" s="325" t="s">
        <v>605</v>
      </c>
      <c r="O58" s="320"/>
      <c r="P58" s="354"/>
      <c r="Q58" s="321"/>
      <c r="R58" s="368"/>
      <c r="S58" s="330"/>
      <c r="T58" s="334"/>
      <c r="U58" s="368"/>
      <c r="V58" s="330"/>
      <c r="W58" s="334"/>
      <c r="X58" s="368"/>
      <c r="Y58" s="320"/>
      <c r="Z58" s="320"/>
      <c r="AH58" s="25" t="s">
        <v>593</v>
      </c>
      <c r="AI58" s="360" t="n">
        <v>0.005</v>
      </c>
      <c r="AR58" s="360"/>
    </row>
    <row r="59" customFormat="false" ht="12.75" hidden="false" customHeight="false" outlineLevel="0" collapsed="false">
      <c r="A59" s="344" t="s">
        <v>505</v>
      </c>
      <c r="B59" s="329" t="n">
        <v>0.0254</v>
      </c>
      <c r="C59" s="321"/>
      <c r="D59" s="330" t="s">
        <v>505</v>
      </c>
      <c r="E59" s="331" t="n">
        <v>0.3528</v>
      </c>
      <c r="F59" s="321"/>
      <c r="G59" s="328" t="s">
        <v>505</v>
      </c>
      <c r="H59" s="329" t="n">
        <v>0.0776</v>
      </c>
      <c r="I59" s="321"/>
      <c r="J59" s="332" t="s">
        <v>505</v>
      </c>
      <c r="K59" s="329" t="n">
        <v>0.0447</v>
      </c>
      <c r="L59" s="321"/>
      <c r="M59" s="333" t="s">
        <v>505</v>
      </c>
      <c r="N59" s="334" t="n">
        <v>0.0953</v>
      </c>
      <c r="O59" s="321"/>
      <c r="P59" s="354"/>
      <c r="Q59" s="336"/>
      <c r="R59" s="321"/>
      <c r="S59" s="330"/>
      <c r="T59" s="338"/>
      <c r="U59" s="321"/>
      <c r="V59" s="330"/>
      <c r="W59" s="338"/>
      <c r="X59" s="321"/>
      <c r="Y59" s="321"/>
      <c r="Z59" s="321"/>
      <c r="AR59" s="360"/>
    </row>
    <row r="60" customFormat="false" ht="12.75" hidden="false" customHeight="false" outlineLevel="0" collapsed="false">
      <c r="A60" s="348" t="s">
        <v>112</v>
      </c>
      <c r="B60" s="329" t="n">
        <f aca="false">0.0022+0.007+0.0097</f>
        <v>0.0189</v>
      </c>
      <c r="C60" s="321"/>
      <c r="D60" s="330" t="s">
        <v>112</v>
      </c>
      <c r="E60" s="331" t="n">
        <f aca="false">0.0097+0.007+0.0022</f>
        <v>0.0189</v>
      </c>
      <c r="F60" s="336"/>
      <c r="G60" s="328" t="s">
        <v>112</v>
      </c>
      <c r="H60" s="329" t="n">
        <f aca="false">0.0022+0.007</f>
        <v>0.0092</v>
      </c>
      <c r="I60" s="321"/>
      <c r="J60" s="332" t="s">
        <v>112</v>
      </c>
      <c r="K60" s="329" t="n">
        <f aca="false">0.0022+0.007</f>
        <v>0.0092</v>
      </c>
      <c r="L60" s="321"/>
      <c r="M60" s="333" t="s">
        <v>112</v>
      </c>
      <c r="N60" s="334" t="n">
        <f aca="false">0.0022+0.007</f>
        <v>0.0092</v>
      </c>
      <c r="O60" s="321"/>
      <c r="P60" s="71"/>
      <c r="Q60" s="339"/>
      <c r="R60" s="321"/>
      <c r="S60" s="347" t="s">
        <v>1</v>
      </c>
      <c r="T60" s="346" t="s">
        <v>1</v>
      </c>
      <c r="U60" s="321"/>
      <c r="V60" s="347"/>
      <c r="W60" s="346"/>
      <c r="X60" s="321"/>
      <c r="Y60" s="321"/>
      <c r="Z60" s="321"/>
      <c r="AH60" s="361" t="n">
        <v>36831</v>
      </c>
      <c r="AQ60" s="361"/>
    </row>
    <row r="61" customFormat="false" ht="12.75" hidden="false" customHeight="false" outlineLevel="0" collapsed="false">
      <c r="A61" s="328" t="s">
        <v>606</v>
      </c>
      <c r="B61" s="337" t="n">
        <f aca="false">B5/(1-0.0434)-B5</f>
        <v>0.260871837758729</v>
      </c>
      <c r="C61" s="336"/>
      <c r="D61" s="330" t="s">
        <v>607</v>
      </c>
      <c r="E61" s="338" t="n">
        <f aca="false">(E4)/(1-0.0472)-E4</f>
        <v>0.293513853904282</v>
      </c>
      <c r="F61" s="339"/>
      <c r="G61" s="340" t="n">
        <v>0.0428</v>
      </c>
      <c r="H61" s="337" t="n">
        <f aca="false">(H$4)/(1-G61)-H$4</f>
        <v>0.260904722106143</v>
      </c>
      <c r="I61" s="336"/>
      <c r="J61" s="340" t="n">
        <v>0.0875</v>
      </c>
      <c r="K61" s="337" t="n">
        <f aca="false">(K$4)/(1-J61)-K$4</f>
        <v>0.544178082191781</v>
      </c>
      <c r="L61" s="336"/>
      <c r="M61" s="342" t="n">
        <v>0.0298</v>
      </c>
      <c r="N61" s="338" t="n">
        <f aca="false">(N$3)/(1-M61)-N$3</f>
        <v>0.176613069470212</v>
      </c>
      <c r="O61" s="336"/>
      <c r="P61" s="352"/>
      <c r="Q61" s="320"/>
      <c r="R61" s="336"/>
      <c r="S61" s="350" t="s">
        <v>1</v>
      </c>
      <c r="T61" s="351" t="s">
        <v>1</v>
      </c>
      <c r="U61" s="336"/>
      <c r="V61" s="350"/>
      <c r="W61" s="351"/>
      <c r="X61" s="336"/>
      <c r="Y61" s="336"/>
      <c r="Z61" s="336"/>
      <c r="AH61" s="362" t="s">
        <v>586</v>
      </c>
      <c r="AI61" s="360" t="n">
        <v>0.003</v>
      </c>
      <c r="AQ61" s="362"/>
      <c r="AR61" s="360"/>
    </row>
    <row r="62" customFormat="false" ht="12.75" hidden="false" customHeight="false" outlineLevel="0" collapsed="false">
      <c r="A62" s="328"/>
      <c r="B62" s="345" t="n">
        <f aca="false">SUM(B59:B61)</f>
        <v>0.305171837758729</v>
      </c>
      <c r="C62" s="339"/>
      <c r="D62" s="330"/>
      <c r="E62" s="346" t="n">
        <f aca="false">SUM(E59:E61)</f>
        <v>0.665213853904282</v>
      </c>
      <c r="F62" s="320"/>
      <c r="G62" s="344"/>
      <c r="H62" s="345" t="n">
        <f aca="false">SUM(H59:H61)</f>
        <v>0.347704722106143</v>
      </c>
      <c r="I62" s="339"/>
      <c r="J62" s="332"/>
      <c r="K62" s="345" t="n">
        <f aca="false">SUM(K59:K61)</f>
        <v>0.598078082191781</v>
      </c>
      <c r="L62" s="339"/>
      <c r="M62" s="333"/>
      <c r="N62" s="346" t="n">
        <f aca="false">SUM(N59:N61)</f>
        <v>0.281113069470212</v>
      </c>
      <c r="O62" s="339"/>
      <c r="P62" s="354"/>
      <c r="Q62" s="321"/>
      <c r="R62" s="339"/>
      <c r="S62" s="330" t="s">
        <v>1</v>
      </c>
      <c r="T62" s="334" t="s">
        <v>1</v>
      </c>
      <c r="U62" s="339"/>
      <c r="V62" s="330"/>
      <c r="W62" s="334"/>
      <c r="X62" s="339"/>
      <c r="Y62" s="339"/>
      <c r="Z62" s="339"/>
      <c r="AH62" s="25" t="s">
        <v>587</v>
      </c>
      <c r="AI62" s="360" t="n">
        <v>0.006</v>
      </c>
      <c r="AR62" s="360"/>
    </row>
    <row r="63" customFormat="false" ht="12.75" hidden="false" customHeight="false" outlineLevel="0" collapsed="false">
      <c r="A63" s="328" t="s">
        <v>84</v>
      </c>
      <c r="B63" s="319" t="s">
        <v>608</v>
      </c>
      <c r="C63" s="320"/>
      <c r="D63" s="25" t="s">
        <v>84</v>
      </c>
      <c r="E63" s="25" t="s">
        <v>609</v>
      </c>
      <c r="F63" s="321"/>
      <c r="G63" s="348" t="s">
        <v>486</v>
      </c>
      <c r="H63" s="349" t="s">
        <v>610</v>
      </c>
      <c r="I63" s="320"/>
      <c r="J63" s="323" t="s">
        <v>488</v>
      </c>
      <c r="K63" s="319" t="s">
        <v>600</v>
      </c>
      <c r="L63" s="320"/>
      <c r="M63" s="324" t="s">
        <v>490</v>
      </c>
      <c r="N63" s="325" t="s">
        <v>611</v>
      </c>
      <c r="O63" s="320"/>
      <c r="P63" s="354"/>
      <c r="Q63" s="321"/>
      <c r="R63" s="320"/>
      <c r="S63" s="330" t="s">
        <v>1</v>
      </c>
      <c r="T63" s="334" t="s">
        <v>1</v>
      </c>
      <c r="U63" s="320"/>
      <c r="V63" s="330"/>
      <c r="W63" s="334"/>
      <c r="X63" s="320"/>
      <c r="Y63" s="315"/>
      <c r="Z63" s="315"/>
      <c r="AH63" s="25" t="s">
        <v>593</v>
      </c>
      <c r="AI63" s="360" t="n">
        <v>0.003</v>
      </c>
      <c r="AR63" s="360"/>
    </row>
    <row r="64" customFormat="false" ht="12.75" hidden="false" customHeight="false" outlineLevel="0" collapsed="false">
      <c r="A64" s="344" t="s">
        <v>505</v>
      </c>
      <c r="B64" s="329" t="n">
        <v>0.03</v>
      </c>
      <c r="C64" s="321"/>
      <c r="D64" s="330" t="s">
        <v>505</v>
      </c>
      <c r="E64" s="331" t="n">
        <v>0.1716</v>
      </c>
      <c r="F64" s="321"/>
      <c r="G64" s="328" t="s">
        <v>505</v>
      </c>
      <c r="H64" s="329" t="n">
        <v>0.0874</v>
      </c>
      <c r="I64" s="321"/>
      <c r="J64" s="332" t="s">
        <v>505</v>
      </c>
      <c r="K64" s="329" t="n">
        <v>0.0586</v>
      </c>
      <c r="L64" s="321"/>
      <c r="M64" s="333" t="s">
        <v>505</v>
      </c>
      <c r="N64" s="334" t="n">
        <v>0.0791</v>
      </c>
      <c r="O64" s="321"/>
      <c r="P64" s="354"/>
      <c r="Q64" s="336"/>
      <c r="R64" s="321"/>
      <c r="S64" s="330" t="s">
        <v>1</v>
      </c>
      <c r="T64" s="338" t="s">
        <v>1</v>
      </c>
      <c r="U64" s="321"/>
      <c r="V64" s="330"/>
      <c r="W64" s="338"/>
      <c r="X64" s="321"/>
      <c r="Y64" s="321"/>
      <c r="Z64" s="321"/>
      <c r="AR64" s="360"/>
    </row>
    <row r="65" customFormat="false" ht="12.75" hidden="false" customHeight="false" outlineLevel="0" collapsed="false">
      <c r="A65" s="140" t="s">
        <v>112</v>
      </c>
      <c r="B65" s="329" t="n">
        <f aca="false">0.0022+0.007+0.0097</f>
        <v>0.0189</v>
      </c>
      <c r="C65" s="321"/>
      <c r="D65" s="330" t="s">
        <v>112</v>
      </c>
      <c r="E65" s="334" t="n">
        <f aca="false">0.0022+0.007+0.0097</f>
        <v>0.0189</v>
      </c>
      <c r="F65" s="336"/>
      <c r="G65" s="328" t="s">
        <v>112</v>
      </c>
      <c r="H65" s="329" t="n">
        <f aca="false">0.0022</f>
        <v>0.0022</v>
      </c>
      <c r="I65" s="321"/>
      <c r="J65" s="332" t="s">
        <v>112</v>
      </c>
      <c r="K65" s="329" t="n">
        <f aca="false">0.0022+0.007</f>
        <v>0.0092</v>
      </c>
      <c r="L65" s="321"/>
      <c r="M65" s="333" t="s">
        <v>112</v>
      </c>
      <c r="N65" s="334" t="n">
        <f aca="false">0.0022+0.007</f>
        <v>0.0092</v>
      </c>
      <c r="O65" s="321"/>
      <c r="P65" s="71"/>
      <c r="Q65" s="339"/>
      <c r="R65" s="321"/>
      <c r="S65" s="347"/>
      <c r="T65" s="346" t="s">
        <v>1</v>
      </c>
      <c r="U65" s="321"/>
      <c r="V65" s="347"/>
      <c r="W65" s="346"/>
      <c r="X65" s="321"/>
      <c r="Y65" s="321"/>
      <c r="Z65" s="321"/>
      <c r="AH65" s="361" t="n">
        <v>36800</v>
      </c>
      <c r="AQ65" s="361"/>
    </row>
    <row r="66" customFormat="false" ht="12.75" hidden="false" customHeight="false" outlineLevel="0" collapsed="false">
      <c r="A66" s="370" t="s">
        <v>612</v>
      </c>
      <c r="B66" s="337" t="n">
        <f aca="false">B5/(1-0.0518)-B5</f>
        <v>0.314121493355832</v>
      </c>
      <c r="C66" s="336"/>
      <c r="D66" s="330" t="s">
        <v>613</v>
      </c>
      <c r="E66" s="338" t="n">
        <f aca="false">(E$3)/(1-0.019)-E$3</f>
        <v>0.114464831804281</v>
      </c>
      <c r="F66" s="339"/>
      <c r="G66" s="340" t="n">
        <v>0.0499</v>
      </c>
      <c r="H66" s="337" t="n">
        <f aca="false">(H$4)/(1-G66)-H$4</f>
        <v>0.306458793811178</v>
      </c>
      <c r="I66" s="336"/>
      <c r="J66" s="340" t="n">
        <v>0.1035</v>
      </c>
      <c r="K66" s="337" t="n">
        <f aca="false">(K$4)/(1-J66)-K$4</f>
        <v>0.655172894590073</v>
      </c>
      <c r="L66" s="336"/>
      <c r="M66" s="342" t="n">
        <v>0.0298</v>
      </c>
      <c r="N66" s="338" t="n">
        <f aca="false">(N$3)/(1-M66)-N$3</f>
        <v>0.176613069470212</v>
      </c>
      <c r="O66" s="336"/>
      <c r="P66" s="352"/>
      <c r="Q66" s="320"/>
      <c r="R66" s="336"/>
      <c r="S66" s="350" t="s">
        <v>1</v>
      </c>
      <c r="T66" s="351" t="s">
        <v>1</v>
      </c>
      <c r="U66" s="336"/>
      <c r="V66" s="350"/>
      <c r="W66" s="351"/>
      <c r="X66" s="336"/>
      <c r="Y66" s="336"/>
      <c r="Z66" s="336"/>
      <c r="AH66" s="362" t="s">
        <v>586</v>
      </c>
      <c r="AI66" s="360" t="n">
        <v>0.001</v>
      </c>
      <c r="AQ66" s="362"/>
      <c r="AR66" s="360"/>
    </row>
    <row r="67" customFormat="false" ht="12.75" hidden="false" customHeight="false" outlineLevel="0" collapsed="false">
      <c r="A67" s="328"/>
      <c r="B67" s="345" t="n">
        <f aca="false">SUM(B64:B66)</f>
        <v>0.363021493355832</v>
      </c>
      <c r="C67" s="339"/>
      <c r="D67" s="330"/>
      <c r="E67" s="346" t="n">
        <f aca="false">SUM(E64:E66)</f>
        <v>0.304964831804281</v>
      </c>
      <c r="F67" s="315"/>
      <c r="G67" s="344"/>
      <c r="H67" s="345" t="n">
        <f aca="false">SUM(H64:H66)</f>
        <v>0.396058793811178</v>
      </c>
      <c r="I67" s="339"/>
      <c r="J67" s="332"/>
      <c r="K67" s="345" t="n">
        <f aca="false">SUM(K64:K66)</f>
        <v>0.722972894590073</v>
      </c>
      <c r="L67" s="339"/>
      <c r="M67" s="333"/>
      <c r="N67" s="346" t="n">
        <f aca="false">SUM(N64:N66)</f>
        <v>0.264913069470212</v>
      </c>
      <c r="O67" s="339"/>
      <c r="P67" s="354"/>
      <c r="Q67" s="321"/>
      <c r="R67" s="339"/>
      <c r="S67" s="330"/>
      <c r="T67" s="334"/>
      <c r="U67" s="339"/>
      <c r="V67" s="330"/>
      <c r="W67" s="334"/>
      <c r="X67" s="339"/>
      <c r="Y67" s="339"/>
      <c r="Z67" s="339"/>
      <c r="AH67" s="25" t="s">
        <v>587</v>
      </c>
      <c r="AI67" s="360" t="n">
        <v>0.002</v>
      </c>
      <c r="AR67" s="360"/>
    </row>
    <row r="68" customFormat="false" ht="12.75" hidden="false" customHeight="false" outlineLevel="0" collapsed="false">
      <c r="A68" s="328" t="s">
        <v>84</v>
      </c>
      <c r="B68" s="319" t="s">
        <v>614</v>
      </c>
      <c r="C68" s="320"/>
      <c r="D68" s="25" t="s">
        <v>84</v>
      </c>
      <c r="E68" s="25" t="s">
        <v>615</v>
      </c>
      <c r="F68" s="321"/>
      <c r="G68" s="348" t="s">
        <v>486</v>
      </c>
      <c r="H68" s="349" t="s">
        <v>616</v>
      </c>
      <c r="I68" s="315"/>
      <c r="J68" s="323" t="s">
        <v>488</v>
      </c>
      <c r="K68" s="319" t="s">
        <v>617</v>
      </c>
      <c r="L68" s="315"/>
      <c r="M68" s="324" t="s">
        <v>490</v>
      </c>
      <c r="N68" s="325" t="s">
        <v>618</v>
      </c>
      <c r="O68" s="315"/>
      <c r="P68" s="354"/>
      <c r="Q68" s="321"/>
      <c r="R68" s="320"/>
      <c r="S68" s="330"/>
      <c r="T68" s="334"/>
      <c r="U68" s="320"/>
      <c r="V68" s="330"/>
      <c r="W68" s="334"/>
      <c r="X68" s="320"/>
      <c r="Y68" s="315"/>
      <c r="Z68" s="315"/>
      <c r="AH68" s="25" t="s">
        <v>593</v>
      </c>
      <c r="AI68" s="360" t="n">
        <v>0.001</v>
      </c>
      <c r="AR68" s="360"/>
    </row>
    <row r="69" customFormat="false" ht="12.75" hidden="false" customHeight="false" outlineLevel="0" collapsed="false">
      <c r="A69" s="328" t="s">
        <v>505</v>
      </c>
      <c r="B69" s="329" t="n">
        <v>0.0029</v>
      </c>
      <c r="C69" s="321"/>
      <c r="D69" s="330" t="s">
        <v>505</v>
      </c>
      <c r="E69" s="331" t="n">
        <v>0.266</v>
      </c>
      <c r="F69" s="321"/>
      <c r="G69" s="328" t="s">
        <v>505</v>
      </c>
      <c r="H69" s="329" t="n">
        <v>0.1014</v>
      </c>
      <c r="I69" s="321"/>
      <c r="J69" s="332" t="s">
        <v>505</v>
      </c>
      <c r="K69" s="329" t="n">
        <v>0.014</v>
      </c>
      <c r="L69" s="321"/>
      <c r="M69" s="333" t="s">
        <v>505</v>
      </c>
      <c r="N69" s="334" t="n">
        <v>0.2315</v>
      </c>
      <c r="O69" s="321"/>
      <c r="P69" s="354"/>
      <c r="Q69" s="336"/>
      <c r="R69" s="321"/>
      <c r="S69" s="330"/>
      <c r="T69" s="338"/>
      <c r="U69" s="321"/>
      <c r="V69" s="330"/>
      <c r="W69" s="338"/>
      <c r="X69" s="321"/>
      <c r="Y69" s="321"/>
      <c r="Z69" s="321"/>
      <c r="AR69" s="360"/>
    </row>
    <row r="70" customFormat="false" ht="12.75" hidden="false" customHeight="false" outlineLevel="0" collapsed="false">
      <c r="A70" s="344" t="s">
        <v>112</v>
      </c>
      <c r="B70" s="329" t="n">
        <f aca="false">0.0022+0.007+0.0097</f>
        <v>0.0189</v>
      </c>
      <c r="C70" s="321"/>
      <c r="D70" s="330" t="s">
        <v>112</v>
      </c>
      <c r="E70" s="334" t="n">
        <f aca="false">0.0022+0.007+0.0097</f>
        <v>0.0189</v>
      </c>
      <c r="F70" s="336"/>
      <c r="G70" s="328" t="s">
        <v>112</v>
      </c>
      <c r="H70" s="329" t="n">
        <f aca="false">0.0022+0.007</f>
        <v>0.0092</v>
      </c>
      <c r="I70" s="321"/>
      <c r="J70" s="332" t="s">
        <v>112</v>
      </c>
      <c r="K70" s="329" t="n">
        <f aca="false">0.0022+0.007</f>
        <v>0.0092</v>
      </c>
      <c r="L70" s="321"/>
      <c r="M70" s="333" t="s">
        <v>112</v>
      </c>
      <c r="N70" s="334" t="n">
        <f aca="false">0.0022+0.007</f>
        <v>0.0092</v>
      </c>
      <c r="O70" s="321"/>
      <c r="P70" s="347"/>
      <c r="Q70" s="346"/>
      <c r="R70" s="321"/>
      <c r="S70" s="347"/>
      <c r="T70" s="346"/>
      <c r="U70" s="321"/>
      <c r="V70" s="347"/>
      <c r="W70" s="346"/>
      <c r="X70" s="321"/>
      <c r="Y70" s="321"/>
      <c r="Z70" s="321"/>
      <c r="AH70" s="361" t="n">
        <v>36770</v>
      </c>
      <c r="AQ70" s="361"/>
    </row>
    <row r="71" customFormat="false" ht="12.75" hidden="false" customHeight="false" outlineLevel="0" collapsed="false">
      <c r="A71" s="348" t="s">
        <v>619</v>
      </c>
      <c r="B71" s="337" t="n">
        <f aca="false">(B4)/(1-0.0045)-B4</f>
        <v>0.0267830236062281</v>
      </c>
      <c r="C71" s="336"/>
      <c r="D71" s="342" t="n">
        <v>0.0343</v>
      </c>
      <c r="E71" s="338" t="n">
        <f aca="false">(E$3)/(1-D71)-E$3</f>
        <v>0.209913016464741</v>
      </c>
      <c r="F71" s="339"/>
      <c r="G71" s="340" t="n">
        <v>0.059</v>
      </c>
      <c r="H71" s="337" t="n">
        <f aca="false">(H$4)/(1-G71)-H$4</f>
        <v>0.365850159404888</v>
      </c>
      <c r="I71" s="336"/>
      <c r="J71" s="340" t="n">
        <v>0.0303</v>
      </c>
      <c r="K71" s="337" t="n">
        <f aca="false">(K$3)/(1-J71)-K$3</f>
        <v>0.179668969784469</v>
      </c>
      <c r="L71" s="336"/>
      <c r="M71" s="342" t="n">
        <v>0.0582</v>
      </c>
      <c r="N71" s="338" t="n">
        <f aca="false">(N$3)/(1-M71)-N$3</f>
        <v>0.355330218730091</v>
      </c>
      <c r="O71" s="336"/>
      <c r="P71" s="320"/>
      <c r="Q71" s="320"/>
      <c r="R71" s="336"/>
      <c r="S71" s="320"/>
      <c r="T71" s="320"/>
      <c r="U71" s="336"/>
      <c r="V71" s="320"/>
      <c r="W71" s="320"/>
      <c r="X71" s="336"/>
      <c r="Y71" s="336"/>
      <c r="Z71" s="336"/>
      <c r="AH71" s="362" t="s">
        <v>586</v>
      </c>
      <c r="AI71" s="360" t="n">
        <v>0.001</v>
      </c>
      <c r="AQ71" s="362"/>
      <c r="AR71" s="360"/>
    </row>
    <row r="72" customFormat="false" ht="12.75" hidden="false" customHeight="false" outlineLevel="0" collapsed="false">
      <c r="A72" s="328"/>
      <c r="B72" s="345" t="n">
        <f aca="false">SUM(B69:B71)</f>
        <v>0.0485830236062281</v>
      </c>
      <c r="C72" s="339"/>
      <c r="D72" s="330"/>
      <c r="E72" s="346" t="n">
        <f aca="false">SUM(E69:E71)</f>
        <v>0.494813016464741</v>
      </c>
      <c r="F72" s="315"/>
      <c r="G72" s="344"/>
      <c r="H72" s="345" t="n">
        <f aca="false">SUM(H69:H71)</f>
        <v>0.476450159404888</v>
      </c>
      <c r="I72" s="339"/>
      <c r="J72" s="332"/>
      <c r="K72" s="345" t="n">
        <f aca="false">SUM(K69:K71)</f>
        <v>0.202868969784469</v>
      </c>
      <c r="L72" s="339"/>
      <c r="M72" s="333"/>
      <c r="N72" s="346" t="n">
        <f aca="false">SUM(N69:N71)</f>
        <v>0.596030218730091</v>
      </c>
      <c r="O72" s="339"/>
      <c r="P72" s="321"/>
      <c r="Q72" s="321"/>
      <c r="R72" s="339"/>
      <c r="S72" s="321"/>
      <c r="T72" s="321"/>
      <c r="U72" s="339"/>
      <c r="V72" s="321"/>
      <c r="W72" s="321"/>
      <c r="X72" s="339"/>
      <c r="Y72" s="339"/>
      <c r="Z72" s="339"/>
      <c r="AH72" s="25" t="s">
        <v>587</v>
      </c>
      <c r="AI72" s="360" t="n">
        <v>0.002</v>
      </c>
      <c r="AR72" s="360"/>
    </row>
    <row r="73" customFormat="false" ht="12.75" hidden="false" customHeight="false" outlineLevel="0" collapsed="false">
      <c r="A73" s="328" t="s">
        <v>84</v>
      </c>
      <c r="B73" s="345" t="s">
        <v>620</v>
      </c>
      <c r="C73" s="315"/>
      <c r="D73" s="25" t="s">
        <v>621</v>
      </c>
      <c r="E73" s="25" t="s">
        <v>622</v>
      </c>
      <c r="F73" s="321"/>
      <c r="G73" s="348" t="s">
        <v>486</v>
      </c>
      <c r="H73" s="349" t="s">
        <v>623</v>
      </c>
      <c r="I73" s="315"/>
      <c r="J73" s="323" t="s">
        <v>488</v>
      </c>
      <c r="K73" s="319" t="s">
        <v>605</v>
      </c>
      <c r="L73" s="315"/>
      <c r="M73" s="324" t="s">
        <v>490</v>
      </c>
      <c r="N73" s="325" t="s">
        <v>624</v>
      </c>
      <c r="O73" s="315"/>
      <c r="P73" s="336"/>
      <c r="Q73" s="336"/>
      <c r="R73" s="315"/>
      <c r="S73" s="336"/>
      <c r="T73" s="336"/>
      <c r="U73" s="315"/>
      <c r="V73" s="336"/>
      <c r="W73" s="336"/>
      <c r="X73" s="315"/>
      <c r="Y73" s="315"/>
      <c r="Z73" s="315"/>
      <c r="AH73" s="25" t="s">
        <v>593</v>
      </c>
      <c r="AI73" s="360" t="n">
        <v>0.001</v>
      </c>
      <c r="AR73" s="360"/>
    </row>
    <row r="74" customFormat="false" ht="12.75" hidden="false" customHeight="false" outlineLevel="0" collapsed="false">
      <c r="A74" s="328" t="s">
        <v>505</v>
      </c>
      <c r="B74" s="371" t="n">
        <v>0.014</v>
      </c>
      <c r="C74" s="321"/>
      <c r="D74" s="330" t="s">
        <v>505</v>
      </c>
      <c r="E74" s="331" t="n">
        <v>0.076</v>
      </c>
      <c r="F74" s="321"/>
      <c r="G74" s="328" t="s">
        <v>505</v>
      </c>
      <c r="H74" s="329" t="n">
        <v>0.1126</v>
      </c>
      <c r="I74" s="321"/>
      <c r="J74" s="332" t="s">
        <v>505</v>
      </c>
      <c r="K74" s="329" t="n">
        <v>0.0103</v>
      </c>
      <c r="L74" s="321"/>
      <c r="M74" s="333" t="s">
        <v>505</v>
      </c>
      <c r="N74" s="334" t="n">
        <v>0.3736</v>
      </c>
      <c r="O74" s="321"/>
      <c r="P74" s="339"/>
      <c r="Q74" s="339"/>
      <c r="R74" s="321"/>
      <c r="S74" s="339"/>
      <c r="T74" s="339"/>
      <c r="U74" s="321"/>
      <c r="V74" s="339"/>
      <c r="W74" s="339"/>
      <c r="X74" s="321"/>
      <c r="Y74" s="321"/>
      <c r="Z74" s="321"/>
      <c r="AR74" s="360"/>
    </row>
    <row r="75" customFormat="false" ht="12.75" hidden="false" customHeight="false" outlineLevel="0" collapsed="false">
      <c r="A75" s="344" t="s">
        <v>112</v>
      </c>
      <c r="B75" s="371" t="n">
        <f aca="false">0.0022+0.007+0.0097</f>
        <v>0.0189</v>
      </c>
      <c r="C75" s="321"/>
      <c r="D75" s="330" t="s">
        <v>112</v>
      </c>
      <c r="E75" s="331" t="n">
        <v>0</v>
      </c>
      <c r="F75" s="336"/>
      <c r="G75" s="328" t="s">
        <v>112</v>
      </c>
      <c r="H75" s="329" t="n">
        <f aca="false">0.0022+0.007</f>
        <v>0.0092</v>
      </c>
      <c r="I75" s="321"/>
      <c r="J75" s="332" t="s">
        <v>112</v>
      </c>
      <c r="K75" s="329" t="n">
        <f aca="false">0.0022</f>
        <v>0.0022</v>
      </c>
      <c r="L75" s="321"/>
      <c r="M75" s="333" t="s">
        <v>112</v>
      </c>
      <c r="N75" s="334" t="n">
        <f aca="false">0.0022+0.007</f>
        <v>0.0092</v>
      </c>
      <c r="O75" s="321"/>
      <c r="P75" s="320"/>
      <c r="Q75" s="320"/>
      <c r="R75" s="321"/>
      <c r="S75" s="320"/>
      <c r="T75" s="320"/>
      <c r="U75" s="321"/>
      <c r="V75" s="320"/>
      <c r="W75" s="320"/>
      <c r="X75" s="321"/>
      <c r="Y75" s="321"/>
      <c r="Z75" s="321"/>
      <c r="AH75" s="361" t="n">
        <v>36739</v>
      </c>
      <c r="AQ75" s="361"/>
    </row>
    <row r="76" customFormat="false" ht="12.75" hidden="false" customHeight="false" outlineLevel="0" collapsed="false">
      <c r="A76" s="348" t="s">
        <v>601</v>
      </c>
      <c r="B76" s="337" t="n">
        <f aca="false">(+B4)/(1-0.0235)-B4</f>
        <v>0.142588325652842</v>
      </c>
      <c r="C76" s="336"/>
      <c r="D76" s="330" t="s">
        <v>625</v>
      </c>
      <c r="E76" s="338" t="n">
        <f aca="false">(+E3)/(1-0.0059)-E3</f>
        <v>0.0350759480937528</v>
      </c>
      <c r="F76" s="339"/>
      <c r="G76" s="340" t="n">
        <v>0.0699</v>
      </c>
      <c r="H76" s="337" t="n">
        <f aca="false">(H$4)/(1-G76)-H$4</f>
        <v>0.438518976454144</v>
      </c>
      <c r="I76" s="336"/>
      <c r="J76" s="340" t="n">
        <v>0.0298</v>
      </c>
      <c r="K76" s="337" t="n">
        <f aca="false">(K$3)/(1-J76)-K$3</f>
        <v>0.176613069470212</v>
      </c>
      <c r="L76" s="336"/>
      <c r="M76" s="342" t="n">
        <v>0.0826</v>
      </c>
      <c r="N76" s="338" t="n">
        <f aca="false">(N$3)/(1-M76)-N$3</f>
        <v>0.517713102245477</v>
      </c>
      <c r="O76" s="336"/>
      <c r="P76" s="321"/>
      <c r="Q76" s="321"/>
      <c r="R76" s="336"/>
      <c r="S76" s="321"/>
      <c r="T76" s="321"/>
      <c r="U76" s="336"/>
      <c r="V76" s="321"/>
      <c r="W76" s="321"/>
      <c r="X76" s="336"/>
      <c r="Y76" s="336"/>
      <c r="Z76" s="336"/>
      <c r="AH76" s="362" t="s">
        <v>586</v>
      </c>
      <c r="AI76" s="360" t="n">
        <v>0.002</v>
      </c>
      <c r="AQ76" s="362"/>
      <c r="AR76" s="360"/>
    </row>
    <row r="77" customFormat="false" ht="12.75" hidden="false" customHeight="false" outlineLevel="0" collapsed="false">
      <c r="A77" s="328"/>
      <c r="B77" s="345" t="n">
        <f aca="false">SUM(B74:B76)</f>
        <v>0.175488325652842</v>
      </c>
      <c r="C77" s="339"/>
      <c r="D77" s="330"/>
      <c r="E77" s="346" t="n">
        <f aca="false">SUM(E74:E76)</f>
        <v>0.111075948093753</v>
      </c>
      <c r="F77" s="315"/>
      <c r="G77" s="344"/>
      <c r="H77" s="345" t="n">
        <f aca="false">SUM(H74:H76)</f>
        <v>0.560318976454144</v>
      </c>
      <c r="I77" s="339"/>
      <c r="J77" s="332"/>
      <c r="K77" s="345" t="n">
        <f aca="false">SUM(K74:K76)</f>
        <v>0.189113069470212</v>
      </c>
      <c r="L77" s="339"/>
      <c r="M77" s="333"/>
      <c r="N77" s="346" t="n">
        <f aca="false">SUM(N74:N76)</f>
        <v>0.900513102245477</v>
      </c>
      <c r="O77" s="339"/>
      <c r="P77" s="321"/>
      <c r="Q77" s="321"/>
      <c r="R77" s="339"/>
      <c r="S77" s="321"/>
      <c r="T77" s="321"/>
      <c r="U77" s="339"/>
      <c r="V77" s="321"/>
      <c r="W77" s="321"/>
      <c r="X77" s="339"/>
      <c r="Y77" s="339"/>
      <c r="Z77" s="339"/>
      <c r="AH77" s="25" t="s">
        <v>587</v>
      </c>
      <c r="AI77" s="360" t="n">
        <v>0.004</v>
      </c>
      <c r="AR77" s="360"/>
    </row>
    <row r="78" customFormat="false" ht="12.75" hidden="false" customHeight="false" outlineLevel="0" collapsed="false">
      <c r="A78" s="328" t="s">
        <v>84</v>
      </c>
      <c r="B78" s="319" t="s">
        <v>626</v>
      </c>
      <c r="C78" s="315"/>
      <c r="D78" s="324" t="s">
        <v>627</v>
      </c>
      <c r="E78" s="346" t="s">
        <v>628</v>
      </c>
      <c r="F78" s="321"/>
      <c r="G78" s="348" t="s">
        <v>486</v>
      </c>
      <c r="H78" s="349" t="s">
        <v>629</v>
      </c>
      <c r="I78" s="315"/>
      <c r="J78" s="323" t="s">
        <v>488</v>
      </c>
      <c r="K78" s="319" t="s">
        <v>630</v>
      </c>
      <c r="L78" s="315"/>
      <c r="M78" s="324" t="s">
        <v>490</v>
      </c>
      <c r="N78" s="325" t="s">
        <v>631</v>
      </c>
      <c r="O78" s="315"/>
      <c r="P78" s="336"/>
      <c r="Q78" s="336"/>
      <c r="R78" s="315"/>
      <c r="S78" s="336"/>
      <c r="T78" s="336"/>
      <c r="U78" s="315"/>
      <c r="V78" s="336"/>
      <c r="W78" s="336"/>
      <c r="X78" s="315"/>
      <c r="Y78" s="315"/>
      <c r="Z78" s="315"/>
      <c r="AH78" s="25" t="s">
        <v>593</v>
      </c>
      <c r="AI78" s="360" t="n">
        <v>0.002</v>
      </c>
      <c r="AR78" s="360"/>
    </row>
    <row r="79" customFormat="false" ht="12.75" hidden="false" customHeight="false" outlineLevel="0" collapsed="false">
      <c r="A79" s="328" t="s">
        <v>505</v>
      </c>
      <c r="B79" s="329" t="n">
        <v>0.0228</v>
      </c>
      <c r="C79" s="321"/>
      <c r="D79" s="330" t="s">
        <v>505</v>
      </c>
      <c r="E79" s="331" t="n">
        <v>0.0972</v>
      </c>
      <c r="F79" s="321"/>
      <c r="G79" s="328" t="s">
        <v>505</v>
      </c>
      <c r="H79" s="329" t="n">
        <v>0.1503</v>
      </c>
      <c r="I79" s="321"/>
      <c r="J79" s="332" t="s">
        <v>505</v>
      </c>
      <c r="K79" s="329" t="n">
        <v>0.0087</v>
      </c>
      <c r="L79" s="321"/>
      <c r="M79" s="333" t="s">
        <v>505</v>
      </c>
      <c r="N79" s="334" t="n">
        <v>0.4707</v>
      </c>
      <c r="O79" s="321"/>
      <c r="P79" s="339"/>
      <c r="Q79" s="339"/>
      <c r="R79" s="321"/>
      <c r="S79" s="339"/>
      <c r="T79" s="339"/>
      <c r="U79" s="321"/>
      <c r="V79" s="339"/>
      <c r="W79" s="339"/>
      <c r="X79" s="321"/>
      <c r="Y79" s="321"/>
      <c r="Z79" s="321"/>
      <c r="AR79" s="360"/>
    </row>
    <row r="80" customFormat="false" ht="12.75" hidden="false" customHeight="false" outlineLevel="0" collapsed="false">
      <c r="A80" s="344" t="s">
        <v>112</v>
      </c>
      <c r="B80" s="371" t="n">
        <f aca="false">0.0022+0.007+0.0097</f>
        <v>0.0189</v>
      </c>
      <c r="C80" s="321"/>
      <c r="D80" s="330" t="s">
        <v>112</v>
      </c>
      <c r="E80" s="331" t="n">
        <f aca="false">0.007+0.0022+0.0097</f>
        <v>0.0189</v>
      </c>
      <c r="F80" s="336"/>
      <c r="G80" s="328" t="s">
        <v>112</v>
      </c>
      <c r="H80" s="329" t="n">
        <f aca="false">0.0022+0.007</f>
        <v>0.0092</v>
      </c>
      <c r="I80" s="321"/>
      <c r="J80" s="332" t="s">
        <v>112</v>
      </c>
      <c r="K80" s="329" t="n">
        <f aca="false">0.0022+0.007</f>
        <v>0.0092</v>
      </c>
      <c r="L80" s="321"/>
      <c r="M80" s="333" t="s">
        <v>112</v>
      </c>
      <c r="N80" s="334" t="n">
        <f aca="false">0.0022+0.007</f>
        <v>0.0092</v>
      </c>
      <c r="O80" s="321"/>
      <c r="P80" s="315"/>
      <c r="Q80" s="315"/>
      <c r="R80" s="321"/>
      <c r="S80" s="315"/>
      <c r="T80" s="315"/>
      <c r="U80" s="321"/>
      <c r="V80" s="315"/>
      <c r="W80" s="315"/>
      <c r="X80" s="321"/>
      <c r="Y80" s="321"/>
      <c r="Z80" s="321"/>
      <c r="AH80" s="361" t="n">
        <v>36708</v>
      </c>
      <c r="AQ80" s="361"/>
    </row>
    <row r="81" customFormat="false" ht="12.75" hidden="false" customHeight="false" outlineLevel="0" collapsed="false">
      <c r="A81" s="369" t="s">
        <v>632</v>
      </c>
      <c r="B81" s="337" t="n">
        <f aca="false">B4/(1-0.0388)-B4</f>
        <v>0.239169787765293</v>
      </c>
      <c r="C81" s="336"/>
      <c r="D81" s="330" t="s">
        <v>633</v>
      </c>
      <c r="E81" s="338" t="n">
        <f aca="false">(E7)/(1-0.0084)-E7</f>
        <v>0.0537071399757965</v>
      </c>
      <c r="F81" s="339"/>
      <c r="G81" s="340" t="n">
        <v>0.0782</v>
      </c>
      <c r="H81" s="337" t="n">
        <f aca="false">(H$4)/(1-G81)-H$4</f>
        <v>0.495006509004122</v>
      </c>
      <c r="I81" s="336"/>
      <c r="J81" s="340" t="n">
        <v>0.0298</v>
      </c>
      <c r="K81" s="337" t="n">
        <f aca="false">(K$3)/(1-J81)-K$3</f>
        <v>0.176613069470212</v>
      </c>
      <c r="L81" s="336"/>
      <c r="M81" s="342" t="n">
        <v>0.0986</v>
      </c>
      <c r="N81" s="338" t="n">
        <f aca="false">(N$3)/(1-M81)-N$3</f>
        <v>0.628966052806745</v>
      </c>
      <c r="O81" s="336"/>
      <c r="P81" s="321"/>
      <c r="Q81" s="321"/>
      <c r="R81" s="336"/>
      <c r="S81" s="321"/>
      <c r="T81" s="321"/>
      <c r="U81" s="336"/>
      <c r="V81" s="321"/>
      <c r="W81" s="321"/>
      <c r="X81" s="336"/>
      <c r="Y81" s="336"/>
      <c r="Z81" s="336"/>
      <c r="AH81" s="362" t="s">
        <v>586</v>
      </c>
      <c r="AI81" s="360" t="n">
        <v>0.002</v>
      </c>
      <c r="AQ81" s="362"/>
      <c r="AR81" s="360"/>
    </row>
    <row r="82" customFormat="false" ht="12.75" hidden="false" customHeight="false" outlineLevel="0" collapsed="false">
      <c r="A82" s="372"/>
      <c r="B82" s="345" t="n">
        <f aca="false">SUM(B79:B81)</f>
        <v>0.280869787765293</v>
      </c>
      <c r="C82" s="339"/>
      <c r="D82" s="330"/>
      <c r="E82" s="346" t="n">
        <f aca="false">SUM(E79:E81)</f>
        <v>0.169807139975796</v>
      </c>
      <c r="F82" s="315"/>
      <c r="G82" s="344"/>
      <c r="H82" s="345" t="n">
        <f aca="false">SUM(H79:H81)</f>
        <v>0.654506509004122</v>
      </c>
      <c r="I82" s="339"/>
      <c r="J82" s="332"/>
      <c r="K82" s="345" t="n">
        <f aca="false">SUM(K79:K81)</f>
        <v>0.194513069470212</v>
      </c>
      <c r="L82" s="339"/>
      <c r="M82" s="333"/>
      <c r="N82" s="346" t="n">
        <f aca="false">SUM(N79:N81)</f>
        <v>1.10886605280674</v>
      </c>
      <c r="O82" s="339"/>
      <c r="P82" s="321"/>
      <c r="Q82" s="321"/>
      <c r="R82" s="339"/>
      <c r="S82" s="321"/>
      <c r="T82" s="321"/>
      <c r="U82" s="339"/>
      <c r="V82" s="321"/>
      <c r="W82" s="321"/>
      <c r="X82" s="339"/>
      <c r="Y82" s="339"/>
      <c r="Z82" s="339"/>
      <c r="AH82" s="25" t="s">
        <v>587</v>
      </c>
      <c r="AI82" s="360" t="n">
        <v>0.004</v>
      </c>
      <c r="AR82" s="360"/>
    </row>
    <row r="83" customFormat="false" ht="14.1" hidden="false" customHeight="true" outlineLevel="0" collapsed="false">
      <c r="A83" s="373" t="s">
        <v>84</v>
      </c>
      <c r="B83" s="319" t="s">
        <v>634</v>
      </c>
      <c r="C83" s="315"/>
      <c r="D83" s="324" t="s">
        <v>627</v>
      </c>
      <c r="E83" s="346" t="s">
        <v>635</v>
      </c>
      <c r="F83" s="321"/>
      <c r="G83" s="348" t="s">
        <v>486</v>
      </c>
      <c r="H83" s="349" t="s">
        <v>636</v>
      </c>
      <c r="I83" s="315"/>
      <c r="J83" s="323" t="s">
        <v>488</v>
      </c>
      <c r="K83" s="319" t="s">
        <v>637</v>
      </c>
      <c r="L83" s="315"/>
      <c r="M83" s="324" t="s">
        <v>490</v>
      </c>
      <c r="N83" s="325" t="s">
        <v>638</v>
      </c>
      <c r="O83" s="315"/>
      <c r="P83" s="336"/>
      <c r="Q83" s="336"/>
      <c r="R83" s="315"/>
      <c r="S83" s="336"/>
      <c r="T83" s="336"/>
      <c r="U83" s="315"/>
      <c r="V83" s="336"/>
      <c r="W83" s="336"/>
      <c r="X83" s="315"/>
      <c r="Y83" s="315"/>
      <c r="Z83" s="315"/>
      <c r="AH83" s="25" t="s">
        <v>593</v>
      </c>
      <c r="AI83" s="360" t="n">
        <v>0.002</v>
      </c>
      <c r="AR83" s="360"/>
    </row>
    <row r="84" customFormat="false" ht="12.75" hidden="false" customHeight="false" outlineLevel="0" collapsed="false">
      <c r="A84" s="374" t="s">
        <v>505</v>
      </c>
      <c r="B84" s="329" t="n">
        <v>0.0274</v>
      </c>
      <c r="C84" s="321"/>
      <c r="D84" s="330" t="s">
        <v>505</v>
      </c>
      <c r="E84" s="331" t="n">
        <v>0.1916</v>
      </c>
      <c r="F84" s="321"/>
      <c r="G84" s="328" t="s">
        <v>505</v>
      </c>
      <c r="H84" s="329" t="n">
        <v>0.0783</v>
      </c>
      <c r="I84" s="321"/>
      <c r="J84" s="332" t="s">
        <v>505</v>
      </c>
      <c r="K84" s="329" t="n">
        <v>0.0087</v>
      </c>
      <c r="L84" s="321"/>
      <c r="M84" s="333" t="s">
        <v>505</v>
      </c>
      <c r="N84" s="334" t="n">
        <v>0.2945</v>
      </c>
      <c r="O84" s="321"/>
      <c r="P84" s="375"/>
      <c r="Q84" s="376"/>
      <c r="R84" s="321"/>
      <c r="S84" s="375"/>
      <c r="T84" s="376"/>
      <c r="U84" s="321"/>
      <c r="V84" s="375"/>
      <c r="W84" s="376"/>
      <c r="X84" s="321"/>
      <c r="Y84" s="321"/>
      <c r="Z84" s="321"/>
      <c r="AR84" s="360"/>
    </row>
    <row r="85" customFormat="false" ht="12.75" hidden="false" customHeight="false" outlineLevel="0" collapsed="false">
      <c r="A85" s="369" t="s">
        <v>112</v>
      </c>
      <c r="B85" s="371" t="n">
        <f aca="false">0.0022+0.007+0.0097</f>
        <v>0.0189</v>
      </c>
      <c r="C85" s="321"/>
      <c r="D85" s="330" t="s">
        <v>112</v>
      </c>
      <c r="E85" s="331" t="n">
        <f aca="false">0.0022+0.0097</f>
        <v>0.0119</v>
      </c>
      <c r="F85" s="336"/>
      <c r="G85" s="328" t="s">
        <v>112</v>
      </c>
      <c r="H85" s="329" t="n">
        <f aca="false">0.0022+0.007</f>
        <v>0.0092</v>
      </c>
      <c r="I85" s="321"/>
      <c r="J85" s="332" t="s">
        <v>112</v>
      </c>
      <c r="K85" s="329" t="n">
        <f aca="false">0.0022+0.007</f>
        <v>0.0092</v>
      </c>
      <c r="L85" s="321"/>
      <c r="M85" s="333" t="s">
        <v>112</v>
      </c>
      <c r="N85" s="334" t="n">
        <f aca="false">0.0022+0.007</f>
        <v>0.0092</v>
      </c>
      <c r="O85" s="321"/>
      <c r="P85" s="315"/>
      <c r="Q85" s="315"/>
      <c r="R85" s="321"/>
      <c r="S85" s="315"/>
      <c r="T85" s="315"/>
      <c r="U85" s="321"/>
      <c r="V85" s="315"/>
      <c r="W85" s="315"/>
      <c r="X85" s="321"/>
      <c r="Y85" s="321"/>
      <c r="Z85" s="321"/>
      <c r="AH85" s="361" t="n">
        <v>36678</v>
      </c>
      <c r="AQ85" s="361"/>
    </row>
    <row r="86" customFormat="false" ht="12.75" hidden="false" customHeight="false" outlineLevel="0" collapsed="false">
      <c r="A86" s="372" t="s">
        <v>607</v>
      </c>
      <c r="B86" s="337" t="n">
        <f aca="false">B4/(1-0.0472)-B4</f>
        <v>0.293513853904282</v>
      </c>
      <c r="C86" s="336"/>
      <c r="D86" s="342" t="n">
        <v>0.0237</v>
      </c>
      <c r="E86" s="338" t="n">
        <f aca="false">(E$7)/(1-D86)-E$7</f>
        <v>0.153905561815016</v>
      </c>
      <c r="F86" s="339"/>
      <c r="G86" s="340" t="n">
        <v>0.0415</v>
      </c>
      <c r="H86" s="377" t="n">
        <f aca="false">(H4)/(1-G86)-H4</f>
        <v>0.252636932707355</v>
      </c>
      <c r="I86" s="336"/>
      <c r="J86" s="340" t="n">
        <v>0.0298</v>
      </c>
      <c r="K86" s="337" t="n">
        <f aca="false">(K$3)/(1-J86)-K$3</f>
        <v>0.176613069470212</v>
      </c>
      <c r="L86" s="336"/>
      <c r="M86" s="342" t="n">
        <v>0.0528</v>
      </c>
      <c r="N86" s="338" t="n">
        <f aca="false">(N$6)/(1-M86)-(N$6)</f>
        <v>0.334738175675676</v>
      </c>
      <c r="O86" s="336"/>
      <c r="P86" s="321"/>
      <c r="Q86" s="321"/>
      <c r="R86" s="336"/>
      <c r="S86" s="321"/>
      <c r="T86" s="321"/>
      <c r="U86" s="336"/>
      <c r="V86" s="321"/>
      <c r="W86" s="321"/>
      <c r="X86" s="336"/>
      <c r="Y86" s="336"/>
      <c r="Z86" s="336"/>
      <c r="AH86" s="362" t="s">
        <v>586</v>
      </c>
      <c r="AI86" s="360" t="n">
        <v>0.0001</v>
      </c>
      <c r="AQ86" s="362"/>
      <c r="AR86" s="360"/>
    </row>
    <row r="87" customFormat="false" ht="12.75" hidden="false" customHeight="false" outlineLevel="0" collapsed="false">
      <c r="A87" s="372"/>
      <c r="B87" s="345" t="n">
        <f aca="false">SUM(B84:B86)</f>
        <v>0.339813853904282</v>
      </c>
      <c r="C87" s="339"/>
      <c r="D87" s="330"/>
      <c r="E87" s="346" t="n">
        <f aca="false">SUM(E84:E86)</f>
        <v>0.357405561815016</v>
      </c>
      <c r="F87" s="315"/>
      <c r="G87" s="344"/>
      <c r="H87" s="345" t="n">
        <f aca="false">SUM(H84:H86)</f>
        <v>0.340136932707355</v>
      </c>
      <c r="I87" s="339"/>
      <c r="J87" s="332"/>
      <c r="K87" s="345" t="n">
        <f aca="false">SUM(K84:K86)</f>
        <v>0.194513069470212</v>
      </c>
      <c r="L87" s="339"/>
      <c r="M87" s="333"/>
      <c r="N87" s="346" t="n">
        <f aca="false">SUM(N84:N86)</f>
        <v>0.638438175675676</v>
      </c>
      <c r="O87" s="339"/>
      <c r="P87" s="321"/>
      <c r="Q87" s="321"/>
      <c r="R87" s="339"/>
      <c r="S87" s="321"/>
      <c r="T87" s="321"/>
      <c r="U87" s="339"/>
      <c r="V87" s="321"/>
      <c r="W87" s="321"/>
      <c r="X87" s="339"/>
      <c r="Y87" s="339"/>
      <c r="Z87" s="339"/>
      <c r="AH87" s="25" t="s">
        <v>587</v>
      </c>
      <c r="AI87" s="360" t="n">
        <v>0.0002</v>
      </c>
      <c r="AR87" s="360"/>
    </row>
    <row r="88" customFormat="false" ht="12.75" hidden="false" customHeight="false" outlineLevel="0" collapsed="false">
      <c r="A88" s="373" t="s">
        <v>84</v>
      </c>
      <c r="B88" s="345" t="s">
        <v>639</v>
      </c>
      <c r="C88" s="315"/>
      <c r="D88" s="324" t="s">
        <v>627</v>
      </c>
      <c r="E88" s="346" t="s">
        <v>640</v>
      </c>
      <c r="F88" s="321"/>
      <c r="G88" s="348" t="s">
        <v>486</v>
      </c>
      <c r="H88" s="349" t="s">
        <v>641</v>
      </c>
      <c r="I88" s="315"/>
      <c r="J88" s="323" t="s">
        <v>488</v>
      </c>
      <c r="K88" s="319" t="s">
        <v>642</v>
      </c>
      <c r="L88" s="315"/>
      <c r="M88" s="324" t="s">
        <v>490</v>
      </c>
      <c r="N88" s="325" t="s">
        <v>643</v>
      </c>
      <c r="O88" s="315"/>
      <c r="P88" s="336"/>
      <c r="Q88" s="336"/>
      <c r="R88" s="315"/>
      <c r="S88" s="336"/>
      <c r="T88" s="336"/>
      <c r="U88" s="315"/>
      <c r="V88" s="336"/>
      <c r="W88" s="336"/>
      <c r="X88" s="315"/>
      <c r="Y88" s="339"/>
      <c r="Z88" s="339"/>
      <c r="AH88" s="25" t="s">
        <v>593</v>
      </c>
      <c r="AI88" s="360" t="n">
        <v>0.0001</v>
      </c>
      <c r="AR88" s="360"/>
    </row>
    <row r="89" customFormat="false" ht="12.75" hidden="false" customHeight="false" outlineLevel="0" collapsed="false">
      <c r="A89" s="374" t="s">
        <v>505</v>
      </c>
      <c r="B89" s="371" t="n">
        <v>0.0115</v>
      </c>
      <c r="C89" s="321"/>
      <c r="D89" s="330" t="s">
        <v>505</v>
      </c>
      <c r="E89" s="331" t="n">
        <v>0.3037</v>
      </c>
      <c r="F89" s="321"/>
      <c r="G89" s="328" t="s">
        <v>505</v>
      </c>
      <c r="H89" s="329" t="n">
        <f aca="false">0.0511-0.0022-0.0088</f>
        <v>0.0401</v>
      </c>
      <c r="I89" s="321"/>
      <c r="J89" s="332" t="s">
        <v>505</v>
      </c>
      <c r="K89" s="329" t="n">
        <v>0.0228</v>
      </c>
      <c r="L89" s="321"/>
      <c r="M89" s="333" t="s">
        <v>505</v>
      </c>
      <c r="N89" s="334" t="n">
        <v>0.3916</v>
      </c>
      <c r="O89" s="321"/>
      <c r="P89" s="339"/>
      <c r="Q89" s="339"/>
      <c r="R89" s="321"/>
      <c r="S89" s="339"/>
      <c r="T89" s="339"/>
      <c r="U89" s="321"/>
      <c r="V89" s="339"/>
      <c r="W89" s="339"/>
      <c r="X89" s="321"/>
      <c r="Y89" s="356"/>
      <c r="Z89" s="356"/>
      <c r="AR89" s="360"/>
    </row>
    <row r="90" customFormat="false" ht="12.75" hidden="false" customHeight="false" outlineLevel="0" collapsed="false">
      <c r="A90" s="378" t="s">
        <v>112</v>
      </c>
      <c r="B90" s="371" t="n">
        <f aca="false">0.0022+0.007+0.0097</f>
        <v>0.0189</v>
      </c>
      <c r="C90" s="321"/>
      <c r="D90" s="330" t="s">
        <v>112</v>
      </c>
      <c r="E90" s="331" t="n">
        <f aca="false">0.007+0.0022+0.0097</f>
        <v>0.0189</v>
      </c>
      <c r="F90" s="336"/>
      <c r="G90" s="328" t="s">
        <v>112</v>
      </c>
      <c r="H90" s="329" t="n">
        <f aca="false">0.0022+0.007</f>
        <v>0.0092</v>
      </c>
      <c r="I90" s="321"/>
      <c r="J90" s="332" t="s">
        <v>112</v>
      </c>
      <c r="K90" s="329" t="n">
        <f aca="false">0.0022+0.007</f>
        <v>0.0092</v>
      </c>
      <c r="L90" s="321"/>
      <c r="M90" s="333" t="s">
        <v>112</v>
      </c>
      <c r="N90" s="334" t="n">
        <f aca="false">0.0022+0.007</f>
        <v>0.0092</v>
      </c>
      <c r="O90" s="321"/>
      <c r="P90" s="315"/>
      <c r="Q90" s="315"/>
      <c r="R90" s="321"/>
      <c r="S90" s="315"/>
      <c r="T90" s="315"/>
      <c r="U90" s="321"/>
      <c r="V90" s="315"/>
      <c r="W90" s="315"/>
      <c r="X90" s="321"/>
      <c r="Y90" s="356"/>
      <c r="Z90" s="356"/>
      <c r="AH90" s="361" t="n">
        <v>36647</v>
      </c>
      <c r="AQ90" s="361"/>
    </row>
    <row r="91" customFormat="false" ht="12.75" hidden="false" customHeight="false" outlineLevel="0" collapsed="false">
      <c r="A91" s="372" t="s">
        <v>613</v>
      </c>
      <c r="B91" s="337" t="n">
        <f aca="false">(B3)/(1-0.019)-B3</f>
        <v>0.114464831804281</v>
      </c>
      <c r="C91" s="336"/>
      <c r="D91" s="342" t="n">
        <v>0.0084</v>
      </c>
      <c r="E91" s="338" t="n">
        <f aca="false">(E$7)/(1-D91)-E$7</f>
        <v>0.0537071399757965</v>
      </c>
      <c r="F91" s="339"/>
      <c r="G91" s="340" t="n">
        <v>0.0109</v>
      </c>
      <c r="H91" s="377" t="n">
        <f aca="false">(H5)/(1-G91)-H5</f>
        <v>0.0688206450308364</v>
      </c>
      <c r="I91" s="336"/>
      <c r="J91" s="340" t="n">
        <v>0.0582</v>
      </c>
      <c r="K91" s="337" t="n">
        <f aca="false">(K$3)/(1-J91)-K$3</f>
        <v>0.355330218730091</v>
      </c>
      <c r="L91" s="336"/>
      <c r="M91" s="342" t="n">
        <v>0.0688</v>
      </c>
      <c r="N91" s="338" t="n">
        <f aca="false">(N$6)/(1-M91)-(N$6)</f>
        <v>0.443668384879725</v>
      </c>
      <c r="O91" s="336"/>
      <c r="P91" s="321"/>
      <c r="Q91" s="321"/>
      <c r="R91" s="336"/>
      <c r="S91" s="321"/>
      <c r="T91" s="321"/>
      <c r="U91" s="336"/>
      <c r="V91" s="321"/>
      <c r="W91" s="321"/>
      <c r="X91" s="336"/>
      <c r="Y91" s="356"/>
      <c r="Z91" s="356"/>
      <c r="AH91" s="362" t="s">
        <v>586</v>
      </c>
      <c r="AI91" s="360" t="n">
        <v>0</v>
      </c>
      <c r="AQ91" s="362"/>
      <c r="AR91" s="360"/>
    </row>
    <row r="92" customFormat="false" ht="12.75" hidden="false" customHeight="false" outlineLevel="0" collapsed="false">
      <c r="A92" s="372"/>
      <c r="B92" s="345" t="n">
        <f aca="false">SUM(B89:B91)</f>
        <v>0.144864831804281</v>
      </c>
      <c r="C92" s="339"/>
      <c r="D92" s="330"/>
      <c r="E92" s="346" t="n">
        <f aca="false">SUM(E89:E91)</f>
        <v>0.376307139975796</v>
      </c>
      <c r="F92" s="339"/>
      <c r="G92" s="344"/>
      <c r="H92" s="345" t="n">
        <f aca="false">SUM(H89:H91)</f>
        <v>0.118120645030836</v>
      </c>
      <c r="I92" s="339"/>
      <c r="J92" s="332"/>
      <c r="K92" s="345" t="n">
        <f aca="false">SUM(K89:K91)</f>
        <v>0.387330218730091</v>
      </c>
      <c r="L92" s="339"/>
      <c r="M92" s="333"/>
      <c r="N92" s="346" t="n">
        <f aca="false">SUM(N89:N91)</f>
        <v>0.844468384879725</v>
      </c>
      <c r="O92" s="339"/>
      <c r="P92" s="321"/>
      <c r="Q92" s="321"/>
      <c r="R92" s="339"/>
      <c r="S92" s="321"/>
      <c r="T92" s="321"/>
      <c r="U92" s="339"/>
      <c r="V92" s="321"/>
      <c r="W92" s="321"/>
      <c r="X92" s="339"/>
      <c r="Y92" s="336"/>
      <c r="Z92" s="336"/>
      <c r="AH92" s="25" t="s">
        <v>587</v>
      </c>
      <c r="AI92" s="360" t="n">
        <v>0</v>
      </c>
      <c r="AR92" s="360"/>
    </row>
    <row r="93" customFormat="false" ht="12.75" hidden="false" customHeight="false" outlineLevel="0" collapsed="false">
      <c r="A93" s="373" t="s">
        <v>84</v>
      </c>
      <c r="B93" s="345" t="s">
        <v>644</v>
      </c>
      <c r="C93" s="315"/>
      <c r="D93" s="324" t="s">
        <v>627</v>
      </c>
      <c r="E93" s="346" t="s">
        <v>645</v>
      </c>
      <c r="F93" s="356"/>
      <c r="G93" s="348" t="s">
        <v>486</v>
      </c>
      <c r="H93" s="349" t="s">
        <v>646</v>
      </c>
      <c r="I93" s="339"/>
      <c r="J93" s="323" t="s">
        <v>488</v>
      </c>
      <c r="K93" s="319" t="s">
        <v>647</v>
      </c>
      <c r="L93" s="339"/>
      <c r="M93" s="324" t="s">
        <v>490</v>
      </c>
      <c r="N93" s="346" t="s">
        <v>648</v>
      </c>
      <c r="O93" s="339"/>
      <c r="P93" s="336"/>
      <c r="Q93" s="336"/>
      <c r="R93" s="315"/>
      <c r="S93" s="336"/>
      <c r="T93" s="336"/>
      <c r="U93" s="315"/>
      <c r="V93" s="336"/>
      <c r="W93" s="336"/>
      <c r="X93" s="315"/>
      <c r="Y93" s="339"/>
      <c r="Z93" s="339"/>
      <c r="AH93" s="25" t="s">
        <v>593</v>
      </c>
      <c r="AI93" s="360" t="n">
        <v>0</v>
      </c>
      <c r="AR93" s="360"/>
    </row>
    <row r="94" customFormat="false" ht="12.75" hidden="false" customHeight="false" outlineLevel="0" collapsed="false">
      <c r="A94" s="379" t="s">
        <v>505</v>
      </c>
      <c r="B94" s="371" t="n">
        <v>0.0203</v>
      </c>
      <c r="C94" s="321"/>
      <c r="D94" s="330" t="s">
        <v>505</v>
      </c>
      <c r="E94" s="331" t="n">
        <v>0.3037</v>
      </c>
      <c r="F94" s="356"/>
      <c r="G94" s="328" t="s">
        <v>505</v>
      </c>
      <c r="H94" s="329" t="n">
        <v>0.0834</v>
      </c>
      <c r="I94" s="356"/>
      <c r="J94" s="332" t="s">
        <v>505</v>
      </c>
      <c r="K94" s="329" t="n">
        <v>0.0431</v>
      </c>
      <c r="L94" s="356"/>
      <c r="M94" s="333" t="s">
        <v>505</v>
      </c>
      <c r="N94" s="331" t="n">
        <v>0.2256</v>
      </c>
      <c r="O94" s="356"/>
      <c r="P94" s="375"/>
      <c r="Q94" s="376"/>
      <c r="R94" s="321"/>
      <c r="S94" s="375"/>
      <c r="T94" s="376"/>
      <c r="U94" s="321"/>
      <c r="V94" s="375"/>
      <c r="W94" s="376"/>
      <c r="X94" s="321"/>
      <c r="Y94" s="315"/>
      <c r="Z94" s="315"/>
      <c r="AR94" s="360"/>
    </row>
    <row r="95" customFormat="false" ht="12.75" hidden="false" customHeight="false" outlineLevel="0" collapsed="false">
      <c r="A95" s="378" t="s">
        <v>112</v>
      </c>
      <c r="B95" s="371" t="n">
        <f aca="false">0.0022+0.007+0.0097</f>
        <v>0.0189</v>
      </c>
      <c r="C95" s="321"/>
      <c r="D95" s="330" t="s">
        <v>112</v>
      </c>
      <c r="E95" s="331" t="n">
        <f aca="false">0.007+0.0022+0.0097</f>
        <v>0.0189</v>
      </c>
      <c r="F95" s="336"/>
      <c r="G95" s="328" t="s">
        <v>112</v>
      </c>
      <c r="H95" s="329" t="n">
        <f aca="false">0.0022+0.007</f>
        <v>0.0092</v>
      </c>
      <c r="I95" s="356" t="s">
        <v>1</v>
      </c>
      <c r="J95" s="332" t="s">
        <v>112</v>
      </c>
      <c r="K95" s="329" t="n">
        <f aca="false">0.0022+0.007</f>
        <v>0.0092</v>
      </c>
      <c r="L95" s="356"/>
      <c r="M95" s="333" t="s">
        <v>112</v>
      </c>
      <c r="N95" s="334" t="n">
        <f aca="false">0.0022+0.007</f>
        <v>0.0092</v>
      </c>
      <c r="O95" s="356"/>
      <c r="P95" s="315"/>
      <c r="Q95" s="315"/>
      <c r="R95" s="321"/>
      <c r="S95" s="315"/>
      <c r="T95" s="315"/>
      <c r="U95" s="321"/>
      <c r="V95" s="315"/>
      <c r="W95" s="315"/>
      <c r="X95" s="321"/>
      <c r="Y95" s="321"/>
      <c r="Z95" s="321"/>
      <c r="AH95" s="361" t="n">
        <v>36617</v>
      </c>
      <c r="AQ95" s="361"/>
    </row>
    <row r="96" customFormat="false" ht="12.75" hidden="false" customHeight="false" outlineLevel="0" collapsed="false">
      <c r="A96" s="372" t="s">
        <v>649</v>
      </c>
      <c r="B96" s="337" t="n">
        <f aca="false">(B3)/(1-0.0343)-B3</f>
        <v>0.209913016464741</v>
      </c>
      <c r="C96" s="336"/>
      <c r="D96" s="342" t="n">
        <v>0.0274</v>
      </c>
      <c r="E96" s="338" t="n">
        <f aca="false">(E$7)/(1-D96)-E$7</f>
        <v>0.178609911577215</v>
      </c>
      <c r="F96" s="339"/>
      <c r="G96" s="340" t="n">
        <v>0.0217</v>
      </c>
      <c r="H96" s="377" t="n">
        <f aca="false">(H5)/(1-G96)-H5</f>
        <v>0.138522436880303</v>
      </c>
      <c r="I96" s="336"/>
      <c r="J96" s="340" t="n">
        <v>0.0826</v>
      </c>
      <c r="K96" s="337" t="n">
        <f aca="false">(K$3)/(1-J96)-K$3</f>
        <v>0.517713102245477</v>
      </c>
      <c r="L96" s="336"/>
      <c r="M96" s="342" t="n">
        <v>0.0411</v>
      </c>
      <c r="N96" s="338" t="n">
        <f aca="false">(N$6)/(1-M96)-(N$6)</f>
        <v>0.257383981645636</v>
      </c>
      <c r="O96" s="336"/>
      <c r="P96" s="321"/>
      <c r="Q96" s="321"/>
      <c r="R96" s="336"/>
      <c r="S96" s="321"/>
      <c r="T96" s="321"/>
      <c r="U96" s="336"/>
      <c r="V96" s="321"/>
      <c r="W96" s="321"/>
      <c r="X96" s="336"/>
      <c r="Y96" s="321"/>
      <c r="Z96" s="321"/>
      <c r="AH96" s="362" t="s">
        <v>586</v>
      </c>
      <c r="AI96" s="360" t="n">
        <v>0.004</v>
      </c>
      <c r="AQ96" s="362"/>
      <c r="AR96" s="360"/>
    </row>
    <row r="97" customFormat="false" ht="12.75" hidden="false" customHeight="false" outlineLevel="0" collapsed="false">
      <c r="A97" s="372"/>
      <c r="B97" s="345" t="n">
        <f aca="false">SUM(B94:B96)</f>
        <v>0.249113016464741</v>
      </c>
      <c r="C97" s="339"/>
      <c r="D97" s="330"/>
      <c r="E97" s="346" t="n">
        <f aca="false">SUM(E94:E96)</f>
        <v>0.501209911577215</v>
      </c>
      <c r="F97" s="315"/>
      <c r="G97" s="344"/>
      <c r="H97" s="345" t="n">
        <f aca="false">SUM(H94:H96)</f>
        <v>0.231122436880303</v>
      </c>
      <c r="I97" s="339"/>
      <c r="J97" s="332"/>
      <c r="K97" s="345" t="n">
        <f aca="false">SUM(K94:K96)</f>
        <v>0.570013102245477</v>
      </c>
      <c r="L97" s="339"/>
      <c r="M97" s="333"/>
      <c r="N97" s="346" t="n">
        <f aca="false">SUM(N94:N96)</f>
        <v>0.492183981645636</v>
      </c>
      <c r="O97" s="339"/>
      <c r="P97" s="321"/>
      <c r="Q97" s="321"/>
      <c r="R97" s="339"/>
      <c r="S97" s="321"/>
      <c r="T97" s="321"/>
      <c r="U97" s="339"/>
      <c r="V97" s="321"/>
      <c r="W97" s="321"/>
      <c r="X97" s="339"/>
      <c r="Y97" s="336"/>
      <c r="Z97" s="336"/>
      <c r="AH97" s="25" t="s">
        <v>587</v>
      </c>
      <c r="AI97" s="360" t="n">
        <v>0.008</v>
      </c>
      <c r="AR97" s="360"/>
    </row>
    <row r="98" customFormat="false" ht="12.75" hidden="false" customHeight="false" outlineLevel="0" collapsed="false">
      <c r="A98" s="373" t="s">
        <v>84</v>
      </c>
      <c r="B98" s="345" t="s">
        <v>650</v>
      </c>
      <c r="C98" s="339"/>
      <c r="D98" s="324" t="s">
        <v>627</v>
      </c>
      <c r="E98" s="346" t="s">
        <v>651</v>
      </c>
      <c r="F98" s="321"/>
      <c r="G98" s="348" t="s">
        <v>486</v>
      </c>
      <c r="H98" s="359" t="s">
        <v>652</v>
      </c>
      <c r="I98" s="315"/>
      <c r="J98" s="323" t="s">
        <v>488</v>
      </c>
      <c r="K98" s="319" t="s">
        <v>653</v>
      </c>
      <c r="L98" s="315"/>
      <c r="M98" s="324" t="s">
        <v>490</v>
      </c>
      <c r="N98" s="346" t="s">
        <v>654</v>
      </c>
      <c r="O98" s="315"/>
      <c r="P98" s="336"/>
      <c r="Q98" s="336"/>
      <c r="R98" s="339"/>
      <c r="S98" s="336"/>
      <c r="T98" s="336"/>
      <c r="U98" s="339"/>
      <c r="V98" s="336"/>
      <c r="W98" s="336"/>
      <c r="X98" s="339"/>
      <c r="Y98" s="339"/>
      <c r="Z98" s="339"/>
      <c r="AH98" s="25" t="s">
        <v>593</v>
      </c>
      <c r="AI98" s="360" t="n">
        <v>0.004</v>
      </c>
      <c r="AR98" s="360"/>
    </row>
    <row r="99" customFormat="false" ht="12.75" hidden="false" customHeight="false" outlineLevel="0" collapsed="false">
      <c r="A99" s="379" t="s">
        <v>505</v>
      </c>
      <c r="B99" s="371" t="n">
        <v>0.0249</v>
      </c>
      <c r="C99" s="356"/>
      <c r="D99" s="330" t="s">
        <v>505</v>
      </c>
      <c r="E99" s="331" t="n">
        <v>0.3037</v>
      </c>
      <c r="F99" s="321"/>
      <c r="G99" s="344" t="s">
        <v>505</v>
      </c>
      <c r="H99" s="329" t="n">
        <v>0.0427</v>
      </c>
      <c r="I99" s="321"/>
      <c r="J99" s="332" t="s">
        <v>505</v>
      </c>
      <c r="K99" s="329" t="n">
        <v>0.057</v>
      </c>
      <c r="L99" s="321"/>
      <c r="M99" s="333" t="s">
        <v>505</v>
      </c>
      <c r="N99" s="331" t="n">
        <v>0.3273</v>
      </c>
      <c r="O99" s="321"/>
      <c r="P99" s="339"/>
      <c r="Q99" s="339"/>
      <c r="R99" s="356"/>
      <c r="S99" s="339"/>
      <c r="T99" s="339"/>
      <c r="U99" s="356"/>
      <c r="V99" s="339"/>
      <c r="W99" s="339"/>
      <c r="X99" s="356"/>
      <c r="AI99" s="360"/>
      <c r="AR99" s="360"/>
    </row>
    <row r="100" customFormat="false" ht="12.75" hidden="false" customHeight="false" outlineLevel="0" collapsed="false">
      <c r="A100" s="378" t="s">
        <v>112</v>
      </c>
      <c r="B100" s="371" t="n">
        <f aca="false">0.0022+0.007+0.0097</f>
        <v>0.0189</v>
      </c>
      <c r="C100" s="356"/>
      <c r="D100" s="330" t="s">
        <v>112</v>
      </c>
      <c r="E100" s="331" t="n">
        <f aca="false">0.007+0.0022+0.0097</f>
        <v>0.0189</v>
      </c>
      <c r="F100" s="321"/>
      <c r="G100" s="344" t="s">
        <v>112</v>
      </c>
      <c r="H100" s="329" t="n">
        <f aca="false">0.0022+0.007</f>
        <v>0.0092</v>
      </c>
      <c r="I100" s="321"/>
      <c r="J100" s="332" t="s">
        <v>112</v>
      </c>
      <c r="K100" s="329" t="n">
        <f aca="false">0.0022+0.007</f>
        <v>0.0092</v>
      </c>
      <c r="L100" s="321"/>
      <c r="M100" s="333" t="s">
        <v>112</v>
      </c>
      <c r="N100" s="334" t="n">
        <f aca="false">0.0022+0.007</f>
        <v>0.0092</v>
      </c>
      <c r="O100" s="321"/>
      <c r="P100" s="315"/>
      <c r="Q100" s="315"/>
      <c r="R100" s="356"/>
      <c r="S100" s="315"/>
      <c r="T100" s="315"/>
      <c r="U100" s="356"/>
      <c r="V100" s="315"/>
      <c r="W100" s="315"/>
      <c r="X100" s="356"/>
      <c r="Y100" s="315"/>
      <c r="Z100" s="315"/>
      <c r="AH100" s="361" t="n">
        <v>36586</v>
      </c>
      <c r="AQ100" s="361"/>
    </row>
    <row r="101" customFormat="false" ht="12.75" hidden="false" customHeight="false" outlineLevel="0" collapsed="false">
      <c r="A101" s="372" t="s">
        <v>655</v>
      </c>
      <c r="B101" s="337" t="n">
        <f aca="false">(B3)/(1-0.0427)-B3</f>
        <v>0.26361328737073</v>
      </c>
      <c r="C101" s="356"/>
      <c r="D101" s="342" t="n">
        <v>0.019</v>
      </c>
      <c r="E101" s="338" t="n">
        <f aca="false">(E$7)/(1-D101)-E$7</f>
        <v>0.122793068297655</v>
      </c>
      <c r="F101" s="336"/>
      <c r="G101" s="340" t="n">
        <v>0.0128</v>
      </c>
      <c r="H101" s="341" t="n">
        <f aca="false">(+H5)/(1-G101)-H5</f>
        <v>0.0809724473257703</v>
      </c>
      <c r="I101" s="321"/>
      <c r="J101" s="340" t="n">
        <v>0.0986</v>
      </c>
      <c r="K101" s="337" t="n">
        <f aca="false">(K$3)/(1-J101)-K$3</f>
        <v>0.628966052806745</v>
      </c>
      <c r="L101" s="321"/>
      <c r="M101" s="342" t="n">
        <v>0.0575</v>
      </c>
      <c r="N101" s="338" t="n">
        <f aca="false">(N$6)/(1-M101)-(N$6)</f>
        <v>0.366352785145889</v>
      </c>
      <c r="O101" s="321"/>
      <c r="P101" s="321"/>
      <c r="Q101" s="321"/>
      <c r="R101" s="356"/>
      <c r="S101" s="321"/>
      <c r="T101" s="321"/>
      <c r="U101" s="356"/>
      <c r="V101" s="321"/>
      <c r="W101" s="321"/>
      <c r="X101" s="356"/>
      <c r="Y101" s="321"/>
      <c r="Z101" s="321"/>
      <c r="AH101" s="362" t="s">
        <v>586</v>
      </c>
      <c r="AI101" s="360" t="n">
        <v>0.005</v>
      </c>
      <c r="AQ101" s="362"/>
      <c r="AR101" s="360"/>
    </row>
    <row r="102" customFormat="false" ht="12.75" hidden="false" customHeight="false" outlineLevel="0" collapsed="false">
      <c r="A102" s="372"/>
      <c r="B102" s="345" t="n">
        <f aca="false">SUM(B99:B101)</f>
        <v>0.30741328737073</v>
      </c>
      <c r="C102" s="336"/>
      <c r="D102" s="330"/>
      <c r="E102" s="346" t="n">
        <f aca="false">SUM(E99:E101)</f>
        <v>0.445393068297655</v>
      </c>
      <c r="F102" s="339"/>
      <c r="G102" s="344"/>
      <c r="H102" s="345" t="n">
        <f aca="false">SUM(H99:H101)</f>
        <v>0.13287244732577</v>
      </c>
      <c r="I102" s="336"/>
      <c r="J102" s="332"/>
      <c r="K102" s="345" t="n">
        <f aca="false">SUM(K99:K101)</f>
        <v>0.695166052806745</v>
      </c>
      <c r="L102" s="336"/>
      <c r="M102" s="333"/>
      <c r="N102" s="346" t="n">
        <f aca="false">SUM(N99:N101)</f>
        <v>0.702852785145889</v>
      </c>
      <c r="O102" s="336"/>
      <c r="P102" s="321" t="n">
        <f aca="false">+'Offseason Rate'!B102+'Offseason Rate'!B3</f>
        <v>4.86629255286856</v>
      </c>
      <c r="Q102" s="321" t="n">
        <f aca="false">+P102*0.6</f>
        <v>2.91977553172114</v>
      </c>
      <c r="R102" s="336"/>
      <c r="S102" s="321" t="n">
        <f aca="false">+'Offseason Rate'!E102+'Offseason Rate'!E3</f>
        <v>4.99812804416062</v>
      </c>
      <c r="T102" s="321" t="n">
        <f aca="false">+S102*0.6</f>
        <v>2.99887682649637</v>
      </c>
      <c r="U102" s="336"/>
      <c r="V102" s="321"/>
      <c r="W102" s="321"/>
      <c r="X102" s="336"/>
      <c r="Y102" s="321"/>
      <c r="Z102" s="321"/>
      <c r="AH102" s="25" t="s">
        <v>587</v>
      </c>
      <c r="AI102" s="360" t="n">
        <v>0.01</v>
      </c>
      <c r="AR102" s="360"/>
    </row>
    <row r="103" customFormat="false" ht="12.75" hidden="false" customHeight="false" outlineLevel="0" collapsed="false">
      <c r="A103" s="373" t="s">
        <v>84</v>
      </c>
      <c r="B103" s="345" t="s">
        <v>656</v>
      </c>
      <c r="C103" s="339"/>
      <c r="D103" s="324"/>
      <c r="E103" s="346"/>
      <c r="G103" s="380" t="s">
        <v>657</v>
      </c>
      <c r="H103" s="359" t="s">
        <v>658</v>
      </c>
      <c r="I103" s="339"/>
      <c r="J103" s="323" t="s">
        <v>488</v>
      </c>
      <c r="K103" s="319" t="s">
        <v>611</v>
      </c>
      <c r="L103" s="339"/>
      <c r="M103" s="324" t="s">
        <v>490</v>
      </c>
      <c r="N103" s="346" t="s">
        <v>659</v>
      </c>
      <c r="O103" s="339"/>
      <c r="P103" s="336"/>
      <c r="Q103" s="336"/>
      <c r="R103" s="339"/>
      <c r="S103" s="336"/>
      <c r="T103" s="336"/>
      <c r="U103" s="339"/>
      <c r="V103" s="336"/>
      <c r="W103" s="336"/>
      <c r="X103" s="339"/>
      <c r="Y103" s="336"/>
      <c r="Z103" s="336"/>
      <c r="AH103" s="25" t="s">
        <v>593</v>
      </c>
      <c r="AI103" s="360" t="n">
        <v>0.005</v>
      </c>
      <c r="AR103" s="360"/>
    </row>
    <row r="104" customFormat="false" ht="12.75" hidden="false" customHeight="false" outlineLevel="0" collapsed="false">
      <c r="A104" s="374" t="s">
        <v>505</v>
      </c>
      <c r="B104" s="371" t="n">
        <v>0.0034</v>
      </c>
      <c r="C104" s="315"/>
      <c r="D104" s="330"/>
      <c r="E104" s="331"/>
      <c r="F104" s="315"/>
      <c r="G104" s="344" t="s">
        <v>505</v>
      </c>
      <c r="H104" s="329" t="n">
        <v>0.0427</v>
      </c>
      <c r="J104" s="332" t="s">
        <v>505</v>
      </c>
      <c r="K104" s="329" t="n">
        <v>0.0087</v>
      </c>
      <c r="M104" s="333" t="s">
        <v>505</v>
      </c>
      <c r="N104" s="331" t="n">
        <v>0.1806</v>
      </c>
      <c r="P104" s="339"/>
      <c r="Q104" s="339"/>
      <c r="R104" s="315"/>
      <c r="S104" s="339"/>
      <c r="T104" s="339"/>
      <c r="U104" s="315"/>
      <c r="V104" s="339"/>
      <c r="W104" s="339"/>
      <c r="X104" s="315"/>
      <c r="Y104" s="339"/>
      <c r="Z104" s="339"/>
      <c r="AI104" s="360"/>
      <c r="AR104" s="360"/>
    </row>
    <row r="105" customFormat="false" ht="12.75" hidden="false" customHeight="false" outlineLevel="0" collapsed="false">
      <c r="A105" s="378" t="s">
        <v>112</v>
      </c>
      <c r="B105" s="371" t="n">
        <v>0</v>
      </c>
      <c r="C105" s="321"/>
      <c r="D105" s="330"/>
      <c r="E105" s="331"/>
      <c r="F105" s="321"/>
      <c r="G105" s="344" t="s">
        <v>112</v>
      </c>
      <c r="H105" s="329" t="n">
        <f aca="false">0.0022+0.007</f>
        <v>0.0092</v>
      </c>
      <c r="I105" s="315"/>
      <c r="J105" s="332" t="s">
        <v>112</v>
      </c>
      <c r="K105" s="329" t="n">
        <f aca="false">0.0022+0.007</f>
        <v>0.0092</v>
      </c>
      <c r="L105" s="315"/>
      <c r="M105" s="333" t="s">
        <v>112</v>
      </c>
      <c r="N105" s="334" t="n">
        <f aca="false">0.0022+0.007</f>
        <v>0.0092</v>
      </c>
      <c r="O105" s="315"/>
      <c r="P105" s="339"/>
      <c r="Q105" s="339"/>
      <c r="R105" s="321"/>
      <c r="S105" s="339"/>
      <c r="T105" s="339"/>
      <c r="U105" s="321"/>
      <c r="V105" s="339"/>
      <c r="W105" s="339"/>
      <c r="X105" s="321"/>
      <c r="Y105" s="315"/>
      <c r="Z105" s="315"/>
      <c r="AH105" s="361" t="n">
        <v>36465</v>
      </c>
      <c r="AQ105" s="361"/>
    </row>
    <row r="106" customFormat="false" ht="12.75" hidden="false" customHeight="false" outlineLevel="0" collapsed="false">
      <c r="A106" s="372" t="s">
        <v>625</v>
      </c>
      <c r="B106" s="337" t="n">
        <f aca="false">(B3-0.09)/(1-0.0059)-(B3-0.09)</f>
        <v>0.0345417965999397</v>
      </c>
      <c r="C106" s="321"/>
      <c r="D106" s="330"/>
      <c r="E106" s="338"/>
      <c r="F106" s="321"/>
      <c r="G106" s="344" t="s">
        <v>660</v>
      </c>
      <c r="H106" s="337" t="n">
        <f aca="false">(+H5)/(1-0.005)-H5</f>
        <v>0.031381909547739</v>
      </c>
      <c r="I106" s="321"/>
      <c r="J106" s="340" t="n">
        <v>0.0298</v>
      </c>
      <c r="K106" s="337" t="n">
        <f aca="false">(K$3)/(1-J106)-K$3</f>
        <v>0.176613069470212</v>
      </c>
      <c r="L106" s="321"/>
      <c r="M106" s="342" t="n">
        <v>0.0333</v>
      </c>
      <c r="N106" s="338" t="n">
        <f aca="false">(N$7)/(1-M106)-N$7</f>
        <v>0.218911244439847</v>
      </c>
      <c r="O106" s="321"/>
      <c r="P106" s="356"/>
      <c r="Q106" s="356"/>
      <c r="R106" s="321"/>
      <c r="S106" s="356"/>
      <c r="T106" s="356"/>
      <c r="U106" s="321"/>
      <c r="V106" s="356"/>
      <c r="W106" s="356"/>
      <c r="X106" s="321"/>
      <c r="Y106" s="321"/>
      <c r="Z106" s="321"/>
      <c r="AH106" s="362" t="s">
        <v>586</v>
      </c>
      <c r="AI106" s="360" t="n">
        <v>0</v>
      </c>
      <c r="AQ106" s="362"/>
      <c r="AR106" s="360"/>
    </row>
    <row r="107" customFormat="false" ht="12.75" hidden="false" customHeight="false" outlineLevel="0" collapsed="false">
      <c r="A107" s="372"/>
      <c r="B107" s="345" t="n">
        <f aca="false">SUM(B104:B106)</f>
        <v>0.0379417965999397</v>
      </c>
      <c r="C107" s="336"/>
      <c r="D107" s="330"/>
      <c r="E107" s="346"/>
      <c r="F107" s="336"/>
      <c r="G107" s="344"/>
      <c r="H107" s="345" t="n">
        <f aca="false">SUM(H104:H106)</f>
        <v>0.083281909547739</v>
      </c>
      <c r="I107" s="321"/>
      <c r="J107" s="332"/>
      <c r="K107" s="345" t="n">
        <f aca="false">SUM(K104:K106)</f>
        <v>0.194513069470212</v>
      </c>
      <c r="L107" s="321"/>
      <c r="M107" s="333"/>
      <c r="N107" s="346" t="n">
        <f aca="false">SUM(N104:N106)</f>
        <v>0.408711244439847</v>
      </c>
      <c r="O107" s="321"/>
      <c r="P107" s="356" t="n">
        <f aca="false">+'Offseason Rate'!B107+'Offseason Rate'!B3</f>
        <v>4.8322256281407</v>
      </c>
      <c r="Q107" s="356" t="n">
        <f aca="false">+P107*0.4</f>
        <v>1.93289025125628</v>
      </c>
      <c r="R107" s="336"/>
      <c r="S107" s="356" t="n">
        <f aca="false">+'Offseason Rate'!E107+'Offseason Rate'!E3</f>
        <v>5.10078554429264</v>
      </c>
      <c r="T107" s="356" t="n">
        <f aca="false">+S107*0.4</f>
        <v>2.04031421771706</v>
      </c>
      <c r="U107" s="336"/>
      <c r="V107" s="356"/>
      <c r="W107" s="356"/>
      <c r="X107" s="336"/>
      <c r="Y107" s="321"/>
      <c r="Z107" s="321"/>
      <c r="AH107" s="25" t="s">
        <v>587</v>
      </c>
      <c r="AI107" s="360" t="n">
        <v>0.007</v>
      </c>
      <c r="AR107" s="360"/>
    </row>
    <row r="108" customFormat="false" ht="12.75" hidden="false" customHeight="false" outlineLevel="0" collapsed="false">
      <c r="A108" s="373" t="s">
        <v>84</v>
      </c>
      <c r="B108" s="345" t="s">
        <v>661</v>
      </c>
      <c r="C108" s="339"/>
      <c r="F108" s="339"/>
      <c r="G108" s="348" t="s">
        <v>486</v>
      </c>
      <c r="H108" s="359" t="s">
        <v>662</v>
      </c>
      <c r="I108" s="336"/>
      <c r="J108" s="323" t="s">
        <v>488</v>
      </c>
      <c r="K108" s="319" t="s">
        <v>618</v>
      </c>
      <c r="L108" s="336"/>
      <c r="M108" s="381"/>
      <c r="N108" s="339"/>
      <c r="O108" s="336"/>
      <c r="P108" s="356"/>
      <c r="Q108" s="356" t="n">
        <f aca="false">SUM(Q102:Q107)</f>
        <v>4.85266578297742</v>
      </c>
      <c r="R108" s="339"/>
      <c r="S108" s="356"/>
      <c r="T108" s="356" t="n">
        <f aca="false">SUM(T102:T107)</f>
        <v>5.03919104421343</v>
      </c>
      <c r="U108" s="339"/>
      <c r="V108" s="356"/>
      <c r="W108" s="356"/>
      <c r="X108" s="339"/>
      <c r="Y108" s="336"/>
      <c r="Z108" s="336"/>
      <c r="AH108" s="25" t="s">
        <v>593</v>
      </c>
      <c r="AI108" s="360" t="n">
        <v>0</v>
      </c>
      <c r="AR108" s="360"/>
    </row>
    <row r="109" customFormat="false" ht="12.75" hidden="false" customHeight="false" outlineLevel="0" collapsed="false">
      <c r="A109" s="379" t="s">
        <v>505</v>
      </c>
      <c r="B109" s="371" t="n">
        <v>0.0092</v>
      </c>
      <c r="F109" s="315"/>
      <c r="G109" s="344" t="s">
        <v>505</v>
      </c>
      <c r="H109" s="329" t="n">
        <v>0.0765</v>
      </c>
      <c r="I109" s="339"/>
      <c r="J109" s="332" t="s">
        <v>505</v>
      </c>
      <c r="K109" s="329" t="n">
        <v>0.0228</v>
      </c>
      <c r="L109" s="339"/>
      <c r="M109" s="321"/>
      <c r="N109" s="356"/>
      <c r="O109" s="339"/>
      <c r="P109" s="336"/>
      <c r="Q109" s="336"/>
      <c r="S109" s="336"/>
      <c r="T109" s="336"/>
      <c r="V109" s="336"/>
      <c r="W109" s="336"/>
      <c r="Y109" s="339"/>
      <c r="Z109" s="339"/>
      <c r="AI109" s="360"/>
      <c r="AR109" s="360"/>
    </row>
    <row r="110" customFormat="false" ht="12.75" hidden="false" customHeight="false" outlineLevel="0" collapsed="false">
      <c r="A110" s="378" t="s">
        <v>112</v>
      </c>
      <c r="B110" s="371" t="n">
        <f aca="false">0.0022+0.007+0.0097</f>
        <v>0.0189</v>
      </c>
      <c r="C110" s="315"/>
      <c r="F110" s="321"/>
      <c r="G110" s="344" t="s">
        <v>112</v>
      </c>
      <c r="H110" s="329" t="n">
        <f aca="false">0.0022+0.007</f>
        <v>0.0092</v>
      </c>
      <c r="I110" s="315"/>
      <c r="J110" s="332" t="s">
        <v>112</v>
      </c>
      <c r="K110" s="329" t="n">
        <f aca="false">0.0022+0.007</f>
        <v>0.0092</v>
      </c>
      <c r="L110" s="315"/>
      <c r="M110" s="321"/>
      <c r="N110" s="321"/>
      <c r="O110" s="315"/>
      <c r="P110" s="339"/>
      <c r="Q110" s="339"/>
      <c r="R110" s="315"/>
      <c r="S110" s="339"/>
      <c r="T110" s="339"/>
      <c r="U110" s="315"/>
      <c r="V110" s="339"/>
      <c r="W110" s="339"/>
      <c r="X110" s="315"/>
      <c r="AH110" s="361" t="n">
        <v>36434</v>
      </c>
      <c r="AQ110" s="361"/>
    </row>
    <row r="111" customFormat="false" ht="12.75" hidden="false" customHeight="false" outlineLevel="0" collapsed="false">
      <c r="A111" s="372" t="s">
        <v>663</v>
      </c>
      <c r="B111" s="337" t="n">
        <f aca="false">B7/(1-0.0153)-B7</f>
        <v>0.098509190616431</v>
      </c>
      <c r="C111" s="321"/>
      <c r="F111" s="321"/>
      <c r="G111" s="382" t="n">
        <v>0.0209</v>
      </c>
      <c r="H111" s="337" t="n">
        <f aca="false">(+H5)/(1-G111)-H5</f>
        <v>0.133306608109488</v>
      </c>
      <c r="I111" s="321"/>
      <c r="J111" s="340" t="n">
        <v>0.0582</v>
      </c>
      <c r="K111" s="337" t="n">
        <f aca="false">(K$3)/(1-J111)-K$3</f>
        <v>0.355330218730091</v>
      </c>
      <c r="L111" s="321"/>
      <c r="M111" s="321"/>
      <c r="N111" s="336"/>
      <c r="O111" s="321"/>
      <c r="P111" s="315"/>
      <c r="Q111" s="315"/>
      <c r="R111" s="321"/>
      <c r="S111" s="315"/>
      <c r="T111" s="315"/>
      <c r="U111" s="321"/>
      <c r="V111" s="315"/>
      <c r="W111" s="315"/>
      <c r="X111" s="321"/>
      <c r="AH111" s="362" t="s">
        <v>586</v>
      </c>
      <c r="AI111" s="360" t="n">
        <v>0</v>
      </c>
      <c r="AQ111" s="362"/>
      <c r="AR111" s="360"/>
    </row>
    <row r="112" customFormat="false" ht="12.75" hidden="false" customHeight="false" outlineLevel="0" collapsed="false">
      <c r="A112" s="372"/>
      <c r="B112" s="345" t="n">
        <f aca="false">SUM(B109:B111)</f>
        <v>0.126609190616431</v>
      </c>
      <c r="C112" s="321"/>
      <c r="F112" s="336"/>
      <c r="G112" s="344"/>
      <c r="H112" s="345" t="n">
        <f aca="false">SUM(H109:H111)</f>
        <v>0.219006608109488</v>
      </c>
      <c r="I112" s="321"/>
      <c r="J112" s="332"/>
      <c r="K112" s="345" t="n">
        <f aca="false">SUM(K109:K111)</f>
        <v>0.387330218730091</v>
      </c>
      <c r="L112" s="321"/>
      <c r="M112" s="321"/>
      <c r="N112" s="339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AH112" s="25" t="s">
        <v>587</v>
      </c>
      <c r="AI112" s="360" t="n">
        <v>0.007</v>
      </c>
      <c r="AR112" s="360"/>
    </row>
    <row r="113" customFormat="false" ht="12.75" hidden="false" customHeight="false" outlineLevel="0" collapsed="false">
      <c r="A113" s="373" t="s">
        <v>84</v>
      </c>
      <c r="B113" s="345" t="s">
        <v>664</v>
      </c>
      <c r="C113" s="336"/>
      <c r="F113" s="339"/>
      <c r="G113" s="348" t="s">
        <v>486</v>
      </c>
      <c r="H113" s="359" t="s">
        <v>665</v>
      </c>
      <c r="I113" s="336"/>
      <c r="J113" s="323" t="s">
        <v>488</v>
      </c>
      <c r="K113" s="319" t="s">
        <v>624</v>
      </c>
      <c r="L113" s="336"/>
      <c r="M113" s="321"/>
      <c r="N113" s="321"/>
      <c r="O113" s="336"/>
      <c r="P113" s="321"/>
      <c r="Q113" s="321"/>
      <c r="R113" s="336"/>
      <c r="S113" s="321"/>
      <c r="T113" s="321"/>
      <c r="U113" s="336"/>
      <c r="V113" s="321"/>
      <c r="W113" s="321"/>
      <c r="X113" s="336"/>
      <c r="AH113" s="25" t="s">
        <v>593</v>
      </c>
      <c r="AI113" s="360" t="n">
        <v>0</v>
      </c>
      <c r="AR113" s="360"/>
    </row>
    <row r="114" customFormat="false" ht="12.75" hidden="false" customHeight="false" outlineLevel="0" collapsed="false">
      <c r="A114" s="379" t="s">
        <v>505</v>
      </c>
      <c r="B114" s="371" t="n">
        <v>0.0138</v>
      </c>
      <c r="C114" s="339"/>
      <c r="G114" s="344" t="s">
        <v>505</v>
      </c>
      <c r="H114" s="329" t="n">
        <v>0.3192</v>
      </c>
      <c r="I114" s="339"/>
      <c r="J114" s="332" t="s">
        <v>505</v>
      </c>
      <c r="K114" s="329" t="n">
        <v>0.0431</v>
      </c>
      <c r="L114" s="339"/>
      <c r="M114" s="321"/>
      <c r="N114" s="321"/>
      <c r="O114" s="339"/>
      <c r="P114" s="336"/>
      <c r="Q114" s="336"/>
      <c r="R114" s="339"/>
      <c r="S114" s="336"/>
      <c r="T114" s="336"/>
      <c r="U114" s="339"/>
      <c r="V114" s="336"/>
      <c r="W114" s="336"/>
      <c r="X114" s="339"/>
      <c r="AI114" s="360"/>
    </row>
    <row r="115" customFormat="false" ht="12.75" hidden="false" customHeight="false" outlineLevel="0" collapsed="false">
      <c r="A115" s="378" t="s">
        <v>112</v>
      </c>
      <c r="B115" s="371" t="n">
        <f aca="false">0.0022+0.007+0.0097</f>
        <v>0.0189</v>
      </c>
      <c r="C115" s="315"/>
      <c r="G115" s="344" t="s">
        <v>112</v>
      </c>
      <c r="H115" s="329" t="n">
        <f aca="false">0.0022+0.007</f>
        <v>0.0092</v>
      </c>
      <c r="J115" s="332" t="s">
        <v>112</v>
      </c>
      <c r="K115" s="329" t="n">
        <f aca="false">0.0022+0.007</f>
        <v>0.0092</v>
      </c>
      <c r="M115" s="336"/>
      <c r="N115" s="336"/>
      <c r="P115" s="339"/>
      <c r="Q115" s="339"/>
      <c r="R115" s="315"/>
      <c r="S115" s="339"/>
      <c r="T115" s="339"/>
      <c r="U115" s="315"/>
      <c r="V115" s="339"/>
      <c r="W115" s="339"/>
      <c r="X115" s="315"/>
      <c r="AH115" s="361" t="n">
        <v>36404</v>
      </c>
      <c r="AQ115" s="361"/>
    </row>
    <row r="116" customFormat="false" ht="12.75" hidden="false" customHeight="false" outlineLevel="0" collapsed="false">
      <c r="A116" s="372" t="s">
        <v>666</v>
      </c>
      <c r="B116" s="337" t="n">
        <f aca="false">B7/(1-0.0237)-B7</f>
        <v>0.153905561815016</v>
      </c>
      <c r="C116" s="321"/>
      <c r="G116" s="383" t="n">
        <v>0.025</v>
      </c>
      <c r="H116" s="337" t="n">
        <f aca="false">(+H$5)/(1-G116)-H$5</f>
        <v>0.160128205128205</v>
      </c>
      <c r="J116" s="340" t="n">
        <v>0.0826</v>
      </c>
      <c r="K116" s="337" t="n">
        <f aca="false">(K$3)/(1-J116)-K$3</f>
        <v>0.517713102245477</v>
      </c>
      <c r="M116" s="339"/>
      <c r="N116" s="339"/>
      <c r="R116" s="321"/>
      <c r="U116" s="321"/>
      <c r="X116" s="321"/>
      <c r="AH116" s="362" t="s">
        <v>586</v>
      </c>
      <c r="AI116" s="360" t="n">
        <v>0</v>
      </c>
      <c r="AQ116" s="362"/>
      <c r="AR116" s="360"/>
    </row>
    <row r="117" customFormat="false" ht="12.75" hidden="false" customHeight="false" outlineLevel="0" collapsed="false">
      <c r="A117" s="372"/>
      <c r="B117" s="345" t="n">
        <f aca="false">SUM(B114:B116)</f>
        <v>0.186605561815016</v>
      </c>
      <c r="C117" s="321"/>
      <c r="G117" s="344"/>
      <c r="H117" s="345" t="n">
        <f aca="false">SUM(H114:H116)</f>
        <v>0.488528205128205</v>
      </c>
      <c r="J117" s="332"/>
      <c r="K117" s="345" t="n">
        <f aca="false">SUM(K114:K116)</f>
        <v>0.570013102245477</v>
      </c>
      <c r="M117" s="315"/>
      <c r="N117" s="315"/>
      <c r="P117" s="315"/>
      <c r="Q117" s="315"/>
      <c r="R117" s="321"/>
      <c r="S117" s="315"/>
      <c r="T117" s="315"/>
      <c r="U117" s="321"/>
      <c r="V117" s="315"/>
      <c r="W117" s="315"/>
      <c r="X117" s="321"/>
      <c r="AH117" s="25" t="s">
        <v>587</v>
      </c>
      <c r="AI117" s="360" t="n">
        <v>0.004</v>
      </c>
      <c r="AR117" s="360"/>
    </row>
    <row r="118" customFormat="false" ht="12.75" hidden="false" customHeight="false" outlineLevel="0" collapsed="false">
      <c r="A118" s="373" t="s">
        <v>84</v>
      </c>
      <c r="B118" s="345" t="s">
        <v>667</v>
      </c>
      <c r="C118" s="336"/>
      <c r="G118" s="348" t="s">
        <v>486</v>
      </c>
      <c r="H118" s="359" t="s">
        <v>668</v>
      </c>
      <c r="J118" s="323" t="s">
        <v>488</v>
      </c>
      <c r="K118" s="319" t="s">
        <v>631</v>
      </c>
      <c r="M118" s="321"/>
      <c r="N118" s="321"/>
      <c r="P118" s="321"/>
      <c r="Q118" s="321"/>
      <c r="R118" s="336"/>
      <c r="S118" s="321"/>
      <c r="T118" s="321"/>
      <c r="U118" s="336"/>
      <c r="V118" s="321"/>
      <c r="W118" s="321"/>
      <c r="X118" s="336"/>
      <c r="AH118" s="25" t="s">
        <v>593</v>
      </c>
      <c r="AI118" s="360" t="n">
        <v>0</v>
      </c>
      <c r="AR118" s="360"/>
    </row>
    <row r="119" customFormat="false" ht="12.75" hidden="false" customHeight="false" outlineLevel="0" collapsed="false">
      <c r="A119" s="374" t="s">
        <v>505</v>
      </c>
      <c r="B119" s="371" t="n">
        <v>0.005</v>
      </c>
      <c r="C119" s="339"/>
      <c r="G119" s="344" t="s">
        <v>505</v>
      </c>
      <c r="H119" s="329" t="n">
        <v>0.0765</v>
      </c>
      <c r="J119" s="332" t="s">
        <v>505</v>
      </c>
      <c r="K119" s="329" t="n">
        <v>0.057</v>
      </c>
      <c r="M119" s="321"/>
      <c r="N119" s="321"/>
      <c r="P119" s="321"/>
      <c r="Q119" s="321"/>
      <c r="R119" s="339"/>
      <c r="S119" s="321"/>
      <c r="T119" s="321"/>
      <c r="U119" s="339"/>
      <c r="V119" s="321"/>
      <c r="W119" s="321"/>
      <c r="X119" s="339"/>
      <c r="AI119" s="360"/>
    </row>
    <row r="120" customFormat="false" ht="12.75" hidden="false" customHeight="false" outlineLevel="0" collapsed="false">
      <c r="A120" s="378" t="s">
        <v>112</v>
      </c>
      <c r="B120" s="371" t="n">
        <f aca="false">0.0022+0.007+0.0097</f>
        <v>0.0189</v>
      </c>
      <c r="G120" s="344" t="s">
        <v>112</v>
      </c>
      <c r="H120" s="329" t="n">
        <f aca="false">0.0022+0.007</f>
        <v>0.0092</v>
      </c>
      <c r="J120" s="332" t="s">
        <v>112</v>
      </c>
      <c r="K120" s="329" t="n">
        <f aca="false">0.0022+0.007</f>
        <v>0.0092</v>
      </c>
      <c r="M120" s="336"/>
      <c r="N120" s="336"/>
      <c r="P120" s="336"/>
      <c r="Q120" s="336"/>
      <c r="S120" s="336"/>
      <c r="T120" s="336"/>
      <c r="V120" s="336"/>
      <c r="W120" s="336"/>
      <c r="AH120" s="361" t="n">
        <v>36312</v>
      </c>
      <c r="AQ120" s="361"/>
    </row>
    <row r="121" customFormat="false" ht="12.75" hidden="false" customHeight="false" outlineLevel="0" collapsed="false">
      <c r="A121" s="383" t="n">
        <v>0.0084</v>
      </c>
      <c r="B121" s="337" t="n">
        <f aca="false">B$7/(1-A121)-B$7</f>
        <v>0.0537071399757965</v>
      </c>
      <c r="G121" s="383" t="n">
        <v>0.014</v>
      </c>
      <c r="H121" s="337" t="n">
        <f aca="false">(+H$5)/(1-G121)-H$5</f>
        <v>0.0886713995943209</v>
      </c>
      <c r="J121" s="340" t="n">
        <v>0.0986</v>
      </c>
      <c r="K121" s="337" t="n">
        <f aca="false">(K$3)/(1-J121)-K$3</f>
        <v>0.628966052806745</v>
      </c>
      <c r="M121" s="339"/>
      <c r="N121" s="339"/>
      <c r="P121" s="339"/>
      <c r="Q121" s="339"/>
      <c r="S121" s="339"/>
      <c r="T121" s="339"/>
      <c r="V121" s="339"/>
      <c r="W121" s="339"/>
      <c r="AH121" s="362" t="s">
        <v>586</v>
      </c>
      <c r="AI121" s="360" t="n">
        <v>0.002</v>
      </c>
      <c r="AQ121" s="362"/>
      <c r="AR121" s="360"/>
    </row>
    <row r="122" customFormat="false" ht="12.75" hidden="false" customHeight="false" outlineLevel="0" collapsed="false">
      <c r="A122" s="372" t="s">
        <v>530</v>
      </c>
      <c r="B122" s="345" t="n">
        <f aca="false">SUM(B119:B121)</f>
        <v>0.0776071399757965</v>
      </c>
      <c r="G122" s="344"/>
      <c r="H122" s="345" t="n">
        <f aca="false">SUM(H119:H121)</f>
        <v>0.174371399594321</v>
      </c>
      <c r="J122" s="332"/>
      <c r="K122" s="345" t="n">
        <f aca="false">SUM(K119:K121)</f>
        <v>0.695166052806745</v>
      </c>
      <c r="M122" s="339"/>
      <c r="N122" s="339"/>
      <c r="P122" s="315"/>
      <c r="Q122" s="315"/>
      <c r="S122" s="315"/>
      <c r="T122" s="315"/>
      <c r="V122" s="315"/>
      <c r="W122" s="315"/>
      <c r="AH122" s="25" t="s">
        <v>587</v>
      </c>
      <c r="AI122" s="360" t="n">
        <v>0.005</v>
      </c>
      <c r="AR122" s="360"/>
    </row>
    <row r="123" customFormat="false" ht="12.75" hidden="false" customHeight="false" outlineLevel="0" collapsed="false">
      <c r="A123" s="373" t="s">
        <v>84</v>
      </c>
      <c r="B123" s="345" t="s">
        <v>669</v>
      </c>
      <c r="G123" s="348" t="s">
        <v>486</v>
      </c>
      <c r="H123" s="359" t="s">
        <v>670</v>
      </c>
      <c r="J123" s="323" t="s">
        <v>488</v>
      </c>
      <c r="K123" s="319" t="s">
        <v>671</v>
      </c>
      <c r="M123" s="356"/>
      <c r="N123" s="356"/>
      <c r="P123" s="321"/>
      <c r="Q123" s="321"/>
      <c r="S123" s="321"/>
      <c r="T123" s="321"/>
      <c r="V123" s="321"/>
      <c r="W123" s="321"/>
      <c r="AH123" s="25" t="s">
        <v>593</v>
      </c>
      <c r="AI123" s="360" t="n">
        <v>0.002</v>
      </c>
      <c r="AR123" s="360"/>
    </row>
    <row r="124" customFormat="false" ht="12.75" hidden="false" customHeight="false" outlineLevel="0" collapsed="false">
      <c r="A124" s="374" t="s">
        <v>505</v>
      </c>
      <c r="B124" s="371" t="n">
        <v>0.0138</v>
      </c>
      <c r="G124" s="344" t="s">
        <v>505</v>
      </c>
      <c r="H124" s="329" t="n">
        <v>0.0642</v>
      </c>
      <c r="J124" s="332" t="s">
        <v>505</v>
      </c>
      <c r="K124" s="329" t="n">
        <v>0.0141</v>
      </c>
      <c r="M124" s="356"/>
      <c r="N124" s="356"/>
      <c r="P124" s="321"/>
      <c r="Q124" s="321"/>
      <c r="S124" s="321"/>
      <c r="T124" s="321"/>
      <c r="V124" s="321"/>
      <c r="W124" s="321"/>
      <c r="AI124" s="360"/>
    </row>
    <row r="125" customFormat="false" ht="12.75" hidden="false" customHeight="false" outlineLevel="0" collapsed="false">
      <c r="A125" s="378" t="s">
        <v>112</v>
      </c>
      <c r="B125" s="371" t="n">
        <f aca="false">0.0022+0.0097</f>
        <v>0.0119</v>
      </c>
      <c r="G125" s="344" t="s">
        <v>112</v>
      </c>
      <c r="H125" s="329" t="n">
        <f aca="false">0.0022+0.007</f>
        <v>0.0092</v>
      </c>
      <c r="J125" s="332" t="s">
        <v>112</v>
      </c>
      <c r="K125" s="329" t="n">
        <f aca="false">0.0022+0.007</f>
        <v>0.0092</v>
      </c>
      <c r="M125" s="356"/>
      <c r="N125" s="356"/>
      <c r="P125" s="336"/>
      <c r="Q125" s="336"/>
      <c r="S125" s="336"/>
      <c r="T125" s="336"/>
      <c r="V125" s="336"/>
      <c r="W125" s="336"/>
      <c r="AH125" s="361" t="n">
        <v>36281</v>
      </c>
      <c r="AQ125" s="361"/>
    </row>
    <row r="126" customFormat="false" ht="12.75" hidden="false" customHeight="false" outlineLevel="0" collapsed="false">
      <c r="A126" s="383" t="n">
        <v>0.0237</v>
      </c>
      <c r="B126" s="337" t="n">
        <f aca="false">B$7/(1-A126)-B$7</f>
        <v>0.153905561815016</v>
      </c>
      <c r="G126" s="340" t="n">
        <v>0.0089</v>
      </c>
      <c r="H126" s="337" t="n">
        <f aca="false">(+H4)/(1-G126)-H4</f>
        <v>0.0523978407829686</v>
      </c>
      <c r="J126" s="340" t="n">
        <v>0.0284</v>
      </c>
      <c r="K126" s="337" t="n">
        <f aca="false">(K$6)/(1-J126)-K$6</f>
        <v>0.175526965829559</v>
      </c>
      <c r="M126" s="336"/>
      <c r="N126" s="336"/>
      <c r="P126" s="339"/>
      <c r="Q126" s="339"/>
      <c r="S126" s="339"/>
      <c r="T126" s="339"/>
      <c r="V126" s="339"/>
      <c r="W126" s="339"/>
      <c r="AH126" s="362" t="s">
        <v>586</v>
      </c>
      <c r="AI126" s="360" t="n">
        <v>0.002</v>
      </c>
      <c r="AQ126" s="362"/>
      <c r="AR126" s="360"/>
    </row>
    <row r="127" customFormat="false" ht="12.75" hidden="false" customHeight="false" outlineLevel="0" collapsed="false">
      <c r="A127" s="372" t="s">
        <v>530</v>
      </c>
      <c r="B127" s="345" t="n">
        <f aca="false">SUM(B124:B126)</f>
        <v>0.179605561815016</v>
      </c>
      <c r="G127" s="344"/>
      <c r="H127" s="345" t="n">
        <f aca="false">SUM(H124:H126)</f>
        <v>0.125797840782969</v>
      </c>
      <c r="J127" s="332"/>
      <c r="K127" s="345" t="n">
        <f aca="false">SUM(K124:K126)</f>
        <v>0.198826965829559</v>
      </c>
      <c r="M127" s="339"/>
      <c r="N127" s="339"/>
      <c r="AH127" s="25" t="s">
        <v>587</v>
      </c>
      <c r="AI127" s="360" t="n">
        <v>0.005</v>
      </c>
      <c r="AR127" s="360"/>
    </row>
    <row r="128" customFormat="false" ht="12.75" hidden="false" customHeight="false" outlineLevel="0" collapsed="false">
      <c r="A128" s="373" t="s">
        <v>84</v>
      </c>
      <c r="B128" s="345" t="s">
        <v>672</v>
      </c>
      <c r="G128" s="348" t="s">
        <v>673</v>
      </c>
      <c r="H128" s="349"/>
      <c r="J128" s="323" t="s">
        <v>488</v>
      </c>
      <c r="K128" s="319" t="s">
        <v>638</v>
      </c>
      <c r="M128" s="315"/>
      <c r="N128" s="315"/>
      <c r="AH128" s="25" t="s">
        <v>593</v>
      </c>
      <c r="AI128" s="360" t="n">
        <v>0.002</v>
      </c>
      <c r="AR128" s="360"/>
    </row>
    <row r="129" customFormat="false" ht="12.75" hidden="false" customHeight="false" outlineLevel="0" collapsed="false">
      <c r="A129" s="374" t="s">
        <v>505</v>
      </c>
      <c r="B129" s="371" t="n">
        <v>0.0249</v>
      </c>
      <c r="G129" s="328" t="s">
        <v>505</v>
      </c>
      <c r="H129" s="329" t="n">
        <v>0.0094</v>
      </c>
      <c r="J129" s="332" t="s">
        <v>505</v>
      </c>
      <c r="K129" s="329" t="n">
        <v>0.0344</v>
      </c>
      <c r="M129" s="321"/>
      <c r="N129" s="321"/>
      <c r="AI129" s="360"/>
    </row>
    <row r="130" customFormat="false" ht="12.75" hidden="false" customHeight="false" outlineLevel="0" collapsed="false">
      <c r="A130" s="378" t="s">
        <v>112</v>
      </c>
      <c r="B130" s="371" t="n">
        <f aca="false">0.007+0.0022+0.0097</f>
        <v>0.0189</v>
      </c>
      <c r="G130" s="328" t="s">
        <v>112</v>
      </c>
      <c r="H130" s="329" t="n">
        <v>0.0022</v>
      </c>
      <c r="J130" s="332" t="s">
        <v>112</v>
      </c>
      <c r="K130" s="329" t="n">
        <f aca="false">0.0022+0.007</f>
        <v>0.0092</v>
      </c>
      <c r="M130" s="321"/>
      <c r="N130" s="321"/>
      <c r="AH130" s="361" t="n">
        <v>36251</v>
      </c>
    </row>
    <row r="131" customFormat="false" ht="12.75" hidden="false" customHeight="false" outlineLevel="0" collapsed="false">
      <c r="A131" s="383" t="n">
        <v>0.019</v>
      </c>
      <c r="B131" s="337" t="n">
        <f aca="false">B$7/(1-A131)-B$7</f>
        <v>0.122793068297655</v>
      </c>
      <c r="G131" s="328" t="s">
        <v>674</v>
      </c>
      <c r="H131" s="337" t="n">
        <f aca="false">(+AI3+AI17)/(1-0.0131)-(+AI3+AI17)</f>
        <v>0.0836544630641303</v>
      </c>
      <c r="J131" s="340" t="n">
        <v>0.0528</v>
      </c>
      <c r="K131" s="337" t="n">
        <f aca="false">(K$6)/(1-J131)-K$6</f>
        <v>0.334738175675676</v>
      </c>
      <c r="M131" s="336"/>
      <c r="N131" s="336"/>
      <c r="AH131" s="362" t="s">
        <v>586</v>
      </c>
      <c r="AI131" s="360" t="n">
        <v>0.002</v>
      </c>
    </row>
    <row r="132" customFormat="false" ht="12.75" hidden="false" customHeight="false" outlineLevel="0" collapsed="false">
      <c r="A132" s="372" t="s">
        <v>530</v>
      </c>
      <c r="B132" s="345" t="n">
        <f aca="false">SUM(B129:B131)</f>
        <v>0.166593068297655</v>
      </c>
      <c r="G132" s="344"/>
      <c r="H132" s="345" t="n">
        <f aca="false">SUM(H129:H131)</f>
        <v>0.0952544630641303</v>
      </c>
      <c r="J132" s="332"/>
      <c r="K132" s="345" t="n">
        <f aca="false">SUM(K129:K131)</f>
        <v>0.378338175675676</v>
      </c>
      <c r="M132" s="339"/>
      <c r="N132" s="339"/>
      <c r="AH132" s="25" t="s">
        <v>587</v>
      </c>
      <c r="AI132" s="360" t="n">
        <v>0.007</v>
      </c>
    </row>
    <row r="133" customFormat="false" ht="12.75" hidden="false" customHeight="false" outlineLevel="0" collapsed="false">
      <c r="A133" s="373" t="s">
        <v>84</v>
      </c>
      <c r="B133" s="345" t="s">
        <v>675</v>
      </c>
      <c r="G133" s="348" t="s">
        <v>486</v>
      </c>
      <c r="H133" s="349" t="s">
        <v>676</v>
      </c>
      <c r="J133" s="323" t="s">
        <v>488</v>
      </c>
      <c r="K133" s="319" t="s">
        <v>643</v>
      </c>
      <c r="AH133" s="25" t="s">
        <v>593</v>
      </c>
      <c r="AI133" s="360" t="n">
        <v>0.002</v>
      </c>
    </row>
    <row r="134" customFormat="false" ht="12.75" hidden="false" customHeight="false" outlineLevel="0" collapsed="false">
      <c r="A134" s="374" t="s">
        <v>505</v>
      </c>
      <c r="B134" s="371" t="n">
        <v>0.0249</v>
      </c>
      <c r="G134" s="328" t="s">
        <v>505</v>
      </c>
      <c r="H134" s="329" t="n">
        <v>0.0459</v>
      </c>
      <c r="J134" s="332" t="s">
        <v>505</v>
      </c>
      <c r="K134" s="329" t="n">
        <v>0.0483</v>
      </c>
      <c r="M134" s="315"/>
      <c r="N134" s="315"/>
      <c r="AI134" s="360"/>
    </row>
    <row r="135" customFormat="false" ht="12.75" hidden="false" customHeight="false" outlineLevel="0" collapsed="false">
      <c r="A135" s="378" t="s">
        <v>112</v>
      </c>
      <c r="B135" s="371" t="n">
        <f aca="false">0.007+0.0022+0.0097</f>
        <v>0.0189</v>
      </c>
      <c r="G135" s="328" t="s">
        <v>112</v>
      </c>
      <c r="H135" s="329" t="n">
        <f aca="false">0.0022+0.007</f>
        <v>0.0092</v>
      </c>
      <c r="J135" s="332" t="s">
        <v>112</v>
      </c>
      <c r="K135" s="329" t="n">
        <f aca="false">0.0022+0.007</f>
        <v>0.0092</v>
      </c>
      <c r="M135" s="321"/>
      <c r="N135" s="321"/>
      <c r="AH135" s="361" t="n">
        <v>36220</v>
      </c>
    </row>
    <row r="136" customFormat="false" ht="12.75" hidden="false" customHeight="false" outlineLevel="0" collapsed="false">
      <c r="A136" s="383" t="n">
        <v>0.0274</v>
      </c>
      <c r="B136" s="337" t="n">
        <f aca="false">B$7/(1-A136)-B$7</f>
        <v>0.178609911577215</v>
      </c>
      <c r="G136" s="382" t="n">
        <v>0.0116</v>
      </c>
      <c r="H136" s="337" t="n">
        <f aca="false">(+H5)/(1-G136)-H5</f>
        <v>0.073292189397006</v>
      </c>
      <c r="J136" s="340" t="n">
        <v>0.0688</v>
      </c>
      <c r="K136" s="337" t="n">
        <f aca="false">(K$6)/(1-J136)-K$6</f>
        <v>0.443668384879725</v>
      </c>
      <c r="M136" s="321"/>
      <c r="N136" s="321"/>
      <c r="AH136" s="362" t="s">
        <v>586</v>
      </c>
      <c r="AI136" s="360" t="n">
        <v>0.001</v>
      </c>
    </row>
    <row r="137" customFormat="false" ht="12.75" hidden="false" customHeight="false" outlineLevel="0" collapsed="false">
      <c r="A137" s="372" t="s">
        <v>530</v>
      </c>
      <c r="B137" s="345" t="n">
        <f aca="false">SUM(B134:B136)</f>
        <v>0.222409911577215</v>
      </c>
      <c r="G137" s="344"/>
      <c r="H137" s="345" t="n">
        <f aca="false">SUM(H134:H136)</f>
        <v>0.128392189397006</v>
      </c>
      <c r="J137" s="332"/>
      <c r="K137" s="345" t="n">
        <f aca="false">SUM(K134:K136)</f>
        <v>0.501168384879725</v>
      </c>
      <c r="M137" s="336"/>
      <c r="N137" s="336"/>
      <c r="AH137" s="25" t="s">
        <v>587</v>
      </c>
      <c r="AI137" s="360" t="n">
        <v>0.003</v>
      </c>
    </row>
    <row r="138" customFormat="false" ht="12.75" hidden="false" customHeight="false" outlineLevel="0" collapsed="false">
      <c r="A138" s="373" t="s">
        <v>84</v>
      </c>
      <c r="B138" s="345" t="s">
        <v>677</v>
      </c>
      <c r="F138" s="71"/>
      <c r="G138" s="350" t="s">
        <v>486</v>
      </c>
      <c r="H138" s="351" t="s">
        <v>678</v>
      </c>
      <c r="I138" s="71"/>
      <c r="J138" s="323" t="s">
        <v>488</v>
      </c>
      <c r="K138" s="345" t="s">
        <v>648</v>
      </c>
      <c r="L138" s="71"/>
      <c r="M138" s="339"/>
      <c r="N138" s="339"/>
      <c r="AH138" s="25" t="s">
        <v>593</v>
      </c>
      <c r="AI138" s="360" t="n">
        <v>0.001</v>
      </c>
    </row>
    <row r="139" customFormat="false" ht="12.75" hidden="false" customHeight="false" outlineLevel="0" collapsed="false">
      <c r="A139" s="374" t="s">
        <v>505</v>
      </c>
      <c r="B139" s="371" t="n">
        <v>0.0249</v>
      </c>
      <c r="D139" s="300"/>
      <c r="F139" s="71"/>
      <c r="G139" s="330" t="s">
        <v>505</v>
      </c>
      <c r="H139" s="335" t="n">
        <f aca="false">0.1599-0.0022</f>
        <v>0.1577</v>
      </c>
      <c r="I139" s="71"/>
      <c r="J139" s="332" t="s">
        <v>505</v>
      </c>
      <c r="K139" s="371" t="n">
        <v>0.0245</v>
      </c>
      <c r="L139" s="71"/>
      <c r="M139" s="315"/>
      <c r="N139" s="315"/>
      <c r="AI139" s="360"/>
    </row>
    <row r="140" customFormat="false" ht="12.75" hidden="false" customHeight="false" outlineLevel="0" collapsed="false">
      <c r="A140" s="378" t="s">
        <v>112</v>
      </c>
      <c r="B140" s="371" t="n">
        <f aca="false">0.0022+0.0097+0.007</f>
        <v>0.0189</v>
      </c>
      <c r="D140" s="300"/>
      <c r="F140" s="71"/>
      <c r="G140" s="330" t="s">
        <v>112</v>
      </c>
      <c r="H140" s="334" t="n">
        <f aca="false">0.0022+0+0.0225+0.007</f>
        <v>0.0317</v>
      </c>
      <c r="I140" s="71"/>
      <c r="J140" s="332" t="s">
        <v>112</v>
      </c>
      <c r="K140" s="329" t="n">
        <f aca="false">0.0022</f>
        <v>0.0022</v>
      </c>
      <c r="L140" s="71"/>
      <c r="M140" s="321"/>
      <c r="N140" s="321"/>
      <c r="AH140" s="361" t="n">
        <v>36192</v>
      </c>
    </row>
    <row r="141" customFormat="false" ht="12.75" hidden="false" customHeight="false" outlineLevel="0" collapsed="false">
      <c r="A141" s="383" t="n">
        <v>0.0084</v>
      </c>
      <c r="B141" s="337" t="n">
        <f aca="false">B$7/(1-A141)-B$7</f>
        <v>0.0537071399757965</v>
      </c>
      <c r="F141" s="71"/>
      <c r="G141" s="343" t="n">
        <v>0.0101</v>
      </c>
      <c r="H141" s="384" t="n">
        <f aca="false">(H4)/(1-G141)-H4</f>
        <v>0.0595348014951007</v>
      </c>
      <c r="I141" s="71"/>
      <c r="J141" s="340" t="n">
        <v>0.0411</v>
      </c>
      <c r="K141" s="337" t="n">
        <f aca="false">(K$7)/(1-J141)-K$7</f>
        <v>0.272385545938055</v>
      </c>
      <c r="L141" s="71"/>
      <c r="M141" s="321"/>
      <c r="N141" s="321"/>
      <c r="AH141" s="362" t="s">
        <v>586</v>
      </c>
      <c r="AI141" s="360" t="n">
        <v>0.004</v>
      </c>
    </row>
    <row r="142" customFormat="false" ht="12.75" hidden="false" customHeight="false" outlineLevel="0" collapsed="false">
      <c r="A142" s="372" t="s">
        <v>530</v>
      </c>
      <c r="B142" s="345" t="n">
        <f aca="false">SUM(B139:B141)</f>
        <v>0.0975071399757965</v>
      </c>
      <c r="F142" s="71"/>
      <c r="G142" s="347"/>
      <c r="H142" s="346" t="n">
        <f aca="false">SUM(H139:H141)</f>
        <v>0.248934801495101</v>
      </c>
      <c r="I142" s="71"/>
      <c r="J142" s="332"/>
      <c r="K142" s="345" t="n">
        <f aca="false">SUM(K139:K141)</f>
        <v>0.299085545938055</v>
      </c>
      <c r="L142" s="71"/>
      <c r="M142" s="336"/>
      <c r="N142" s="336"/>
      <c r="AH142" s="25" t="s">
        <v>587</v>
      </c>
      <c r="AI142" s="360" t="n">
        <v>0.01</v>
      </c>
    </row>
    <row r="143" customFormat="false" ht="12.75" hidden="false" customHeight="false" outlineLevel="0" collapsed="false">
      <c r="F143" s="71"/>
      <c r="G143" s="350" t="s">
        <v>486</v>
      </c>
      <c r="H143" s="351" t="s">
        <v>679</v>
      </c>
      <c r="I143" s="71"/>
      <c r="J143" s="323" t="s">
        <v>488</v>
      </c>
      <c r="K143" s="345" t="s">
        <v>654</v>
      </c>
      <c r="L143" s="71"/>
      <c r="M143" s="339"/>
      <c r="N143" s="339"/>
      <c r="AH143" s="25" t="s">
        <v>593</v>
      </c>
      <c r="AI143" s="360" t="n">
        <v>0.004</v>
      </c>
    </row>
    <row r="144" customFormat="false" ht="12.75" hidden="false" customHeight="false" outlineLevel="0" collapsed="false">
      <c r="F144" s="71"/>
      <c r="G144" s="330" t="s">
        <v>505</v>
      </c>
      <c r="H144" s="335" t="n">
        <f aca="false">0.3212-0.0022</f>
        <v>0.319</v>
      </c>
      <c r="I144" s="71"/>
      <c r="J144" s="332" t="s">
        <v>505</v>
      </c>
      <c r="K144" s="371" t="n">
        <v>0.0385</v>
      </c>
      <c r="L144" s="71"/>
      <c r="AI144" s="360"/>
    </row>
    <row r="145" customFormat="false" ht="12.75" hidden="false" customHeight="false" outlineLevel="0" collapsed="false">
      <c r="F145" s="71"/>
      <c r="G145" s="330" t="s">
        <v>112</v>
      </c>
      <c r="H145" s="334" t="n">
        <f aca="false">0.0022+0+0.0225+0.007</f>
        <v>0.0317</v>
      </c>
      <c r="I145" s="71"/>
      <c r="J145" s="332" t="s">
        <v>112</v>
      </c>
      <c r="K145" s="329" t="n">
        <f aca="false">0.0022+0.007</f>
        <v>0.0092</v>
      </c>
      <c r="L145" s="71"/>
      <c r="AH145" s="361" t="n">
        <v>36161</v>
      </c>
    </row>
    <row r="146" customFormat="false" ht="12.75" hidden="false" customHeight="false" outlineLevel="0" collapsed="false">
      <c r="G146" s="343" t="n">
        <v>0.0279</v>
      </c>
      <c r="H146" s="338" t="n">
        <f aca="false">(H3)/(1-G146)-H3</f>
        <v>0.165459829235676</v>
      </c>
      <c r="J146" s="340" t="n">
        <v>0.0575</v>
      </c>
      <c r="K146" s="337" t="n">
        <f aca="false">(K$7)/(1-J146)-K$7</f>
        <v>0.387705570291777</v>
      </c>
      <c r="AH146" s="362" t="s">
        <v>586</v>
      </c>
      <c r="AI146" s="360" t="n">
        <v>0.003</v>
      </c>
    </row>
    <row r="147" customFormat="false" ht="12.75" hidden="false" customHeight="false" outlineLevel="0" collapsed="false">
      <c r="G147" s="347"/>
      <c r="H147" s="346" t="n">
        <f aca="false">SUM(H144:H146)</f>
        <v>0.516159829235676</v>
      </c>
      <c r="J147" s="332"/>
      <c r="K147" s="345" t="n">
        <f aca="false">SUM(K144:K146)</f>
        <v>0.435405570291777</v>
      </c>
      <c r="AH147" s="25" t="s">
        <v>587</v>
      </c>
      <c r="AI147" s="360" t="n">
        <v>0.008</v>
      </c>
    </row>
    <row r="148" customFormat="false" ht="12.75" hidden="false" customHeight="false" outlineLevel="0" collapsed="false">
      <c r="G148" s="350" t="s">
        <v>486</v>
      </c>
      <c r="H148" s="351" t="s">
        <v>680</v>
      </c>
      <c r="J148" s="323" t="s">
        <v>488</v>
      </c>
      <c r="K148" s="345" t="s">
        <v>659</v>
      </c>
      <c r="AH148" s="25" t="s">
        <v>593</v>
      </c>
      <c r="AI148" s="360" t="n">
        <v>0.003</v>
      </c>
    </row>
    <row r="149" customFormat="false" ht="12.75" hidden="false" customHeight="false" outlineLevel="0" collapsed="false">
      <c r="G149" s="330" t="s">
        <v>505</v>
      </c>
      <c r="H149" s="335" t="n">
        <v>0.4862</v>
      </c>
      <c r="J149" s="332" t="s">
        <v>505</v>
      </c>
      <c r="K149" s="371" t="n">
        <v>0.0182</v>
      </c>
      <c r="AI149" s="360"/>
    </row>
    <row r="150" customFormat="false" ht="12.75" hidden="false" customHeight="false" outlineLevel="0" collapsed="false">
      <c r="G150" s="330" t="s">
        <v>112</v>
      </c>
      <c r="H150" s="334" t="n">
        <f aca="false">0.0022</f>
        <v>0.0022</v>
      </c>
      <c r="J150" s="332" t="s">
        <v>112</v>
      </c>
      <c r="K150" s="329" t="n">
        <f aca="false">0.0022+0.007</f>
        <v>0.0092</v>
      </c>
      <c r="AH150" s="361" t="n">
        <v>36130</v>
      </c>
    </row>
    <row r="151" customFormat="false" ht="12.75" hidden="false" customHeight="false" outlineLevel="0" collapsed="false">
      <c r="G151" s="343" t="n">
        <v>0.0588</v>
      </c>
      <c r="H151" s="385" t="n">
        <f aca="false">(H3)/(1-G151)-H3</f>
        <v>0.360159371015724</v>
      </c>
      <c r="J151" s="340" t="n">
        <v>0.0333</v>
      </c>
      <c r="K151" s="337" t="n">
        <f aca="false">(K$7)/(1-J151)-K$7</f>
        <v>0.218911244439847</v>
      </c>
      <c r="AH151" s="362" t="s">
        <v>586</v>
      </c>
      <c r="AI151" s="360" t="n">
        <v>0.002</v>
      </c>
    </row>
    <row r="152" customFormat="false" ht="12.75" hidden="false" customHeight="false" outlineLevel="0" collapsed="false">
      <c r="G152" s="347"/>
      <c r="H152" s="346" t="n">
        <f aca="false">SUM(H149:H151)</f>
        <v>0.848559371015724</v>
      </c>
      <c r="J152" s="332"/>
      <c r="K152" s="345" t="n">
        <f aca="false">SUM(K149:K151)</f>
        <v>0.246311244439847</v>
      </c>
      <c r="AH152" s="25" t="s">
        <v>587</v>
      </c>
      <c r="AI152" s="360" t="n">
        <v>0.008</v>
      </c>
    </row>
    <row r="153" customFormat="false" ht="12.75" hidden="false" customHeight="false" outlineLevel="0" collapsed="false">
      <c r="G153" s="350" t="s">
        <v>486</v>
      </c>
      <c r="H153" s="351" t="s">
        <v>681</v>
      </c>
      <c r="J153" s="321"/>
      <c r="K153" s="321"/>
      <c r="AH153" s="25" t="s">
        <v>593</v>
      </c>
      <c r="AI153" s="360" t="n">
        <v>0.002</v>
      </c>
    </row>
    <row r="154" customFormat="false" ht="12.75" hidden="false" customHeight="false" outlineLevel="0" collapsed="false">
      <c r="G154" s="330" t="s">
        <v>505</v>
      </c>
      <c r="H154" s="335" t="n">
        <v>0.5558</v>
      </c>
      <c r="J154" s="321"/>
      <c r="K154" s="356"/>
      <c r="AI154" s="360"/>
    </row>
    <row r="155" customFormat="false" ht="12.75" hidden="false" customHeight="false" outlineLevel="0" collapsed="false">
      <c r="G155" s="330" t="s">
        <v>112</v>
      </c>
      <c r="H155" s="334" t="n">
        <f aca="false">0.0022</f>
        <v>0.0022</v>
      </c>
      <c r="J155" s="321"/>
      <c r="K155" s="321"/>
      <c r="AH155" s="361" t="n">
        <v>36100</v>
      </c>
    </row>
    <row r="156" customFormat="false" ht="12.75" hidden="false" customHeight="false" outlineLevel="0" collapsed="false">
      <c r="G156" s="343" t="n">
        <v>0.0679</v>
      </c>
      <c r="H156" s="385" t="n">
        <f aca="false">(H3)/(1-G156)-H3</f>
        <v>0.419958695418946</v>
      </c>
      <c r="J156" s="321"/>
      <c r="K156" s="336"/>
      <c r="AH156" s="362" t="s">
        <v>586</v>
      </c>
      <c r="AI156" s="360" t="n">
        <v>0.003</v>
      </c>
    </row>
    <row r="157" customFormat="false" ht="12.75" hidden="false" customHeight="false" outlineLevel="0" collapsed="false">
      <c r="G157" s="347"/>
      <c r="H157" s="346" t="n">
        <f aca="false">SUM(H154:H156)</f>
        <v>0.977958695418946</v>
      </c>
      <c r="J157" s="321"/>
      <c r="K157" s="339"/>
      <c r="AH157" s="25" t="s">
        <v>587</v>
      </c>
      <c r="AI157" s="360" t="n">
        <v>0.006</v>
      </c>
    </row>
    <row r="158" customFormat="false" ht="12.75" hidden="false" customHeight="false" outlineLevel="0" collapsed="false">
      <c r="G158" s="350" t="s">
        <v>486</v>
      </c>
      <c r="H158" s="351" t="s">
        <v>682</v>
      </c>
      <c r="J158" s="321"/>
      <c r="K158" s="321"/>
      <c r="AH158" s="25" t="s">
        <v>593</v>
      </c>
      <c r="AI158" s="360" t="n">
        <v>0.003</v>
      </c>
    </row>
    <row r="159" customFormat="false" ht="12.75" hidden="false" customHeight="false" outlineLevel="0" collapsed="false">
      <c r="G159" s="330" t="s">
        <v>505</v>
      </c>
      <c r="H159" s="335" t="n">
        <v>0.6285</v>
      </c>
      <c r="J159" s="321"/>
      <c r="K159" s="321"/>
      <c r="AI159" s="360"/>
    </row>
    <row r="160" customFormat="false" ht="12.75" hidden="false" customHeight="false" outlineLevel="0" collapsed="false">
      <c r="G160" s="330" t="s">
        <v>112</v>
      </c>
      <c r="H160" s="334" t="n">
        <f aca="false">0.0022+0.007</f>
        <v>0.0092</v>
      </c>
      <c r="J160" s="336"/>
      <c r="K160" s="336"/>
      <c r="AH160" s="361" t="n">
        <v>36069</v>
      </c>
    </row>
    <row r="161" customFormat="false" ht="12.75" hidden="false" customHeight="false" outlineLevel="0" collapsed="false">
      <c r="E161" s="71"/>
      <c r="G161" s="343" t="n">
        <v>0.0871</v>
      </c>
      <c r="H161" s="385" t="n">
        <f aca="false">(H3)/(1-G161)-H3</f>
        <v>0.550039982473436</v>
      </c>
      <c r="J161" s="339"/>
      <c r="K161" s="339"/>
      <c r="AH161" s="362" t="s">
        <v>586</v>
      </c>
      <c r="AI161" s="360" t="n">
        <v>0</v>
      </c>
    </row>
    <row r="162" customFormat="false" ht="12.75" hidden="false" customHeight="false" outlineLevel="0" collapsed="false">
      <c r="E162" s="71"/>
      <c r="G162" s="347"/>
      <c r="H162" s="346" t="n">
        <f aca="false">SUM(H159:H161)</f>
        <v>1.18773998247344</v>
      </c>
      <c r="J162" s="315"/>
      <c r="K162" s="315"/>
      <c r="AH162" s="25" t="s">
        <v>587</v>
      </c>
      <c r="AI162" s="360" t="n">
        <v>0</v>
      </c>
    </row>
    <row r="163" customFormat="false" ht="12.75" hidden="false" customHeight="false" outlineLevel="0" collapsed="false">
      <c r="E163" s="71"/>
      <c r="G163" s="350" t="s">
        <v>486</v>
      </c>
      <c r="H163" s="351" t="s">
        <v>683</v>
      </c>
      <c r="J163" s="321"/>
      <c r="K163" s="321"/>
      <c r="AH163" s="25" t="s">
        <v>593</v>
      </c>
      <c r="AI163" s="360" t="n">
        <v>0</v>
      </c>
    </row>
    <row r="164" customFormat="false" ht="12.75" hidden="false" customHeight="false" outlineLevel="0" collapsed="false">
      <c r="E164" s="71"/>
      <c r="G164" s="330" t="s">
        <v>505</v>
      </c>
      <c r="H164" s="335" t="n">
        <f aca="false">0.3703-0.0022</f>
        <v>0.3681</v>
      </c>
      <c r="J164" s="321"/>
      <c r="K164" s="321"/>
    </row>
    <row r="165" customFormat="false" ht="12.75" hidden="false" customHeight="false" outlineLevel="0" collapsed="false">
      <c r="E165" s="71"/>
      <c r="G165" s="330" t="s">
        <v>112</v>
      </c>
      <c r="H165" s="334" t="n">
        <f aca="false">0.0022+0+0.0225+0.007</f>
        <v>0.0317</v>
      </c>
      <c r="J165" s="336"/>
      <c r="K165" s="336"/>
      <c r="AH165" s="361" t="n">
        <v>36039</v>
      </c>
    </row>
    <row r="166" customFormat="false" ht="12.75" hidden="false" customHeight="false" outlineLevel="0" collapsed="false">
      <c r="E166" s="71"/>
      <c r="G166" s="343" t="n">
        <v>0.0428</v>
      </c>
      <c r="H166" s="385" t="n">
        <f aca="false">(H4)/(1-G166)-H4</f>
        <v>0.260904722106143</v>
      </c>
      <c r="J166" s="339"/>
      <c r="K166" s="339"/>
      <c r="AH166" s="362" t="s">
        <v>586</v>
      </c>
      <c r="AI166" s="360" t="n">
        <v>0</v>
      </c>
    </row>
    <row r="167" customFormat="false" ht="12.75" hidden="false" customHeight="false" outlineLevel="0" collapsed="false">
      <c r="E167" s="71"/>
      <c r="G167" s="347"/>
      <c r="H167" s="346" t="n">
        <f aca="false">SUM(H164:H166)</f>
        <v>0.660704722106143</v>
      </c>
      <c r="J167" s="339"/>
      <c r="K167" s="339"/>
      <c r="AH167" s="25" t="s">
        <v>587</v>
      </c>
      <c r="AI167" s="360" t="n">
        <v>0</v>
      </c>
    </row>
    <row r="168" customFormat="false" ht="12.75" hidden="false" customHeight="false" outlineLevel="0" collapsed="false">
      <c r="E168" s="71"/>
      <c r="G168" s="350" t="s">
        <v>486</v>
      </c>
      <c r="H168" s="386" t="s">
        <v>684</v>
      </c>
      <c r="J168" s="356"/>
      <c r="K168" s="356"/>
      <c r="AH168" s="25" t="s">
        <v>593</v>
      </c>
      <c r="AI168" s="360" t="n">
        <v>0</v>
      </c>
    </row>
    <row r="169" customFormat="false" ht="12.75" hidden="false" customHeight="false" outlineLevel="0" collapsed="false">
      <c r="G169" s="347" t="s">
        <v>505</v>
      </c>
      <c r="H169" s="335" t="n">
        <v>0.4281</v>
      </c>
      <c r="J169" s="356"/>
      <c r="K169" s="356"/>
    </row>
    <row r="170" customFormat="false" ht="12.75" hidden="false" customHeight="false" outlineLevel="0" collapsed="false">
      <c r="G170" s="347" t="s">
        <v>112</v>
      </c>
      <c r="H170" s="334" t="n">
        <f aca="false">0.0022</f>
        <v>0.0022</v>
      </c>
      <c r="J170" s="356"/>
      <c r="K170" s="356"/>
      <c r="AH170" s="361" t="n">
        <v>36008</v>
      </c>
    </row>
    <row r="171" customFormat="false" ht="12.75" hidden="false" customHeight="false" outlineLevel="0" collapsed="false">
      <c r="G171" s="342" t="n">
        <v>0.0499</v>
      </c>
      <c r="H171" s="338" t="n">
        <f aca="false">(H4)/(1-G171)-H4</f>
        <v>0.306458793811178</v>
      </c>
      <c r="J171" s="336"/>
      <c r="K171" s="336"/>
      <c r="AH171" s="362" t="s">
        <v>586</v>
      </c>
      <c r="AI171" s="360" t="n">
        <v>0</v>
      </c>
    </row>
    <row r="172" customFormat="false" ht="12.75" hidden="false" customHeight="false" outlineLevel="0" collapsed="false">
      <c r="G172" s="347"/>
      <c r="H172" s="346" t="n">
        <f aca="false">SUM(H169:H171)</f>
        <v>0.736758793811178</v>
      </c>
      <c r="J172" s="339"/>
      <c r="K172" s="339"/>
      <c r="AH172" s="25" t="s">
        <v>587</v>
      </c>
      <c r="AI172" s="360" t="n">
        <v>0</v>
      </c>
    </row>
    <row r="173" customFormat="false" ht="12.75" hidden="false" customHeight="false" outlineLevel="0" collapsed="false">
      <c r="G173" s="350" t="s">
        <v>486</v>
      </c>
      <c r="H173" s="386" t="s">
        <v>685</v>
      </c>
      <c r="J173" s="315"/>
      <c r="K173" s="315"/>
      <c r="AH173" s="25" t="s">
        <v>593</v>
      </c>
      <c r="AI173" s="360" t="n">
        <v>0</v>
      </c>
    </row>
    <row r="174" customFormat="false" ht="12.75" hidden="false" customHeight="false" outlineLevel="0" collapsed="false">
      <c r="G174" s="347" t="s">
        <v>505</v>
      </c>
      <c r="H174" s="335" t="n">
        <v>0.4955</v>
      </c>
      <c r="J174" s="321"/>
      <c r="K174" s="321"/>
    </row>
    <row r="175" customFormat="false" ht="12.75" hidden="false" customHeight="false" outlineLevel="0" collapsed="false">
      <c r="G175" s="347" t="s">
        <v>112</v>
      </c>
      <c r="H175" s="334" t="n">
        <f aca="false">0.0022</f>
        <v>0.0022</v>
      </c>
      <c r="J175" s="321"/>
      <c r="K175" s="321"/>
      <c r="AH175" s="361" t="n">
        <v>35977</v>
      </c>
    </row>
    <row r="176" customFormat="false" ht="12.75" hidden="false" customHeight="false" outlineLevel="0" collapsed="false">
      <c r="G176" s="342" t="n">
        <v>0.059</v>
      </c>
      <c r="H176" s="338" t="n">
        <f aca="false">(H4)/(1-G176)-H4</f>
        <v>0.365850159404888</v>
      </c>
      <c r="J176" s="336"/>
      <c r="K176" s="336"/>
      <c r="AH176" s="362" t="s">
        <v>586</v>
      </c>
      <c r="AI176" s="360" t="n">
        <v>0</v>
      </c>
    </row>
    <row r="177" customFormat="false" ht="12.75" hidden="false" customHeight="false" outlineLevel="0" collapsed="false">
      <c r="G177" s="347"/>
      <c r="H177" s="346" t="n">
        <f aca="false">SUM(H174:H176)</f>
        <v>0.863550159404888</v>
      </c>
      <c r="J177" s="339"/>
      <c r="K177" s="339"/>
      <c r="AH177" s="25" t="s">
        <v>587</v>
      </c>
      <c r="AI177" s="360" t="n">
        <v>0</v>
      </c>
    </row>
    <row r="178" customFormat="false" ht="12.75" hidden="false" customHeight="false" outlineLevel="0" collapsed="false">
      <c r="G178" s="350" t="s">
        <v>486</v>
      </c>
      <c r="H178" s="386" t="s">
        <v>686</v>
      </c>
      <c r="AH178" s="25" t="s">
        <v>593</v>
      </c>
      <c r="AI178" s="360" t="n">
        <v>0</v>
      </c>
    </row>
    <row r="179" customFormat="false" ht="12.75" hidden="false" customHeight="false" outlineLevel="0" collapsed="false">
      <c r="G179" s="347" t="s">
        <v>505</v>
      </c>
      <c r="H179" s="335" t="n">
        <v>0.5701</v>
      </c>
      <c r="J179" s="315"/>
      <c r="K179" s="315"/>
    </row>
    <row r="180" customFormat="false" ht="12.75" hidden="false" customHeight="false" outlineLevel="0" collapsed="false">
      <c r="G180" s="347" t="s">
        <v>112</v>
      </c>
      <c r="H180" s="334" t="n">
        <f aca="false">0.0022+0.007</f>
        <v>0.0092</v>
      </c>
      <c r="J180" s="321"/>
      <c r="K180" s="321"/>
    </row>
    <row r="181" customFormat="false" ht="12.75" hidden="false" customHeight="false" outlineLevel="0" collapsed="false">
      <c r="G181" s="342" t="n">
        <v>0.0699</v>
      </c>
      <c r="H181" s="338" t="n">
        <f aca="false">(H4)/(1-G181)-H4</f>
        <v>0.438518976454144</v>
      </c>
      <c r="J181" s="321"/>
      <c r="K181" s="321"/>
    </row>
    <row r="182" customFormat="false" ht="12.75" hidden="false" customHeight="false" outlineLevel="0" collapsed="false">
      <c r="G182" s="347"/>
      <c r="H182" s="346" t="n">
        <f aca="false">SUM(H179:H181)</f>
        <v>1.01781897645414</v>
      </c>
      <c r="J182" s="336"/>
      <c r="K182" s="336"/>
    </row>
    <row r="183" customFormat="false" ht="12.75" hidden="false" customHeight="false" outlineLevel="0" collapsed="false">
      <c r="G183" s="350" t="s">
        <v>486</v>
      </c>
      <c r="H183" s="386" t="s">
        <v>687</v>
      </c>
      <c r="J183" s="339"/>
      <c r="K183" s="339"/>
    </row>
    <row r="184" customFormat="false" ht="12.75" hidden="false" customHeight="false" outlineLevel="0" collapsed="false">
      <c r="B184" s="387"/>
      <c r="G184" s="347" t="s">
        <v>505</v>
      </c>
      <c r="H184" s="335" t="n">
        <v>0.6906</v>
      </c>
      <c r="J184" s="315"/>
      <c r="K184" s="315"/>
    </row>
    <row r="185" customFormat="false" ht="12.75" hidden="false" customHeight="false" outlineLevel="0" collapsed="false">
      <c r="B185" s="387"/>
      <c r="G185" s="347" t="s">
        <v>112</v>
      </c>
      <c r="H185" s="334" t="n">
        <f aca="false">0.0022+0.007</f>
        <v>0.0092</v>
      </c>
      <c r="J185" s="321"/>
      <c r="K185" s="321"/>
    </row>
    <row r="186" customFormat="false" ht="12.75" hidden="false" customHeight="false" outlineLevel="0" collapsed="false">
      <c r="G186" s="342" t="n">
        <v>0.0782</v>
      </c>
      <c r="H186" s="338" t="n">
        <f aca="false">(H3)/(1-G186)-H3</f>
        <v>0.489068127576481</v>
      </c>
      <c r="J186" s="321"/>
      <c r="K186" s="321"/>
    </row>
    <row r="187" customFormat="false" ht="12.75" hidden="false" customHeight="false" outlineLevel="0" collapsed="false">
      <c r="G187" s="347"/>
      <c r="H187" s="346" t="n">
        <f aca="false">SUM(H184:H186)</f>
        <v>1.18886812757648</v>
      </c>
      <c r="J187" s="336"/>
      <c r="K187" s="336"/>
    </row>
    <row r="188" customFormat="false" ht="12.75" hidden="false" customHeight="false" outlineLevel="0" collapsed="false">
      <c r="G188" s="350" t="s">
        <v>486</v>
      </c>
      <c r="H188" s="386" t="s">
        <v>688</v>
      </c>
      <c r="J188" s="339"/>
      <c r="K188" s="339"/>
    </row>
    <row r="189" customFormat="false" ht="12.75" hidden="false" customHeight="false" outlineLevel="0" collapsed="false">
      <c r="G189" s="347" t="s">
        <v>505</v>
      </c>
      <c r="H189" s="335" t="n">
        <v>0.3192</v>
      </c>
    </row>
    <row r="190" customFormat="false" ht="12.75" hidden="false" customHeight="false" outlineLevel="0" collapsed="false">
      <c r="G190" s="347" t="s">
        <v>112</v>
      </c>
      <c r="H190" s="334" t="n">
        <f aca="false">0.0022+0.007</f>
        <v>0.0092</v>
      </c>
    </row>
    <row r="191" customFormat="false" ht="12.75" hidden="false" customHeight="false" outlineLevel="0" collapsed="false">
      <c r="G191" s="342" t="n">
        <v>0.0217</v>
      </c>
      <c r="H191" s="338" t="n">
        <f aca="false">(H5)/(1-G191)-H5</f>
        <v>0.138522436880303</v>
      </c>
    </row>
    <row r="192" customFormat="false" ht="12.75" hidden="false" customHeight="false" outlineLevel="0" collapsed="false">
      <c r="G192" s="347"/>
      <c r="H192" s="346" t="n">
        <f aca="false">SUM(H189:H191)</f>
        <v>0.466922436880303</v>
      </c>
    </row>
    <row r="193" customFormat="false" ht="12.75" hidden="false" customHeight="false" outlineLevel="0" collapsed="false">
      <c r="G193" s="350" t="s">
        <v>486</v>
      </c>
      <c r="H193" s="386" t="s">
        <v>689</v>
      </c>
    </row>
    <row r="194" customFormat="false" ht="12.75" hidden="false" customHeight="false" outlineLevel="0" collapsed="false">
      <c r="G194" s="347" t="s">
        <v>505</v>
      </c>
      <c r="H194" s="335" t="n">
        <v>0.3699</v>
      </c>
    </row>
    <row r="195" customFormat="false" ht="12.75" hidden="false" customHeight="false" outlineLevel="0" collapsed="false">
      <c r="G195" s="347" t="s">
        <v>112</v>
      </c>
      <c r="H195" s="334" t="n">
        <f aca="false">0.0022+0.007</f>
        <v>0.0092</v>
      </c>
    </row>
    <row r="196" customFormat="false" ht="12.75" hidden="false" customHeight="false" outlineLevel="0" collapsed="false">
      <c r="G196" s="342" t="n">
        <v>0.0314</v>
      </c>
      <c r="H196" s="338" t="n">
        <f aca="false">(E5)/(1-G196)-E5</f>
        <v>0.186403055957052</v>
      </c>
    </row>
    <row r="197" customFormat="false" ht="12.75" hidden="false" customHeight="false" outlineLevel="0" collapsed="false">
      <c r="G197" s="347"/>
      <c r="H197" s="346" t="n">
        <f aca="false">SUM(H194:H196)</f>
        <v>0.565503055957052</v>
      </c>
    </row>
    <row r="198" customFormat="false" ht="12.75" hidden="false" customHeight="false" outlineLevel="0" collapsed="false">
      <c r="G198" s="350" t="s">
        <v>486</v>
      </c>
      <c r="H198" s="386" t="s">
        <v>690</v>
      </c>
    </row>
    <row r="199" customFormat="false" ht="12.75" hidden="false" customHeight="false" outlineLevel="0" collapsed="false">
      <c r="G199" s="347" t="s">
        <v>505</v>
      </c>
      <c r="H199" s="335" t="n">
        <v>0.197</v>
      </c>
    </row>
    <row r="200" customFormat="false" ht="12.75" hidden="false" customHeight="false" outlineLevel="0" collapsed="false">
      <c r="G200" s="347" t="s">
        <v>112</v>
      </c>
      <c r="H200" s="334" t="n">
        <f aca="false">0.0022+0.007</f>
        <v>0.0092</v>
      </c>
    </row>
    <row r="201" customFormat="false" ht="12.75" hidden="false" customHeight="false" outlineLevel="0" collapsed="false">
      <c r="G201" s="342" t="n">
        <v>0.0116</v>
      </c>
      <c r="H201" s="338" t="n">
        <f aca="false">(H5)/(1-G201)-H5</f>
        <v>0.073292189397006</v>
      </c>
    </row>
    <row r="202" customFormat="false" ht="12.75" hidden="false" customHeight="false" outlineLevel="0" collapsed="false">
      <c r="G202" s="347"/>
      <c r="H202" s="346" t="n">
        <f aca="false">SUM(H199:H201)</f>
        <v>0.279492189397006</v>
      </c>
      <c r="K202" s="300"/>
    </row>
    <row r="203" customFormat="false" ht="12.75" hidden="false" customHeight="false" outlineLevel="0" collapsed="false">
      <c r="G203" s="350" t="s">
        <v>486</v>
      </c>
      <c r="H203" s="386" t="s">
        <v>691</v>
      </c>
      <c r="K203" s="300"/>
    </row>
    <row r="204" customFormat="false" ht="12.75" hidden="false" customHeight="false" outlineLevel="0" collapsed="false">
      <c r="G204" s="347" t="s">
        <v>505</v>
      </c>
      <c r="H204" s="335" t="n">
        <f aca="false">0.1786-0.0022</f>
        <v>0.1764</v>
      </c>
      <c r="K204" s="300"/>
    </row>
    <row r="205" customFormat="false" ht="12.75" hidden="false" customHeight="false" outlineLevel="0" collapsed="false">
      <c r="G205" s="347" t="s">
        <v>112</v>
      </c>
      <c r="H205" s="334" t="n">
        <f aca="false">0.0022+0.007</f>
        <v>0.0092</v>
      </c>
    </row>
    <row r="206" customFormat="false" ht="12.75" hidden="false" customHeight="false" outlineLevel="0" collapsed="false">
      <c r="G206" s="342" t="n">
        <v>0.0128</v>
      </c>
      <c r="H206" s="338" t="n">
        <f aca="false">(H5)/(1-G206)-H5</f>
        <v>0.0809724473257703</v>
      </c>
      <c r="K206" s="300"/>
    </row>
    <row r="207" customFormat="false" ht="12.75" hidden="false" customHeight="false" outlineLevel="0" collapsed="false">
      <c r="G207" s="347"/>
      <c r="H207" s="346" t="n">
        <f aca="false">SUM(H204:H206)</f>
        <v>0.26657244732577</v>
      </c>
      <c r="K207" s="300"/>
    </row>
    <row r="208" customFormat="false" ht="12.75" hidden="false" customHeight="false" outlineLevel="0" collapsed="false">
      <c r="G208" s="350" t="s">
        <v>486</v>
      </c>
      <c r="H208" s="386" t="s">
        <v>692</v>
      </c>
      <c r="K208" s="300"/>
    </row>
    <row r="209" customFormat="false" ht="12.75" hidden="false" customHeight="false" outlineLevel="0" collapsed="false">
      <c r="G209" s="347" t="s">
        <v>505</v>
      </c>
      <c r="H209" s="335" t="n">
        <v>0.2808</v>
      </c>
    </row>
    <row r="210" customFormat="false" ht="12.75" hidden="false" customHeight="false" outlineLevel="0" collapsed="false">
      <c r="G210" s="347" t="s">
        <v>112</v>
      </c>
      <c r="H210" s="334" t="n">
        <f aca="false">0.0022+0.007</f>
        <v>0.0092</v>
      </c>
    </row>
    <row r="211" customFormat="false" ht="12.75" hidden="false" customHeight="false" outlineLevel="0" collapsed="false">
      <c r="G211" s="342" t="n">
        <v>0.0209</v>
      </c>
      <c r="H211" s="338" t="n">
        <f aca="false">(H5)/(1-G211)-H5</f>
        <v>0.133306608109488</v>
      </c>
    </row>
    <row r="212" customFormat="false" ht="12.75" hidden="false" customHeight="false" outlineLevel="0" collapsed="false">
      <c r="G212" s="347"/>
      <c r="H212" s="346" t="n">
        <f aca="false">SUM(H209:H211)</f>
        <v>0.423306608109488</v>
      </c>
    </row>
    <row r="213" customFormat="false" ht="12.75" hidden="false" customHeight="false" outlineLevel="0" collapsed="false">
      <c r="G213" s="350" t="s">
        <v>486</v>
      </c>
      <c r="H213" s="386" t="s">
        <v>693</v>
      </c>
    </row>
    <row r="214" customFormat="false" ht="12.75" hidden="false" customHeight="false" outlineLevel="0" collapsed="false">
      <c r="G214" s="347" t="s">
        <v>505</v>
      </c>
      <c r="H214" s="335" t="n">
        <v>0.4898</v>
      </c>
    </row>
    <row r="215" customFormat="false" ht="12.75" hidden="false" customHeight="false" outlineLevel="0" collapsed="false">
      <c r="G215" s="347" t="s">
        <v>112</v>
      </c>
      <c r="H215" s="334" t="n">
        <f aca="false">0.0022+0.007</f>
        <v>0.0092</v>
      </c>
    </row>
    <row r="216" customFormat="false" ht="12.75" hidden="false" customHeight="false" outlineLevel="0" collapsed="false">
      <c r="G216" s="342" t="n">
        <v>0.0456</v>
      </c>
      <c r="H216" s="338" t="n">
        <f aca="false">(H5)/(1-G216)-H5</f>
        <v>0.298378038558257</v>
      </c>
    </row>
    <row r="217" customFormat="false" ht="12.75" hidden="false" customHeight="false" outlineLevel="0" collapsed="false">
      <c r="G217" s="347"/>
      <c r="H217" s="346" t="n">
        <f aca="false">SUM(H214:H216)</f>
        <v>0.797378038558257</v>
      </c>
    </row>
    <row r="218" customFormat="false" ht="12.75" hidden="false" customHeight="false" outlineLevel="0" collapsed="false">
      <c r="G218" s="350" t="s">
        <v>486</v>
      </c>
      <c r="H218" s="386" t="s">
        <v>694</v>
      </c>
    </row>
    <row r="219" customFormat="false" ht="12.75" hidden="false" customHeight="false" outlineLevel="0" collapsed="false">
      <c r="G219" s="347" t="s">
        <v>505</v>
      </c>
      <c r="H219" s="335" t="n">
        <v>0.3192</v>
      </c>
    </row>
    <row r="220" customFormat="false" ht="12.75" hidden="false" customHeight="false" outlineLevel="0" collapsed="false">
      <c r="G220" s="347" t="s">
        <v>112</v>
      </c>
      <c r="H220" s="334" t="n">
        <f aca="false">0.0022+0.007</f>
        <v>0.0092</v>
      </c>
    </row>
    <row r="221" customFormat="false" ht="12.75" hidden="false" customHeight="false" outlineLevel="0" collapsed="false">
      <c r="G221" s="342" t="n">
        <v>0.025</v>
      </c>
      <c r="H221" s="338" t="n">
        <f aca="false">(H5)/(1-G221)-H5</f>
        <v>0.160128205128205</v>
      </c>
    </row>
    <row r="222" customFormat="false" ht="12.75" hidden="false" customHeight="false" outlineLevel="0" collapsed="false">
      <c r="G222" s="347"/>
      <c r="H222" s="346" t="n">
        <f aca="false">SUM(H219:H221)</f>
        <v>0.488528205128205</v>
      </c>
    </row>
    <row r="223" customFormat="false" ht="12.75" hidden="false" customHeight="false" outlineLevel="0" collapsed="false">
      <c r="G223" s="350" t="s">
        <v>486</v>
      </c>
      <c r="H223" s="386" t="s">
        <v>695</v>
      </c>
    </row>
    <row r="224" customFormat="false" ht="12.75" hidden="false" customHeight="false" outlineLevel="0" collapsed="false">
      <c r="G224" s="347" t="s">
        <v>505</v>
      </c>
      <c r="H224" s="335" t="n">
        <v>0.2808</v>
      </c>
    </row>
    <row r="225" customFormat="false" ht="12.75" hidden="false" customHeight="false" outlineLevel="0" collapsed="false">
      <c r="G225" s="347" t="s">
        <v>112</v>
      </c>
      <c r="H225" s="334" t="n">
        <f aca="false">0.0022+0.007</f>
        <v>0.0092</v>
      </c>
    </row>
    <row r="226" customFormat="false" ht="12.75" hidden="false" customHeight="false" outlineLevel="0" collapsed="false">
      <c r="G226" s="342" t="n">
        <v>0.014</v>
      </c>
      <c r="H226" s="338" t="n">
        <f aca="false">(H5)/(1-G226)-H5</f>
        <v>0.0886713995943209</v>
      </c>
    </row>
    <row r="227" customFormat="false" ht="12.75" hidden="false" customHeight="false" outlineLevel="0" collapsed="false">
      <c r="G227" s="347"/>
      <c r="H227" s="346" t="n">
        <f aca="false">SUM(H224:H226)</f>
        <v>0.378671399594321</v>
      </c>
    </row>
    <row r="228" customFormat="false" ht="12.75" hidden="false" customHeight="false" outlineLevel="0" collapsed="false">
      <c r="G228" s="350" t="s">
        <v>486</v>
      </c>
      <c r="H228" s="386" t="s">
        <v>696</v>
      </c>
    </row>
    <row r="229" customFormat="false" ht="12.75" hidden="false" customHeight="false" outlineLevel="0" collapsed="false">
      <c r="G229" s="347" t="s">
        <v>505</v>
      </c>
      <c r="H229" s="335" t="n">
        <v>0.2103</v>
      </c>
    </row>
    <row r="230" customFormat="false" ht="12.75" hidden="false" customHeight="false" outlineLevel="0" collapsed="false">
      <c r="G230" s="347" t="s">
        <v>112</v>
      </c>
      <c r="H230" s="334" t="n">
        <f aca="false">0.0022+0.007</f>
        <v>0.0092</v>
      </c>
    </row>
    <row r="231" customFormat="false" ht="12.75" hidden="false" customHeight="false" outlineLevel="0" collapsed="false">
      <c r="G231" s="342" t="n">
        <v>0.0089</v>
      </c>
      <c r="H231" s="338" t="n">
        <f aca="false">(H5)/(1-G231)-H5</f>
        <v>0.0560796085157911</v>
      </c>
    </row>
    <row r="232" customFormat="false" ht="12.75" hidden="false" customHeight="false" outlineLevel="0" collapsed="false">
      <c r="G232" s="347"/>
      <c r="H232" s="346" t="n">
        <f aca="false">SUM(H229:H231)</f>
        <v>0.275579608515791</v>
      </c>
    </row>
    <row r="233" customFormat="false" ht="12.75" hidden="false" customHeight="false" outlineLevel="0" collapsed="false">
      <c r="G233" s="71" t="s">
        <v>697</v>
      </c>
      <c r="H233" s="71"/>
    </row>
    <row r="234" customFormat="false" ht="12.75" hidden="false" customHeight="false" outlineLevel="0" collapsed="false">
      <c r="G234" s="388" t="s">
        <v>486</v>
      </c>
      <c r="H234" s="389" t="s">
        <v>698</v>
      </c>
      <c r="I234" s="290"/>
    </row>
    <row r="235" customFormat="false" ht="12.75" hidden="false" customHeight="false" outlineLevel="0" collapsed="false">
      <c r="G235" s="390" t="s">
        <v>505</v>
      </c>
      <c r="H235" s="391" t="n">
        <v>0.0213</v>
      </c>
      <c r="I235" s="290"/>
    </row>
    <row r="236" customFormat="false" ht="12.75" hidden="false" customHeight="false" outlineLevel="0" collapsed="false">
      <c r="G236" s="390" t="s">
        <v>112</v>
      </c>
      <c r="H236" s="392" t="n">
        <v>0</v>
      </c>
      <c r="I236" s="290"/>
    </row>
    <row r="237" customFormat="false" ht="12.75" hidden="false" customHeight="false" outlineLevel="0" collapsed="false">
      <c r="G237" s="393" t="n">
        <v>0.0089</v>
      </c>
      <c r="H237" s="394" t="n">
        <f aca="false">(H$3)/(1-G237)-H$3</f>
        <v>0.0517692462919985</v>
      </c>
      <c r="I237" s="290"/>
    </row>
    <row r="238" customFormat="false" ht="12.75" hidden="false" customHeight="false" outlineLevel="0" collapsed="false">
      <c r="G238" s="390"/>
      <c r="H238" s="395" t="n">
        <f aca="false">SUM(H235:H237)</f>
        <v>0.0730692462919985</v>
      </c>
      <c r="I238" s="290"/>
    </row>
    <row r="239" customFormat="false" ht="12.75" hidden="false" customHeight="false" outlineLevel="0" collapsed="false">
      <c r="G239" s="396"/>
      <c r="H239" s="396"/>
      <c r="I239" s="290"/>
    </row>
    <row r="240" customFormat="false" ht="12.75" hidden="false" customHeight="false" outlineLevel="0" collapsed="false">
      <c r="G240" s="388" t="s">
        <v>486</v>
      </c>
      <c r="H240" s="389" t="s">
        <v>699</v>
      </c>
      <c r="I240" s="290"/>
    </row>
    <row r="241" customFormat="false" ht="12.75" hidden="false" customHeight="false" outlineLevel="0" collapsed="false">
      <c r="G241" s="390" t="s">
        <v>505</v>
      </c>
      <c r="H241" s="391" t="n">
        <v>0.025</v>
      </c>
      <c r="I241" s="290"/>
    </row>
    <row r="242" customFormat="false" ht="12.75" hidden="false" customHeight="false" outlineLevel="0" collapsed="false">
      <c r="G242" s="390" t="s">
        <v>112</v>
      </c>
      <c r="H242" s="392" t="n">
        <v>0</v>
      </c>
      <c r="I242" s="290"/>
    </row>
    <row r="243" customFormat="false" ht="12.75" hidden="false" customHeight="false" outlineLevel="0" collapsed="false">
      <c r="G243" s="393" t="n">
        <v>0.0279</v>
      </c>
      <c r="H243" s="394" t="n">
        <f aca="false">(H$3)/(1-G243)-H$3</f>
        <v>0.165459829235676</v>
      </c>
      <c r="I243" s="290"/>
      <c r="J243" s="397" t="n">
        <f aca="false">+K243/(1-G243)</f>
        <v>20574.015019031</v>
      </c>
      <c r="K243" s="25" t="n">
        <v>20000</v>
      </c>
    </row>
    <row r="244" customFormat="false" ht="12.75" hidden="false" customHeight="false" outlineLevel="0" collapsed="false">
      <c r="G244" s="390"/>
      <c r="H244" s="395" t="n">
        <f aca="false">SUM(H241:H243)</f>
        <v>0.190459829235676</v>
      </c>
      <c r="I244" s="290"/>
    </row>
    <row r="245" customFormat="false" ht="12.75" hidden="false" customHeight="false" outlineLevel="0" collapsed="false">
      <c r="G245" s="398"/>
      <c r="H245" s="398"/>
      <c r="I245" s="290"/>
    </row>
    <row r="246" customFormat="false" ht="12.75" hidden="false" customHeight="false" outlineLevel="0" collapsed="false">
      <c r="G246" s="388" t="s">
        <v>486</v>
      </c>
      <c r="H246" s="389" t="s">
        <v>700</v>
      </c>
      <c r="I246" s="290"/>
    </row>
    <row r="247" customFormat="false" ht="12.75" hidden="false" customHeight="false" outlineLevel="0" collapsed="false">
      <c r="G247" s="390" t="s">
        <v>505</v>
      </c>
      <c r="H247" s="391" t="n">
        <v>0.025</v>
      </c>
      <c r="I247" s="290"/>
    </row>
    <row r="248" customFormat="false" ht="12.75" hidden="false" customHeight="false" outlineLevel="0" collapsed="false">
      <c r="G248" s="390" t="s">
        <v>112</v>
      </c>
      <c r="H248" s="392" t="n">
        <v>0</v>
      </c>
      <c r="I248" s="290"/>
    </row>
    <row r="249" customFormat="false" ht="12.75" hidden="false" customHeight="false" outlineLevel="0" collapsed="false">
      <c r="G249" s="393" t="n">
        <v>0.0516</v>
      </c>
      <c r="H249" s="394" t="n">
        <f aca="false">(H$3)/(1-G249)-H$3</f>
        <v>0.313658793757908</v>
      </c>
      <c r="I249" s="290"/>
    </row>
    <row r="250" customFormat="false" ht="12.75" hidden="false" customHeight="false" outlineLevel="0" collapsed="false">
      <c r="G250" s="390"/>
      <c r="H250" s="395" t="n">
        <f aca="false">SUM(H247:H249)</f>
        <v>0.338658793757908</v>
      </c>
      <c r="I250" s="290"/>
    </row>
    <row r="251" customFormat="false" ht="12.75" hidden="false" customHeight="false" outlineLevel="0" collapsed="false">
      <c r="G251" s="398"/>
      <c r="H251" s="398"/>
      <c r="I251" s="290"/>
    </row>
    <row r="252" customFormat="false" ht="12.75" hidden="false" customHeight="false" outlineLevel="0" collapsed="false">
      <c r="G252" s="388" t="s">
        <v>486</v>
      </c>
      <c r="H252" s="389" t="s">
        <v>701</v>
      </c>
      <c r="I252" s="290"/>
    </row>
    <row r="253" customFormat="false" ht="12.75" hidden="false" customHeight="false" outlineLevel="0" collapsed="false">
      <c r="G253" s="390" t="s">
        <v>505</v>
      </c>
      <c r="H253" s="391" t="n">
        <v>0.025</v>
      </c>
      <c r="I253" s="290"/>
    </row>
    <row r="254" customFormat="false" ht="12.75" hidden="false" customHeight="false" outlineLevel="0" collapsed="false">
      <c r="G254" s="390" t="s">
        <v>112</v>
      </c>
      <c r="H254" s="392" t="n">
        <v>0</v>
      </c>
      <c r="I254" s="290"/>
    </row>
    <row r="255" customFormat="false" ht="12.75" hidden="false" customHeight="false" outlineLevel="0" collapsed="false">
      <c r="G255" s="393" t="n">
        <v>0.0588</v>
      </c>
      <c r="H255" s="394" t="n">
        <f aca="false">(H$3)/(1-G255)-H$3</f>
        <v>0.360159371015724</v>
      </c>
      <c r="I255" s="290"/>
      <c r="J255" s="397" t="n">
        <f aca="false">+K255/(1-G255)</f>
        <v>10624.7343816405</v>
      </c>
      <c r="K255" s="25" t="n">
        <v>10000</v>
      </c>
    </row>
    <row r="256" customFormat="false" ht="12.75" hidden="false" customHeight="false" outlineLevel="0" collapsed="false">
      <c r="G256" s="390"/>
      <c r="H256" s="395" t="n">
        <f aca="false">SUM(H253:H255)</f>
        <v>0.385159371015724</v>
      </c>
      <c r="I256" s="290"/>
      <c r="J256" s="363" t="n">
        <f aca="false">+H256+H3</f>
        <v>6.15015937101572</v>
      </c>
    </row>
    <row r="257" customFormat="false" ht="12.75" hidden="false" customHeight="false" outlineLevel="0" collapsed="false">
      <c r="G257" s="398"/>
      <c r="H257" s="398"/>
      <c r="I257" s="290"/>
    </row>
    <row r="258" customFormat="false" ht="12.75" hidden="false" customHeight="false" outlineLevel="0" collapsed="false">
      <c r="G258" s="388" t="s">
        <v>486</v>
      </c>
      <c r="H258" s="389" t="s">
        <v>702</v>
      </c>
      <c r="I258" s="290"/>
    </row>
    <row r="259" customFormat="false" ht="12.75" hidden="false" customHeight="false" outlineLevel="0" collapsed="false">
      <c r="G259" s="390" t="s">
        <v>505</v>
      </c>
      <c r="H259" s="391" t="n">
        <v>0.025</v>
      </c>
      <c r="I259" s="290"/>
    </row>
    <row r="260" customFormat="false" ht="12.75" hidden="false" customHeight="false" outlineLevel="0" collapsed="false">
      <c r="G260" s="390" t="s">
        <v>112</v>
      </c>
      <c r="H260" s="392" t="n">
        <v>0</v>
      </c>
      <c r="I260" s="290"/>
    </row>
    <row r="261" customFormat="false" ht="12.75" hidden="false" customHeight="false" outlineLevel="0" collapsed="false">
      <c r="G261" s="393" t="n">
        <v>0.0101</v>
      </c>
      <c r="H261" s="394" t="n">
        <f aca="false">(H$4)/(1-G261)-H$4</f>
        <v>0.0595348014951007</v>
      </c>
      <c r="I261" s="290"/>
    </row>
    <row r="262" customFormat="false" ht="12.75" hidden="false" customHeight="false" outlineLevel="0" collapsed="false">
      <c r="G262" s="390"/>
      <c r="H262" s="395" t="n">
        <f aca="false">SUM(H259:H261)</f>
        <v>0.0845348014951007</v>
      </c>
      <c r="I262" s="290"/>
    </row>
    <row r="263" customFormat="false" ht="12.75" hidden="false" customHeight="false" outlineLevel="0" collapsed="false">
      <c r="G263" s="398"/>
      <c r="H263" s="398"/>
      <c r="I263" s="290"/>
    </row>
    <row r="264" customFormat="false" ht="12.75" hidden="false" customHeight="false" outlineLevel="0" collapsed="false">
      <c r="G264" s="388" t="s">
        <v>486</v>
      </c>
      <c r="H264" s="389" t="s">
        <v>703</v>
      </c>
      <c r="I264" s="290"/>
    </row>
    <row r="265" customFormat="false" ht="12.75" hidden="false" customHeight="false" outlineLevel="0" collapsed="false">
      <c r="G265" s="390" t="s">
        <v>505</v>
      </c>
      <c r="H265" s="391" t="n">
        <v>0.025</v>
      </c>
      <c r="I265" s="290"/>
    </row>
    <row r="266" customFormat="false" ht="12.75" hidden="false" customHeight="false" outlineLevel="0" collapsed="false">
      <c r="G266" s="390" t="s">
        <v>112</v>
      </c>
      <c r="H266" s="392" t="n">
        <v>0</v>
      </c>
      <c r="I266" s="290"/>
    </row>
    <row r="267" customFormat="false" ht="12.75" hidden="false" customHeight="false" outlineLevel="0" collapsed="false">
      <c r="G267" s="393" t="n">
        <v>0.0191</v>
      </c>
      <c r="H267" s="394" t="n">
        <f aca="false">(H$4)/(1-G267)-H$4</f>
        <v>0.113618615557141</v>
      </c>
      <c r="I267" s="290"/>
    </row>
    <row r="268" customFormat="false" ht="12.75" hidden="false" customHeight="false" outlineLevel="0" collapsed="false">
      <c r="G268" s="390"/>
      <c r="H268" s="395" t="n">
        <f aca="false">SUM(H265:H267)</f>
        <v>0.138618615557141</v>
      </c>
      <c r="I268" s="290"/>
    </row>
    <row r="269" customFormat="false" ht="12.75" hidden="false" customHeight="false" outlineLevel="0" collapsed="false">
      <c r="G269" s="398"/>
      <c r="H269" s="398"/>
      <c r="I269" s="290"/>
    </row>
    <row r="270" customFormat="false" ht="12.75" hidden="false" customHeight="false" outlineLevel="0" collapsed="false">
      <c r="G270" s="388" t="s">
        <v>486</v>
      </c>
      <c r="H270" s="389" t="s">
        <v>704</v>
      </c>
      <c r="I270" s="290"/>
    </row>
    <row r="271" customFormat="false" ht="12.75" hidden="false" customHeight="false" outlineLevel="0" collapsed="false">
      <c r="G271" s="390" t="s">
        <v>505</v>
      </c>
      <c r="H271" s="391" t="n">
        <v>0.025</v>
      </c>
      <c r="I271" s="290"/>
    </row>
    <row r="272" customFormat="false" ht="12.75" hidden="false" customHeight="false" outlineLevel="0" collapsed="false">
      <c r="G272" s="390" t="s">
        <v>112</v>
      </c>
      <c r="H272" s="392" t="n">
        <v>0</v>
      </c>
      <c r="I272" s="290"/>
    </row>
    <row r="273" customFormat="false" ht="12.75" hidden="false" customHeight="false" outlineLevel="0" collapsed="false">
      <c r="G273" s="393" t="n">
        <v>0.0428</v>
      </c>
      <c r="H273" s="394" t="n">
        <f aca="false">(H$4)/(1-G273)-H$4</f>
        <v>0.260904722106143</v>
      </c>
      <c r="I273" s="290"/>
    </row>
    <row r="274" customFormat="false" ht="12.75" hidden="false" customHeight="false" outlineLevel="0" collapsed="false">
      <c r="G274" s="390"/>
      <c r="H274" s="395" t="n">
        <f aca="false">SUM(H271:H273)</f>
        <v>0.285904722106143</v>
      </c>
      <c r="I274" s="290"/>
    </row>
    <row r="275" customFormat="false" ht="12.75" hidden="false" customHeight="false" outlineLevel="0" collapsed="false">
      <c r="G275" s="398"/>
      <c r="H275" s="398"/>
      <c r="I275" s="290"/>
    </row>
    <row r="276" customFormat="false" ht="12.75" hidden="false" customHeight="false" outlineLevel="0" collapsed="false">
      <c r="G276" s="388" t="s">
        <v>486</v>
      </c>
      <c r="H276" s="389" t="s">
        <v>705</v>
      </c>
      <c r="I276" s="290"/>
    </row>
    <row r="277" customFormat="false" ht="12.75" hidden="false" customHeight="false" outlineLevel="0" collapsed="false">
      <c r="G277" s="390" t="s">
        <v>505</v>
      </c>
      <c r="H277" s="391" t="n">
        <v>0.025</v>
      </c>
      <c r="I277" s="290"/>
    </row>
    <row r="278" customFormat="false" ht="12.75" hidden="false" customHeight="false" outlineLevel="0" collapsed="false">
      <c r="G278" s="390" t="s">
        <v>112</v>
      </c>
      <c r="H278" s="392" t="n">
        <v>0</v>
      </c>
      <c r="I278" s="290"/>
    </row>
    <row r="279" customFormat="false" ht="12.75" hidden="false" customHeight="false" outlineLevel="0" collapsed="false">
      <c r="G279" s="393" t="n">
        <v>0.0499</v>
      </c>
      <c r="H279" s="394" t="n">
        <f aca="false">(H$4)/(1-G279)-H$4</f>
        <v>0.306458793811178</v>
      </c>
      <c r="I279" s="290"/>
    </row>
    <row r="280" customFormat="false" ht="12.75" hidden="false" customHeight="false" outlineLevel="0" collapsed="false">
      <c r="G280" s="390"/>
      <c r="H280" s="395" t="n">
        <f aca="false">SUM(H277:H279)</f>
        <v>0.331458793811178</v>
      </c>
      <c r="I280" s="290"/>
      <c r="J280" s="399" t="n">
        <f aca="false">+H280+H4</f>
        <v>6.16645879381118</v>
      </c>
    </row>
  </sheetData>
  <mergeCells count="1">
    <mergeCell ref="G2:I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00" width="18.41"/>
    <col collapsed="false" customWidth="true" hidden="false" outlineLevel="0" max="4" min="3" style="400" width="8.85"/>
    <col collapsed="false" customWidth="true" hidden="false" outlineLevel="0" max="5" min="5" style="401" width="8.85"/>
    <col collapsed="false" customWidth="true" hidden="false" outlineLevel="0" max="6" min="6" style="400" width="8.85"/>
    <col collapsed="false" customWidth="true" hidden="false" outlineLevel="0" max="10" min="7" style="0" width="8.85"/>
  </cols>
  <sheetData>
    <row r="1" customFormat="false" ht="12.75" hidden="false" customHeight="false" outlineLevel="0" collapsed="false">
      <c r="A1" s="400" t="s">
        <v>706</v>
      </c>
      <c r="B1" s="0" t="s">
        <v>707</v>
      </c>
    </row>
    <row r="2" customFormat="false" ht="12.75" hidden="false" customHeight="false" outlineLevel="0" collapsed="false">
      <c r="B2" s="0" t="s">
        <v>708</v>
      </c>
    </row>
    <row r="3" customFormat="false" ht="12.75" hidden="false" customHeight="false" outlineLevel="0" collapsed="false">
      <c r="B3" s="0" t="s">
        <v>709</v>
      </c>
    </row>
    <row r="4" customFormat="false" ht="12.75" hidden="false" customHeight="false" outlineLevel="0" collapsed="false">
      <c r="B4" s="0" t="s">
        <v>710</v>
      </c>
    </row>
    <row r="7" customFormat="false" ht="12.75" hidden="false" customHeight="false" outlineLevel="0" collapsed="false">
      <c r="B7" s="151" t="s">
        <v>711</v>
      </c>
      <c r="C7" s="402"/>
      <c r="D7" s="402"/>
      <c r="E7" s="402"/>
      <c r="F7" s="402"/>
      <c r="G7" s="151"/>
      <c r="H7" s="151"/>
      <c r="I7" s="151"/>
    </row>
    <row r="8" customFormat="false" ht="12.75" hidden="false" customHeight="false" outlineLevel="0" collapsed="false">
      <c r="B8" s="151"/>
      <c r="C8" s="402"/>
      <c r="D8" s="403" t="s">
        <v>712</v>
      </c>
      <c r="E8" s="403"/>
      <c r="F8" s="403"/>
      <c r="G8" s="403"/>
      <c r="H8" s="403"/>
      <c r="I8" s="403"/>
    </row>
    <row r="9" customFormat="false" ht="12.75" hidden="false" customHeight="false" outlineLevel="0" collapsed="false">
      <c r="B9" s="151"/>
      <c r="C9" s="402"/>
      <c r="D9" s="404" t="n">
        <v>1</v>
      </c>
      <c r="E9" s="405" t="n">
        <v>2</v>
      </c>
      <c r="F9" s="404" t="n">
        <v>3</v>
      </c>
      <c r="G9" s="406" t="n">
        <v>4</v>
      </c>
      <c r="H9" s="406" t="n">
        <v>5</v>
      </c>
      <c r="I9" s="406" t="n">
        <v>6</v>
      </c>
    </row>
    <row r="10" customFormat="false" ht="12.75" hidden="false" customHeight="false" outlineLevel="0" collapsed="false">
      <c r="B10" s="151"/>
      <c r="C10" s="402" t="s">
        <v>713</v>
      </c>
      <c r="D10" s="402"/>
      <c r="E10" s="407"/>
      <c r="F10" s="402"/>
      <c r="G10" s="151"/>
      <c r="H10" s="151"/>
      <c r="I10" s="151"/>
    </row>
    <row r="11" customFormat="false" ht="12.75" hidden="false" customHeight="false" outlineLevel="0" collapsed="false">
      <c r="B11" s="151"/>
      <c r="C11" s="402" t="n">
        <v>1</v>
      </c>
      <c r="D11" s="408" t="n">
        <v>0.0036</v>
      </c>
      <c r="E11" s="409" t="n">
        <v>0.0082</v>
      </c>
      <c r="F11" s="408" t="n">
        <v>0.0127</v>
      </c>
      <c r="G11" s="410" t="n">
        <v>0.032</v>
      </c>
      <c r="H11" s="410" t="n">
        <v>0.0475</v>
      </c>
      <c r="I11" s="410" t="n">
        <v>0.056</v>
      </c>
    </row>
    <row r="12" customFormat="false" ht="12.75" hidden="false" customHeight="false" outlineLevel="0" collapsed="false">
      <c r="B12" s="151"/>
      <c r="C12" s="402"/>
      <c r="D12" s="408"/>
      <c r="E12" s="409"/>
      <c r="F12" s="408"/>
      <c r="G12" s="410"/>
      <c r="H12" s="410"/>
      <c r="I12" s="410"/>
    </row>
    <row r="13" customFormat="false" ht="12.75" hidden="false" customHeight="false" outlineLevel="0" collapsed="false">
      <c r="B13" s="151"/>
      <c r="C13" s="402" t="n">
        <v>2</v>
      </c>
      <c r="D13" s="408"/>
      <c r="E13" s="409" t="n">
        <v>0.0046</v>
      </c>
      <c r="F13" s="408" t="n">
        <v>0.0091</v>
      </c>
      <c r="G13" s="410" t="n">
        <v>0.0284</v>
      </c>
      <c r="H13" s="410" t="n">
        <v>0.0439</v>
      </c>
      <c r="I13" s="410" t="n">
        <v>0.0524</v>
      </c>
    </row>
    <row r="14" customFormat="false" ht="12.75" hidden="false" customHeight="false" outlineLevel="0" collapsed="false">
      <c r="B14" s="151"/>
      <c r="C14" s="402" t="s">
        <v>1</v>
      </c>
      <c r="D14" s="408"/>
      <c r="E14" s="409"/>
      <c r="F14" s="408"/>
      <c r="G14" s="410"/>
      <c r="H14" s="410"/>
      <c r="I14" s="410"/>
    </row>
    <row r="15" customFormat="false" ht="12.75" hidden="false" customHeight="false" outlineLevel="0" collapsed="false">
      <c r="B15" s="151"/>
      <c r="C15" s="402" t="n">
        <v>3</v>
      </c>
      <c r="D15" s="408"/>
      <c r="E15" s="409"/>
      <c r="F15" s="408" t="n">
        <v>0.0045</v>
      </c>
      <c r="G15" s="410" t="n">
        <v>0.0238</v>
      </c>
      <c r="H15" s="410" t="n">
        <v>0.0393</v>
      </c>
      <c r="I15" s="410" t="n">
        <v>0.0478</v>
      </c>
    </row>
    <row r="16" customFormat="false" ht="12.75" hidden="false" customHeight="false" outlineLevel="0" collapsed="false">
      <c r="B16" s="151"/>
      <c r="C16" s="402"/>
      <c r="D16" s="408"/>
      <c r="E16" s="409"/>
      <c r="F16" s="408"/>
      <c r="G16" s="410"/>
      <c r="H16" s="410"/>
      <c r="I16" s="410"/>
    </row>
    <row r="17" customFormat="false" ht="12.75" hidden="false" customHeight="false" outlineLevel="0" collapsed="false">
      <c r="B17" s="151"/>
      <c r="C17" s="402" t="n">
        <v>4</v>
      </c>
      <c r="D17" s="408"/>
      <c r="E17" s="409"/>
      <c r="F17" s="408"/>
      <c r="G17" s="410" t="n">
        <v>0.0193</v>
      </c>
      <c r="H17" s="410" t="n">
        <v>0.0348</v>
      </c>
      <c r="I17" s="410" t="n">
        <v>0.0433</v>
      </c>
    </row>
    <row r="18" customFormat="false" ht="12.75" hidden="false" customHeight="false" outlineLevel="0" collapsed="false">
      <c r="B18" s="151"/>
      <c r="C18" s="402"/>
      <c r="D18" s="408"/>
      <c r="E18" s="409"/>
      <c r="F18" s="408"/>
      <c r="G18" s="410"/>
      <c r="H18" s="410"/>
      <c r="I18" s="410"/>
    </row>
    <row r="19" customFormat="false" ht="12.75" hidden="false" customHeight="false" outlineLevel="0" collapsed="false">
      <c r="B19" s="151"/>
      <c r="C19" s="402" t="n">
        <v>5</v>
      </c>
      <c r="D19" s="408"/>
      <c r="E19" s="409"/>
      <c r="F19" s="408"/>
      <c r="G19" s="410"/>
      <c r="H19" s="410" t="n">
        <v>0.0155</v>
      </c>
      <c r="I19" s="410" t="n">
        <v>0.024</v>
      </c>
    </row>
    <row r="20" customFormat="false" ht="12.75" hidden="false" customHeight="false" outlineLevel="0" collapsed="false">
      <c r="B20" s="151"/>
      <c r="C20" s="402"/>
      <c r="D20" s="408"/>
      <c r="E20" s="409"/>
      <c r="F20" s="408"/>
      <c r="G20" s="410"/>
      <c r="H20" s="410"/>
      <c r="I20" s="410"/>
    </row>
    <row r="21" customFormat="false" ht="12.75" hidden="false" customHeight="false" outlineLevel="0" collapsed="false">
      <c r="B21" s="151"/>
      <c r="C21" s="402" t="n">
        <v>6</v>
      </c>
      <c r="D21" s="408"/>
      <c r="E21" s="409"/>
      <c r="F21" s="408"/>
      <c r="G21" s="410"/>
      <c r="H21" s="410"/>
      <c r="I21" s="410" t="n">
        <v>0.0085</v>
      </c>
    </row>
    <row r="22" customFormat="false" ht="12.75" hidden="false" customHeight="false" outlineLevel="0" collapsed="false">
      <c r="B22" s="151"/>
      <c r="C22" s="402"/>
      <c r="D22" s="408"/>
      <c r="E22" s="409"/>
      <c r="F22" s="408"/>
      <c r="G22" s="410"/>
      <c r="H22" s="410"/>
      <c r="I22" s="410"/>
    </row>
    <row r="23" customFormat="false" ht="12.75" hidden="false" customHeight="false" outlineLevel="0" collapsed="false">
      <c r="B23" s="151"/>
      <c r="C23" s="402"/>
      <c r="D23" s="402"/>
      <c r="E23" s="407"/>
      <c r="F23" s="402"/>
      <c r="G23" s="151"/>
      <c r="H23" s="151"/>
      <c r="I23" s="151"/>
    </row>
    <row r="24" customFormat="false" ht="12.75" hidden="false" customHeight="false" outlineLevel="0" collapsed="false">
      <c r="B24" s="151"/>
      <c r="C24" s="407" t="s">
        <v>714</v>
      </c>
      <c r="D24" s="402"/>
      <c r="E24" s="407"/>
      <c r="F24" s="402"/>
      <c r="G24" s="151"/>
      <c r="H24" s="151"/>
      <c r="I24" s="151"/>
    </row>
  </sheetData>
  <mergeCells count="1">
    <mergeCell ref="D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51" width="10.85"/>
    <col collapsed="false" customWidth="true" hidden="false" outlineLevel="0" max="3" min="3" style="25" width="2.84"/>
    <col collapsed="false" customWidth="true" hidden="false" outlineLevel="0" max="5" min="4" style="411" width="10.85"/>
    <col collapsed="false" customWidth="true" hidden="false" outlineLevel="0" max="6" min="6" style="25" width="2.84"/>
    <col collapsed="false" customWidth="true" hidden="false" outlineLevel="0" max="8" min="7" style="151" width="10.85"/>
    <col collapsed="false" customWidth="true" hidden="false" outlineLevel="0" max="9" min="9" style="25" width="2.84"/>
    <col collapsed="false" customWidth="true" hidden="false" outlineLevel="0" max="11" min="10" style="411" width="9.14"/>
    <col collapsed="false" customWidth="true" hidden="false" outlineLevel="0" max="12" min="12" style="25" width="3.42"/>
    <col collapsed="false" customWidth="true" hidden="false" outlineLevel="0" max="14" min="13" style="411" width="9.14"/>
    <col collapsed="false" customWidth="true" hidden="false" outlineLevel="0" max="15" min="15" style="25" width="3.42"/>
  </cols>
  <sheetData>
    <row r="1" customFormat="false" ht="13.5" hidden="false" customHeight="false" outlineLevel="0" collapsed="false">
      <c r="D1" s="412"/>
      <c r="E1" s="412"/>
      <c r="G1" s="412"/>
      <c r="H1" s="412"/>
      <c r="M1" s="412"/>
      <c r="N1" s="412"/>
    </row>
    <row r="2" customFormat="false" ht="13.5" hidden="false" customHeight="false" outlineLevel="0" collapsed="false">
      <c r="A2" s="413" t="s">
        <v>1</v>
      </c>
      <c r="B2" s="413"/>
      <c r="C2" s="413"/>
      <c r="D2" s="414" t="s">
        <v>1</v>
      </c>
      <c r="E2" s="415"/>
      <c r="F2" s="285"/>
      <c r="G2" s="414"/>
      <c r="H2" s="416" t="s">
        <v>415</v>
      </c>
      <c r="I2" s="285"/>
      <c r="M2" s="412"/>
      <c r="N2" s="412"/>
    </row>
    <row r="3" customFormat="false" ht="12.75" hidden="false" customHeight="false" outlineLevel="0" collapsed="false">
      <c r="A3" s="312" t="s">
        <v>419</v>
      </c>
      <c r="B3" s="417" t="n">
        <v>4.755</v>
      </c>
      <c r="C3" s="285"/>
      <c r="D3" s="418" t="s">
        <v>420</v>
      </c>
      <c r="E3" s="419" t="n">
        <v>4.53</v>
      </c>
      <c r="F3" s="285"/>
      <c r="G3" s="418" t="s">
        <v>420</v>
      </c>
      <c r="H3" s="420" t="n">
        <f aca="false">+E3</f>
        <v>4.53</v>
      </c>
      <c r="I3" s="285"/>
      <c r="J3" s="421" t="s">
        <v>424</v>
      </c>
      <c r="K3" s="422" t="n">
        <v>4.88</v>
      </c>
      <c r="M3" s="418" t="s">
        <v>375</v>
      </c>
      <c r="N3" s="419" t="n">
        <v>2.97</v>
      </c>
    </row>
    <row r="4" customFormat="false" ht="12.75" hidden="false" customHeight="false" outlineLevel="0" collapsed="false">
      <c r="A4" s="312" t="s">
        <v>428</v>
      </c>
      <c r="B4" s="423" t="n">
        <v>4.85</v>
      </c>
      <c r="C4" s="285"/>
      <c r="D4" s="418" t="s">
        <v>429</v>
      </c>
      <c r="E4" s="419" t="n">
        <v>4.5</v>
      </c>
      <c r="F4" s="285"/>
      <c r="G4" s="418" t="s">
        <v>429</v>
      </c>
      <c r="H4" s="420" t="n">
        <f aca="false">+E4</f>
        <v>4.5</v>
      </c>
      <c r="I4" s="285"/>
      <c r="J4" s="421" t="s">
        <v>432</v>
      </c>
      <c r="M4" s="424" t="s">
        <v>432</v>
      </c>
      <c r="N4" s="412"/>
    </row>
    <row r="5" customFormat="false" ht="12.75" hidden="false" customHeight="false" outlineLevel="0" collapsed="false">
      <c r="A5" s="312" t="s">
        <v>307</v>
      </c>
      <c r="B5" s="425" t="n">
        <v>5</v>
      </c>
      <c r="C5" s="285"/>
      <c r="D5" s="418" t="s">
        <v>434</v>
      </c>
      <c r="E5" s="419" t="n">
        <v>4.47</v>
      </c>
      <c r="F5" s="285"/>
      <c r="G5" s="418" t="s">
        <v>434</v>
      </c>
      <c r="H5" s="420" t="n">
        <f aca="false">+E5</f>
        <v>4.47</v>
      </c>
      <c r="I5" s="285"/>
      <c r="M5" s="412"/>
      <c r="N5" s="412"/>
    </row>
    <row r="6" customFormat="false" ht="12.75" hidden="false" customHeight="false" outlineLevel="0" collapsed="false">
      <c r="A6" s="140"/>
      <c r="B6" s="140"/>
      <c r="C6" s="256"/>
      <c r="D6" s="426" t="s">
        <v>437</v>
      </c>
      <c r="E6" s="427" t="n">
        <v>2.6</v>
      </c>
      <c r="F6" s="256"/>
      <c r="G6" s="426" t="s">
        <v>437</v>
      </c>
      <c r="H6" s="420" t="n">
        <f aca="false">+E6</f>
        <v>2.6</v>
      </c>
      <c r="I6" s="256"/>
      <c r="J6" s="428"/>
      <c r="K6" s="428"/>
      <c r="L6" s="127"/>
      <c r="M6" s="429"/>
      <c r="N6" s="429"/>
      <c r="O6" s="127"/>
    </row>
    <row r="7" customFormat="false" ht="12.75" hidden="false" customHeight="false" outlineLevel="0" collapsed="false">
      <c r="A7" s="430"/>
      <c r="B7" s="430"/>
      <c r="C7" s="306"/>
      <c r="D7" s="431" t="s">
        <v>375</v>
      </c>
      <c r="E7" s="432" t="n">
        <v>3.065</v>
      </c>
      <c r="F7" s="306"/>
      <c r="G7" s="431" t="s">
        <v>375</v>
      </c>
      <c r="H7" s="420" t="n">
        <f aca="false">+E7</f>
        <v>3.065</v>
      </c>
      <c r="I7" s="306"/>
      <c r="J7" s="433"/>
      <c r="K7" s="433"/>
      <c r="L7" s="116"/>
      <c r="M7" s="434"/>
      <c r="N7" s="434"/>
      <c r="O7" s="116"/>
    </row>
    <row r="8" customFormat="false" ht="12.75" hidden="false" customHeight="false" outlineLevel="0" collapsed="false">
      <c r="A8" s="435" t="s">
        <v>715</v>
      </c>
      <c r="B8" s="436"/>
      <c r="C8" s="310"/>
      <c r="D8" s="312" t="s">
        <v>442</v>
      </c>
      <c r="E8" s="437"/>
      <c r="F8" s="285"/>
      <c r="G8" s="312" t="s">
        <v>442</v>
      </c>
      <c r="H8" s="437"/>
      <c r="I8" s="285"/>
      <c r="J8" s="411" t="s">
        <v>446</v>
      </c>
      <c r="M8" s="411" t="s">
        <v>716</v>
      </c>
    </row>
    <row r="9" customFormat="false" ht="12.75" hidden="false" customHeight="false" outlineLevel="0" collapsed="false">
      <c r="A9" s="436" t="s">
        <v>717</v>
      </c>
      <c r="B9" s="436"/>
      <c r="C9" s="209"/>
      <c r="D9" s="438" t="s">
        <v>453</v>
      </c>
      <c r="E9" s="437"/>
      <c r="F9" s="285"/>
      <c r="G9" s="438" t="s">
        <v>454</v>
      </c>
      <c r="H9" s="437"/>
      <c r="I9" s="285"/>
      <c r="J9" s="411" t="s">
        <v>718</v>
      </c>
      <c r="M9" s="411" t="s">
        <v>468</v>
      </c>
    </row>
    <row r="10" customFormat="false" ht="12.75" hidden="false" customHeight="false" outlineLevel="0" collapsed="false">
      <c r="A10" s="436" t="s">
        <v>462</v>
      </c>
      <c r="B10" s="436"/>
      <c r="C10" s="209"/>
      <c r="D10" s="439" t="s">
        <v>463</v>
      </c>
      <c r="E10" s="437"/>
      <c r="F10" s="285"/>
      <c r="G10" s="439" t="s">
        <v>463</v>
      </c>
      <c r="H10" s="437"/>
      <c r="I10" s="285"/>
      <c r="J10" s="411" t="s">
        <v>469</v>
      </c>
      <c r="M10" s="411" t="s">
        <v>476</v>
      </c>
    </row>
    <row r="11" customFormat="false" ht="12.75" hidden="false" customHeight="false" outlineLevel="0" collapsed="false">
      <c r="A11" s="440" t="s">
        <v>472</v>
      </c>
      <c r="B11" s="436"/>
      <c r="C11" s="209"/>
      <c r="D11" s="439" t="s">
        <v>719</v>
      </c>
      <c r="E11" s="437"/>
      <c r="F11" s="285"/>
      <c r="G11" s="439" t="s">
        <v>719</v>
      </c>
      <c r="H11" s="437"/>
      <c r="I11" s="285"/>
      <c r="J11" s="411" t="s">
        <v>477</v>
      </c>
    </row>
    <row r="12" customFormat="false" ht="12.75" hidden="false" customHeight="false" outlineLevel="0" collapsed="false">
      <c r="A12" s="441" t="s">
        <v>720</v>
      </c>
      <c r="B12" s="442"/>
      <c r="C12" s="285"/>
      <c r="D12" s="443" t="s">
        <v>721</v>
      </c>
      <c r="E12" s="444"/>
      <c r="F12" s="285"/>
      <c r="G12" s="443" t="s">
        <v>11</v>
      </c>
      <c r="H12" s="444"/>
      <c r="I12" s="285"/>
      <c r="J12" s="151" t="s">
        <v>481</v>
      </c>
      <c r="M12" s="411" t="s">
        <v>722</v>
      </c>
    </row>
    <row r="13" customFormat="false" ht="12.75" hidden="false" customHeight="false" outlineLevel="0" collapsed="false">
      <c r="A13" s="445" t="s">
        <v>486</v>
      </c>
      <c r="B13" s="446" t="s">
        <v>487</v>
      </c>
      <c r="C13" s="315"/>
      <c r="D13" s="323" t="s">
        <v>488</v>
      </c>
      <c r="E13" s="319" t="s">
        <v>489</v>
      </c>
      <c r="F13" s="315"/>
      <c r="G13" s="323" t="s">
        <v>488</v>
      </c>
      <c r="H13" s="319" t="s">
        <v>552</v>
      </c>
      <c r="I13" s="315"/>
      <c r="J13" s="411" t="s">
        <v>497</v>
      </c>
      <c r="M13" s="445" t="s">
        <v>254</v>
      </c>
      <c r="N13" s="446" t="s">
        <v>394</v>
      </c>
    </row>
    <row r="14" customFormat="false" ht="12.75" hidden="false" customHeight="false" outlineLevel="0" collapsed="false">
      <c r="A14" s="447" t="s">
        <v>505</v>
      </c>
      <c r="B14" s="448" t="n">
        <v>0.0439</v>
      </c>
      <c r="C14" s="321"/>
      <c r="D14" s="332" t="s">
        <v>505</v>
      </c>
      <c r="E14" s="329" t="n">
        <v>0.0178</v>
      </c>
      <c r="F14" s="321"/>
      <c r="G14" s="332" t="s">
        <v>505</v>
      </c>
      <c r="H14" s="329" t="n">
        <v>0.5548</v>
      </c>
      <c r="I14" s="321"/>
      <c r="J14" s="447" t="s">
        <v>505</v>
      </c>
      <c r="K14" s="448" t="n">
        <f aca="false">0.005+0.002</f>
        <v>0.007</v>
      </c>
      <c r="M14" s="447" t="s">
        <v>505</v>
      </c>
      <c r="N14" s="448" t="n">
        <v>0.0112</v>
      </c>
    </row>
    <row r="15" customFormat="false" ht="12.75" hidden="false" customHeight="false" outlineLevel="0" collapsed="false">
      <c r="A15" s="447" t="s">
        <v>112</v>
      </c>
      <c r="B15" s="448" t="n">
        <f aca="false">0.0022+0.0072+0.0225</f>
        <v>0.0319</v>
      </c>
      <c r="C15" s="321"/>
      <c r="D15" s="332" t="s">
        <v>112</v>
      </c>
      <c r="E15" s="329" t="n">
        <f aca="false">0.0022+0.0072</f>
        <v>0.0094</v>
      </c>
      <c r="F15" s="321"/>
      <c r="G15" s="332" t="s">
        <v>112</v>
      </c>
      <c r="H15" s="329" t="n">
        <f aca="false">0.0022+0.0072</f>
        <v>0.0094</v>
      </c>
      <c r="I15" s="321"/>
      <c r="J15" s="447" t="s">
        <v>112</v>
      </c>
      <c r="K15" s="448" t="n">
        <f aca="false">0.0022+0.0072</f>
        <v>0.0094</v>
      </c>
      <c r="M15" s="447" t="s">
        <v>112</v>
      </c>
      <c r="N15" s="448" t="n">
        <f aca="false">0.0022+0.0072</f>
        <v>0.0094</v>
      </c>
    </row>
    <row r="16" customFormat="false" ht="12.75" hidden="false" customHeight="false" outlineLevel="0" collapsed="false">
      <c r="A16" s="447" t="s">
        <v>633</v>
      </c>
      <c r="B16" s="449" t="n">
        <f aca="false">(B3)/(1-0.0084)-B3</f>
        <v>0.0402803549818476</v>
      </c>
      <c r="C16" s="336"/>
      <c r="D16" s="342" t="n">
        <v>0.0268</v>
      </c>
      <c r="E16" s="337" t="n">
        <f aca="false">(E$5)/(1-D16)-E$5</f>
        <v>0.123094944512947</v>
      </c>
      <c r="F16" s="336"/>
      <c r="G16" s="332" t="s">
        <v>723</v>
      </c>
      <c r="H16" s="337" t="n">
        <f aca="false">(H5)/(1-0.0926)-H5</f>
        <v>0.456162662552347</v>
      </c>
      <c r="I16" s="336"/>
      <c r="J16" s="447" t="s">
        <v>724</v>
      </c>
      <c r="K16" s="450" t="n">
        <f aca="false">+K3/(1-0.0022)-K3</f>
        <v>0.0107596712768085</v>
      </c>
      <c r="M16" s="447" t="s">
        <v>725</v>
      </c>
      <c r="N16" s="450" t="n">
        <f aca="false">+N3/(1-0.0058)-N3</f>
        <v>0.0173264936632469</v>
      </c>
    </row>
    <row r="17" customFormat="false" ht="12.75" hidden="false" customHeight="false" outlineLevel="0" collapsed="false">
      <c r="A17" s="451"/>
      <c r="B17" s="452" t="n">
        <f aca="false">SUM(B14:B16)</f>
        <v>0.116080354981848</v>
      </c>
      <c r="C17" s="339"/>
      <c r="D17" s="332"/>
      <c r="E17" s="345" t="n">
        <f aca="false">SUM(E14:E16)</f>
        <v>0.150294944512947</v>
      </c>
      <c r="F17" s="339"/>
      <c r="G17" s="332"/>
      <c r="H17" s="345" t="n">
        <f aca="false">SUM(H14:H16)</f>
        <v>1.02036266255235</v>
      </c>
      <c r="I17" s="339"/>
      <c r="J17" s="451"/>
      <c r="K17" s="452" t="n">
        <f aca="false">SUM(K14:K16)</f>
        <v>0.0271596712768085</v>
      </c>
      <c r="M17" s="451"/>
      <c r="N17" s="452" t="n">
        <f aca="false">SUM(N14:N16)</f>
        <v>0.0379264936632469</v>
      </c>
    </row>
    <row r="18" customFormat="false" ht="12.75" hidden="false" customHeight="false" outlineLevel="0" collapsed="false">
      <c r="A18" s="453" t="s">
        <v>486</v>
      </c>
      <c r="B18" s="454" t="s">
        <v>517</v>
      </c>
      <c r="C18" s="315"/>
      <c r="D18" s="323" t="s">
        <v>488</v>
      </c>
      <c r="E18" s="319" t="s">
        <v>518</v>
      </c>
      <c r="F18" s="315"/>
      <c r="G18" s="323" t="s">
        <v>488</v>
      </c>
      <c r="H18" s="319" t="s">
        <v>565</v>
      </c>
      <c r="I18" s="315"/>
    </row>
    <row r="19" customFormat="false" ht="12.75" hidden="false" customHeight="false" outlineLevel="0" collapsed="false">
      <c r="A19" s="447" t="s">
        <v>505</v>
      </c>
      <c r="B19" s="448" t="n">
        <v>0.0669</v>
      </c>
      <c r="C19" s="321"/>
      <c r="D19" s="332" t="s">
        <v>505</v>
      </c>
      <c r="E19" s="329" t="n">
        <v>0.0187</v>
      </c>
      <c r="F19" s="321"/>
      <c r="G19" s="332" t="s">
        <v>505</v>
      </c>
      <c r="H19" s="329" t="n">
        <v>0.659</v>
      </c>
      <c r="I19" s="321"/>
      <c r="J19" s="411" t="s">
        <v>525</v>
      </c>
      <c r="M19" s="445" t="s">
        <v>254</v>
      </c>
      <c r="N19" s="446" t="s">
        <v>524</v>
      </c>
    </row>
    <row r="20" customFormat="false" ht="12.75" hidden="false" customHeight="false" outlineLevel="0" collapsed="false">
      <c r="A20" s="447" t="s">
        <v>112</v>
      </c>
      <c r="B20" s="448" t="n">
        <f aca="false">0.0022+0.0072+0.0225</f>
        <v>0.0319</v>
      </c>
      <c r="C20" s="321"/>
      <c r="D20" s="332" t="s">
        <v>112</v>
      </c>
      <c r="E20" s="329" t="n">
        <f aca="false">0.0022</f>
        <v>0.0022</v>
      </c>
      <c r="F20" s="321"/>
      <c r="G20" s="332" t="s">
        <v>112</v>
      </c>
      <c r="H20" s="329" t="n">
        <f aca="false">0.0022+0.0072</f>
        <v>0.0094</v>
      </c>
      <c r="I20" s="321"/>
      <c r="J20" s="447" t="s">
        <v>505</v>
      </c>
      <c r="K20" s="448" t="n">
        <f aca="false">0.0303+0.002</f>
        <v>0.0323</v>
      </c>
      <c r="M20" s="447" t="s">
        <v>505</v>
      </c>
      <c r="N20" s="448" t="n">
        <v>0</v>
      </c>
    </row>
    <row r="21" customFormat="false" ht="12.75" hidden="false" customHeight="false" outlineLevel="0" collapsed="false">
      <c r="A21" s="447" t="s">
        <v>726</v>
      </c>
      <c r="B21" s="449" t="n">
        <f aca="false">(B3)/(1-0.0244)-B3</f>
        <v>0.118923739237392</v>
      </c>
      <c r="C21" s="336"/>
      <c r="D21" s="342" t="n">
        <v>0.0293</v>
      </c>
      <c r="E21" s="337" t="n">
        <f aca="false">(E$5)/(1-D21)-E$5</f>
        <v>0.134924281446379</v>
      </c>
      <c r="F21" s="336"/>
      <c r="G21" s="332" t="s">
        <v>727</v>
      </c>
      <c r="H21" s="337" t="n">
        <f aca="false">(H5)/(1-0.1089)-H5</f>
        <v>0.546272023341937</v>
      </c>
      <c r="I21" s="336"/>
      <c r="J21" s="447" t="s">
        <v>112</v>
      </c>
      <c r="K21" s="448" t="n">
        <f aca="false">0.0072+0.0022</f>
        <v>0.0094</v>
      </c>
      <c r="M21" s="447" t="s">
        <v>112</v>
      </c>
      <c r="N21" s="448" t="n">
        <f aca="false">0.0022+0.0072</f>
        <v>0.0094</v>
      </c>
    </row>
    <row r="22" customFormat="false" ht="12.75" hidden="false" customHeight="false" outlineLevel="0" collapsed="false">
      <c r="A22" s="451"/>
      <c r="B22" s="452" t="n">
        <f aca="false">SUM(B19:B21)</f>
        <v>0.217723739237392</v>
      </c>
      <c r="C22" s="339"/>
      <c r="D22" s="332"/>
      <c r="E22" s="345" t="n">
        <f aca="false">SUM(E19:E21)</f>
        <v>0.155824281446379</v>
      </c>
      <c r="F22" s="339"/>
      <c r="G22" s="332"/>
      <c r="H22" s="345" t="n">
        <f aca="false">SUM(H19:H21)</f>
        <v>1.21467202334194</v>
      </c>
      <c r="I22" s="339"/>
      <c r="J22" s="447" t="s">
        <v>728</v>
      </c>
      <c r="K22" s="450" t="n">
        <f aca="false">+K3/(1-0.0268)-K3</f>
        <v>0.134385532264694</v>
      </c>
      <c r="M22" s="447" t="s">
        <v>725</v>
      </c>
      <c r="N22" s="450" t="n">
        <f aca="false">+N3/(1-0.0058)-N3</f>
        <v>0.0173264936632469</v>
      </c>
    </row>
    <row r="23" customFormat="false" ht="12.75" hidden="false" customHeight="false" outlineLevel="0" collapsed="false">
      <c r="A23" s="453" t="s">
        <v>486</v>
      </c>
      <c r="B23" s="454" t="s">
        <v>535</v>
      </c>
      <c r="C23" s="339"/>
      <c r="D23" s="357" t="s">
        <v>488</v>
      </c>
      <c r="E23" s="358" t="s">
        <v>536</v>
      </c>
      <c r="F23" s="339"/>
      <c r="G23" s="323" t="s">
        <v>488</v>
      </c>
      <c r="H23" s="319" t="s">
        <v>592</v>
      </c>
      <c r="I23" s="339"/>
      <c r="J23" s="451"/>
      <c r="K23" s="452" t="n">
        <f aca="false">SUM(K20:K22)</f>
        <v>0.176085532264694</v>
      </c>
      <c r="M23" s="451"/>
      <c r="N23" s="452" t="n">
        <f aca="false">SUM(N20:N22)</f>
        <v>0.0267264936632469</v>
      </c>
    </row>
    <row r="24" customFormat="false" ht="12.75" hidden="false" customHeight="false" outlineLevel="0" collapsed="false">
      <c r="A24" s="447" t="s">
        <v>505</v>
      </c>
      <c r="B24" s="448" t="n">
        <v>0.088</v>
      </c>
      <c r="C24" s="356"/>
      <c r="D24" s="332" t="s">
        <v>505</v>
      </c>
      <c r="E24" s="329" t="n">
        <v>0.0236</v>
      </c>
      <c r="F24" s="356"/>
      <c r="G24" s="332" t="s">
        <v>505</v>
      </c>
      <c r="H24" s="329" t="n">
        <v>0.4115</v>
      </c>
      <c r="I24" s="356"/>
    </row>
    <row r="25" customFormat="false" ht="12.75" hidden="false" customHeight="false" outlineLevel="0" collapsed="false">
      <c r="A25" s="447" t="s">
        <v>112</v>
      </c>
      <c r="B25" s="448" t="n">
        <f aca="false">0.0022+0.0072</f>
        <v>0.0094</v>
      </c>
      <c r="C25" s="356"/>
      <c r="D25" s="332" t="s">
        <v>112</v>
      </c>
      <c r="E25" s="329" t="n">
        <f aca="false">0.0022+0.0072</f>
        <v>0.0094</v>
      </c>
      <c r="F25" s="356"/>
      <c r="G25" s="332" t="s">
        <v>112</v>
      </c>
      <c r="H25" s="329" t="n">
        <f aca="false">0.0022+0.0072</f>
        <v>0.0094</v>
      </c>
      <c r="I25" s="356"/>
      <c r="J25" s="411" t="s">
        <v>541</v>
      </c>
    </row>
    <row r="26" customFormat="false" ht="12.75" hidden="false" customHeight="false" outlineLevel="0" collapsed="false">
      <c r="A26" s="447" t="s">
        <v>729</v>
      </c>
      <c r="B26" s="449" t="n">
        <f aca="false">(B3)/(1-0.0443)-B3</f>
        <v>0.220410693732343</v>
      </c>
      <c r="C26" s="336"/>
      <c r="D26" s="342" t="n">
        <v>0.0428</v>
      </c>
      <c r="E26" s="337" t="n">
        <f aca="false">(E$5)/(1-D26)-E$5</f>
        <v>0.199870455495194</v>
      </c>
      <c r="F26" s="336"/>
      <c r="G26" s="332" t="s">
        <v>730</v>
      </c>
      <c r="H26" s="337" t="n">
        <f aca="false">(H4)/(1-0.0812)-H4</f>
        <v>0.397692642577274</v>
      </c>
      <c r="I26" s="336"/>
      <c r="J26" s="447" t="s">
        <v>505</v>
      </c>
      <c r="K26" s="448" t="n">
        <f aca="false">0.0275+0.002</f>
        <v>0.0295</v>
      </c>
    </row>
    <row r="27" customFormat="false" ht="12.75" hidden="false" customHeight="false" outlineLevel="0" collapsed="false">
      <c r="A27" s="451"/>
      <c r="B27" s="452" t="n">
        <f aca="false">SUM(B24:B26)</f>
        <v>0.317810693732343</v>
      </c>
      <c r="C27" s="339"/>
      <c r="D27" s="332"/>
      <c r="E27" s="345" t="n">
        <f aca="false">SUM(E24:E26)</f>
        <v>0.232870455495194</v>
      </c>
      <c r="F27" s="339"/>
      <c r="G27" s="332"/>
      <c r="H27" s="345" t="n">
        <f aca="false">SUM(H24:H26)</f>
        <v>0.818592642577274</v>
      </c>
      <c r="I27" s="339"/>
      <c r="J27" s="447" t="s">
        <v>112</v>
      </c>
      <c r="K27" s="448" t="n">
        <f aca="false">0.0072+0.0022</f>
        <v>0.0094</v>
      </c>
    </row>
    <row r="28" customFormat="false" ht="12.75" hidden="false" customHeight="false" outlineLevel="0" collapsed="false">
      <c r="A28" s="453" t="s">
        <v>486</v>
      </c>
      <c r="B28" s="455" t="s">
        <v>550</v>
      </c>
      <c r="C28" s="320"/>
      <c r="D28" s="323" t="s">
        <v>488</v>
      </c>
      <c r="E28" s="319" t="s">
        <v>551</v>
      </c>
      <c r="F28" s="320"/>
      <c r="G28" s="323" t="s">
        <v>488</v>
      </c>
      <c r="H28" s="319" t="s">
        <v>600</v>
      </c>
      <c r="I28" s="320"/>
      <c r="J28" s="447" t="s">
        <v>728</v>
      </c>
      <c r="K28" s="450" t="n">
        <f aca="false">+K3/(1-0.0268)-K3</f>
        <v>0.134385532264694</v>
      </c>
    </row>
    <row r="29" customFormat="false" ht="12.75" hidden="false" customHeight="false" outlineLevel="0" collapsed="false">
      <c r="A29" s="451" t="s">
        <v>505</v>
      </c>
      <c r="B29" s="448" t="n">
        <v>0.0978</v>
      </c>
      <c r="C29" s="321"/>
      <c r="D29" s="332" t="s">
        <v>505</v>
      </c>
      <c r="E29" s="329" t="n">
        <v>0.0706</v>
      </c>
      <c r="F29" s="321"/>
      <c r="G29" s="332" t="s">
        <v>505</v>
      </c>
      <c r="H29" s="329" t="n">
        <v>0.5157</v>
      </c>
      <c r="I29" s="321"/>
      <c r="J29" s="451"/>
      <c r="K29" s="452" t="n">
        <f aca="false">SUM(K26:K28)</f>
        <v>0.173285532264694</v>
      </c>
    </row>
    <row r="30" customFormat="false" ht="12.75" hidden="false" customHeight="false" outlineLevel="0" collapsed="false">
      <c r="A30" s="451" t="s">
        <v>112</v>
      </c>
      <c r="B30" s="448" t="n">
        <f aca="false">0.0022</f>
        <v>0.0022</v>
      </c>
      <c r="C30" s="321"/>
      <c r="D30" s="332" t="s">
        <v>112</v>
      </c>
      <c r="E30" s="329" t="n">
        <f aca="false">0.0022+0.0072</f>
        <v>0.0094</v>
      </c>
      <c r="F30" s="321"/>
      <c r="G30" s="332" t="s">
        <v>112</v>
      </c>
      <c r="H30" s="329" t="n">
        <f aca="false">0.0022+0.0072</f>
        <v>0.0094</v>
      </c>
      <c r="I30" s="321"/>
    </row>
    <row r="31" customFormat="false" ht="12.75" hidden="false" customHeight="false" outlineLevel="0" collapsed="false">
      <c r="A31" s="451" t="s">
        <v>731</v>
      </c>
      <c r="B31" s="449" t="n">
        <f aca="false">(B3)/(1-0.0504)-B3</f>
        <v>0.25237152485257</v>
      </c>
      <c r="C31" s="336"/>
      <c r="D31" s="342" t="n">
        <v>0.0677</v>
      </c>
      <c r="E31" s="337" t="n">
        <f aca="false">(E$5)/(1-D31)-E$5</f>
        <v>0.324594014802102</v>
      </c>
      <c r="F31" s="336"/>
      <c r="G31" s="332" t="s">
        <v>732</v>
      </c>
      <c r="H31" s="337" t="n">
        <f aca="false">(H4)/(1-0.0975)-H4</f>
        <v>0.486149584487535</v>
      </c>
      <c r="I31" s="336"/>
      <c r="J31" s="411" t="s">
        <v>559</v>
      </c>
    </row>
    <row r="32" customFormat="false" ht="12.75" hidden="false" customHeight="false" outlineLevel="0" collapsed="false">
      <c r="A32" s="451"/>
      <c r="B32" s="452" t="n">
        <f aca="false">SUM(B29:B31)</f>
        <v>0.35237152485257</v>
      </c>
      <c r="C32" s="339"/>
      <c r="D32" s="332"/>
      <c r="E32" s="345" t="n">
        <f aca="false">SUM(E29:E31)</f>
        <v>0.404594014802102</v>
      </c>
      <c r="F32" s="339"/>
      <c r="G32" s="332"/>
      <c r="H32" s="345" t="n">
        <f aca="false">SUM(H29:H31)</f>
        <v>1.01124958448754</v>
      </c>
      <c r="I32" s="339"/>
      <c r="J32" s="447" t="s">
        <v>505</v>
      </c>
      <c r="K32" s="448" t="n">
        <f aca="false">0.0152+0.002</f>
        <v>0.0172</v>
      </c>
    </row>
    <row r="33" customFormat="false" ht="12.75" hidden="false" customHeight="false" outlineLevel="0" collapsed="false">
      <c r="A33" s="453" t="s">
        <v>486</v>
      </c>
      <c r="B33" s="455" t="s">
        <v>564</v>
      </c>
      <c r="C33" s="320"/>
      <c r="D33" s="323" t="s">
        <v>488</v>
      </c>
      <c r="E33" s="319" t="s">
        <v>552</v>
      </c>
      <c r="F33" s="320"/>
      <c r="G33" s="323" t="s">
        <v>488</v>
      </c>
      <c r="H33" s="319" t="s">
        <v>624</v>
      </c>
      <c r="I33" s="320"/>
      <c r="J33" s="447" t="s">
        <v>112</v>
      </c>
      <c r="K33" s="448" t="n">
        <f aca="false">0.002+0.0072+0.0022</f>
        <v>0.0114</v>
      </c>
    </row>
    <row r="34" customFormat="false" ht="12.75" hidden="false" customHeight="false" outlineLevel="0" collapsed="false">
      <c r="A34" s="451" t="s">
        <v>505</v>
      </c>
      <c r="B34" s="448" t="n">
        <v>0.1118</v>
      </c>
      <c r="C34" s="321"/>
      <c r="D34" s="332" t="s">
        <v>505</v>
      </c>
      <c r="E34" s="329" t="n">
        <v>0.0915</v>
      </c>
      <c r="F34" s="321"/>
      <c r="G34" s="332" t="s">
        <v>505</v>
      </c>
      <c r="H34" s="329" t="n">
        <v>0.3937</v>
      </c>
      <c r="I34" s="321"/>
      <c r="J34" s="447" t="s">
        <v>733</v>
      </c>
      <c r="K34" s="450" t="n">
        <f aca="false">+K3/(1-0.0169)-K3</f>
        <v>0.0838897365476559</v>
      </c>
    </row>
    <row r="35" customFormat="false" ht="12.75" hidden="false" customHeight="false" outlineLevel="0" collapsed="false">
      <c r="A35" s="451" t="s">
        <v>112</v>
      </c>
      <c r="B35" s="448" t="n">
        <f aca="false">0.0022+0.0072</f>
        <v>0.0094</v>
      </c>
      <c r="C35" s="321"/>
      <c r="D35" s="332" t="s">
        <v>112</v>
      </c>
      <c r="E35" s="329" t="n">
        <f aca="false">0.0022+0.0072</f>
        <v>0.0094</v>
      </c>
      <c r="F35" s="321"/>
      <c r="G35" s="332" t="s">
        <v>112</v>
      </c>
      <c r="H35" s="329" t="n">
        <f aca="false">0.0022+0.0072</f>
        <v>0.0094</v>
      </c>
      <c r="I35" s="321"/>
      <c r="J35" s="451"/>
      <c r="K35" s="452" t="n">
        <f aca="false">SUM(K32:K34)</f>
        <v>0.112489736547656</v>
      </c>
    </row>
    <row r="36" customFormat="false" ht="12.75" hidden="false" customHeight="false" outlineLevel="0" collapsed="false">
      <c r="A36" s="451" t="s">
        <v>734</v>
      </c>
      <c r="B36" s="449" t="n">
        <f aca="false">(B3)/(1-0.058)-B3</f>
        <v>0.292770700636943</v>
      </c>
      <c r="C36" s="336"/>
      <c r="D36" s="342" t="n">
        <v>0.0926</v>
      </c>
      <c r="E36" s="337" t="n">
        <f aca="false">(E$5)/(1-D36)-E$5</f>
        <v>0.456162662552347</v>
      </c>
      <c r="F36" s="336"/>
      <c r="G36" s="332" t="s">
        <v>735</v>
      </c>
      <c r="H36" s="337" t="n">
        <f aca="false">(H3)/(1-0.0761)-H3</f>
        <v>0.373128044160624</v>
      </c>
      <c r="I36" s="336"/>
    </row>
    <row r="37" customFormat="false" ht="12.75" hidden="false" customHeight="false" outlineLevel="0" collapsed="false">
      <c r="A37" s="451"/>
      <c r="B37" s="452" t="n">
        <f aca="false">SUM(B34:B36)</f>
        <v>0.413970700636943</v>
      </c>
      <c r="C37" s="339"/>
      <c r="D37" s="332"/>
      <c r="E37" s="345" t="n">
        <f aca="false">SUM(E34:E36)</f>
        <v>0.557062662552347</v>
      </c>
      <c r="F37" s="339"/>
      <c r="G37" s="332"/>
      <c r="H37" s="345" t="n">
        <f aca="false">SUM(H34:H36)</f>
        <v>0.776228044160624</v>
      </c>
      <c r="I37" s="339"/>
      <c r="J37" s="411" t="s">
        <v>570</v>
      </c>
    </row>
    <row r="38" customFormat="false" ht="12.75" hidden="false" customHeight="false" outlineLevel="0" collapsed="false">
      <c r="A38" s="453" t="s">
        <v>486</v>
      </c>
      <c r="B38" s="455" t="s">
        <v>574</v>
      </c>
      <c r="C38" s="320"/>
      <c r="D38" s="323" t="s">
        <v>488</v>
      </c>
      <c r="E38" s="319" t="s">
        <v>565</v>
      </c>
      <c r="F38" s="320"/>
      <c r="G38" s="323" t="s">
        <v>488</v>
      </c>
      <c r="H38" s="319" t="s">
        <v>631</v>
      </c>
      <c r="I38" s="320"/>
      <c r="J38" s="447" t="s">
        <v>505</v>
      </c>
      <c r="K38" s="448" t="n">
        <f aca="false">0.0152+0.002</f>
        <v>0.0172</v>
      </c>
    </row>
    <row r="39" customFormat="false" ht="12.75" hidden="false" customHeight="false" outlineLevel="0" collapsed="false">
      <c r="A39" s="451" t="s">
        <v>505</v>
      </c>
      <c r="B39" s="448" t="n">
        <v>0.1231</v>
      </c>
      <c r="C39" s="321"/>
      <c r="D39" s="332" t="s">
        <v>505</v>
      </c>
      <c r="E39" s="329" t="n">
        <v>0.1061</v>
      </c>
      <c r="F39" s="321"/>
      <c r="G39" s="332" t="s">
        <v>505</v>
      </c>
      <c r="H39" s="329" t="n">
        <v>0.4979</v>
      </c>
      <c r="I39" s="321"/>
      <c r="J39" s="447" t="s">
        <v>112</v>
      </c>
      <c r="K39" s="448" t="n">
        <f aca="false">0.0072+0.0022</f>
        <v>0.0094</v>
      </c>
    </row>
    <row r="40" customFormat="false" ht="12.75" hidden="false" customHeight="false" outlineLevel="0" collapsed="false">
      <c r="A40" s="451" t="s">
        <v>112</v>
      </c>
      <c r="B40" s="448" t="n">
        <f aca="false">0.0022+0.0072</f>
        <v>0.0094</v>
      </c>
      <c r="C40" s="321"/>
      <c r="D40" s="332" t="s">
        <v>112</v>
      </c>
      <c r="E40" s="329" t="n">
        <f aca="false">0.0022+0.0072</f>
        <v>0.0094</v>
      </c>
      <c r="F40" s="321"/>
      <c r="G40" s="332" t="s">
        <v>112</v>
      </c>
      <c r="H40" s="329" t="n">
        <f aca="false">0.0022+0.0072</f>
        <v>0.0094</v>
      </c>
      <c r="I40" s="321"/>
      <c r="J40" s="447" t="s">
        <v>511</v>
      </c>
      <c r="K40" s="450" t="n">
        <v>0</v>
      </c>
    </row>
    <row r="41" customFormat="false" ht="12.75" hidden="false" customHeight="false" outlineLevel="0" collapsed="false">
      <c r="A41" s="451" t="s">
        <v>736</v>
      </c>
      <c r="B41" s="449" t="n">
        <f aca="false">(B3)/(1-0.0672)-B3</f>
        <v>0.342555746140652</v>
      </c>
      <c r="C41" s="336"/>
      <c r="D41" s="342" t="n">
        <v>0.1089</v>
      </c>
      <c r="E41" s="337" t="n">
        <f aca="false">(E$5)/(1-D41)-E$5</f>
        <v>0.546272023341937</v>
      </c>
      <c r="F41" s="336"/>
      <c r="G41" s="332" t="s">
        <v>737</v>
      </c>
      <c r="H41" s="337" t="n">
        <f aca="false">(H3)/(1-0.0924)-H3</f>
        <v>0.46118554429264</v>
      </c>
      <c r="I41" s="336"/>
      <c r="J41" s="451"/>
      <c r="K41" s="452" t="n">
        <f aca="false">SUM(K38:K40)</f>
        <v>0.0266</v>
      </c>
    </row>
    <row r="42" customFormat="false" ht="12.75" hidden="false" customHeight="false" outlineLevel="0" collapsed="false">
      <c r="A42" s="451"/>
      <c r="B42" s="452" t="n">
        <f aca="false">SUM(B39:B41)</f>
        <v>0.475055746140652</v>
      </c>
      <c r="C42" s="339"/>
      <c r="D42" s="332"/>
      <c r="E42" s="345" t="n">
        <f aca="false">SUM(E39:E41)</f>
        <v>0.661772023341937</v>
      </c>
      <c r="F42" s="339"/>
      <c r="G42" s="332"/>
      <c r="H42" s="345" t="n">
        <f aca="false">SUM(H39:H41)</f>
        <v>0.96848554429264</v>
      </c>
      <c r="I42" s="339"/>
    </row>
    <row r="43" customFormat="false" ht="12.75" hidden="false" customHeight="false" outlineLevel="0" collapsed="false">
      <c r="A43" s="453" t="s">
        <v>486</v>
      </c>
      <c r="B43" s="455" t="s">
        <v>581</v>
      </c>
      <c r="C43" s="320"/>
      <c r="D43" s="323" t="s">
        <v>488</v>
      </c>
      <c r="E43" s="319" t="s">
        <v>575</v>
      </c>
      <c r="F43" s="320"/>
      <c r="G43" s="323" t="s">
        <v>488</v>
      </c>
      <c r="H43" s="319" t="s">
        <v>638</v>
      </c>
      <c r="I43" s="320"/>
    </row>
    <row r="44" customFormat="false" ht="12.75" hidden="false" customHeight="false" outlineLevel="0" collapsed="false">
      <c r="A44" s="451" t="s">
        <v>505</v>
      </c>
      <c r="B44" s="448" t="n">
        <v>0.1608</v>
      </c>
      <c r="C44" s="321"/>
      <c r="D44" s="332" t="s">
        <v>505</v>
      </c>
      <c r="E44" s="329" t="n">
        <v>0.0147</v>
      </c>
      <c r="F44" s="321"/>
      <c r="G44" s="332" t="s">
        <v>505</v>
      </c>
      <c r="H44" s="329" t="n">
        <v>0.3106</v>
      </c>
      <c r="I44" s="321"/>
    </row>
    <row r="45" customFormat="false" ht="12.75" hidden="false" customHeight="false" outlineLevel="0" collapsed="false">
      <c r="A45" s="451" t="s">
        <v>112</v>
      </c>
      <c r="B45" s="448" t="n">
        <f aca="false">0.0022+0.0072</f>
        <v>0.0094</v>
      </c>
      <c r="C45" s="321"/>
      <c r="D45" s="332" t="s">
        <v>112</v>
      </c>
      <c r="E45" s="329" t="n">
        <f aca="false">0.0022</f>
        <v>0.0022</v>
      </c>
      <c r="F45" s="321"/>
      <c r="G45" s="332" t="s">
        <v>112</v>
      </c>
      <c r="H45" s="329" t="n">
        <f aca="false">0.0022+0.0072</f>
        <v>0.0094</v>
      </c>
      <c r="I45" s="321"/>
    </row>
    <row r="46" customFormat="false" ht="12.75" hidden="false" customHeight="false" outlineLevel="0" collapsed="false">
      <c r="A46" s="451" t="s">
        <v>738</v>
      </c>
      <c r="B46" s="449" t="n">
        <f aca="false">(B3)/(1-0.0742)-B3</f>
        <v>0.381098509397278</v>
      </c>
      <c r="C46" s="336"/>
      <c r="D46" s="342" t="n">
        <v>0.0175</v>
      </c>
      <c r="E46" s="377" t="n">
        <f aca="false">(E$4)/(1-D46)-E$4</f>
        <v>0.0801526717557248</v>
      </c>
      <c r="F46" s="336"/>
      <c r="G46" s="332" t="s">
        <v>739</v>
      </c>
      <c r="H46" s="337" t="n">
        <f aca="false">(H6)/(1-0.0498)-(H6)</f>
        <v>0.136266049252789</v>
      </c>
      <c r="I46" s="336"/>
    </row>
    <row r="47" customFormat="false" ht="12.75" hidden="false" customHeight="false" outlineLevel="0" collapsed="false">
      <c r="A47" s="451"/>
      <c r="B47" s="452" t="n">
        <f aca="false">SUM(B44:B46)</f>
        <v>0.551298509397278</v>
      </c>
      <c r="C47" s="339"/>
      <c r="D47" s="332"/>
      <c r="E47" s="345" t="n">
        <f aca="false">SUM(E44:E46)</f>
        <v>0.0970526717557248</v>
      </c>
      <c r="F47" s="339"/>
      <c r="G47" s="332"/>
      <c r="H47" s="345" t="n">
        <f aca="false">SUM(H44:H46)</f>
        <v>0.456266049252789</v>
      </c>
      <c r="I47" s="339"/>
    </row>
    <row r="48" customFormat="false" ht="12.75" hidden="false" customHeight="false" outlineLevel="0" collapsed="false">
      <c r="A48" s="453" t="s">
        <v>486</v>
      </c>
      <c r="B48" s="454" t="s">
        <v>590</v>
      </c>
      <c r="C48" s="368"/>
      <c r="D48" s="323" t="s">
        <v>488</v>
      </c>
      <c r="E48" s="319" t="s">
        <v>591</v>
      </c>
      <c r="F48" s="368"/>
      <c r="G48" s="323" t="s">
        <v>488</v>
      </c>
      <c r="H48" s="319" t="s">
        <v>643</v>
      </c>
      <c r="I48" s="368"/>
    </row>
    <row r="49" customFormat="false" ht="12.75" hidden="false" customHeight="false" outlineLevel="0" collapsed="false">
      <c r="A49" s="447" t="s">
        <v>505</v>
      </c>
      <c r="B49" s="448" t="n">
        <v>0.0286</v>
      </c>
      <c r="C49" s="321"/>
      <c r="D49" s="332" t="s">
        <v>505</v>
      </c>
      <c r="E49" s="329" t="n">
        <v>0.0195</v>
      </c>
      <c r="F49" s="321"/>
      <c r="G49" s="332" t="s">
        <v>505</v>
      </c>
      <c r="H49" s="329" t="n">
        <v>0.4147</v>
      </c>
      <c r="I49" s="321"/>
    </row>
    <row r="50" customFormat="false" ht="12.75" hidden="false" customHeight="false" outlineLevel="0" collapsed="false">
      <c r="A50" s="447" t="s">
        <v>112</v>
      </c>
      <c r="B50" s="448" t="n">
        <f aca="false">0.0022+0.0072+0.0225</f>
        <v>0.0319</v>
      </c>
      <c r="C50" s="321"/>
      <c r="D50" s="332" t="s">
        <v>112</v>
      </c>
      <c r="E50" s="329" t="n">
        <f aca="false">0.0022+0.0072</f>
        <v>0.0094</v>
      </c>
      <c r="F50" s="321"/>
      <c r="G50" s="332" t="s">
        <v>112</v>
      </c>
      <c r="H50" s="329" t="n">
        <f aca="false">0.0022+0.0072</f>
        <v>0.0094</v>
      </c>
      <c r="I50" s="321"/>
    </row>
    <row r="51" customFormat="false" ht="12.75" hidden="false" customHeight="false" outlineLevel="0" collapsed="false">
      <c r="A51" s="447" t="s">
        <v>740</v>
      </c>
      <c r="B51" s="456" t="n">
        <f aca="false">(B4)/(1-0.0095)-B4</f>
        <v>0.046516910651186</v>
      </c>
      <c r="C51" s="336"/>
      <c r="D51" s="342" t="n">
        <v>0.0314</v>
      </c>
      <c r="E51" s="377" t="n">
        <f aca="false">(E$4)/(1-D51)-E$4</f>
        <v>0.145880652488128</v>
      </c>
      <c r="F51" s="336"/>
      <c r="G51" s="332" t="s">
        <v>741</v>
      </c>
      <c r="H51" s="337" t="n">
        <f aca="false">(H6)/(1-0.0661)-(H6)</f>
        <v>0.184023985437413</v>
      </c>
      <c r="I51" s="336"/>
    </row>
    <row r="52" customFormat="false" ht="12.75" hidden="false" customHeight="false" outlineLevel="0" collapsed="false">
      <c r="A52" s="451"/>
      <c r="B52" s="452" t="n">
        <f aca="false">SUM(B49:B51)</f>
        <v>0.107016910651186</v>
      </c>
      <c r="C52" s="339"/>
      <c r="D52" s="332"/>
      <c r="E52" s="345" t="n">
        <f aca="false">SUM(E49:E51)</f>
        <v>0.174780652488128</v>
      </c>
      <c r="F52" s="339"/>
      <c r="G52" s="332"/>
      <c r="H52" s="345" t="n">
        <f aca="false">SUM(H49:H51)</f>
        <v>0.608123985437413</v>
      </c>
      <c r="I52" s="339"/>
    </row>
    <row r="53" customFormat="false" ht="12.75" hidden="false" customHeight="false" outlineLevel="0" collapsed="false">
      <c r="A53" s="453" t="s">
        <v>486</v>
      </c>
      <c r="B53" s="454" t="s">
        <v>599</v>
      </c>
      <c r="C53" s="368"/>
      <c r="D53" s="323" t="s">
        <v>488</v>
      </c>
      <c r="E53" s="319" t="s">
        <v>582</v>
      </c>
      <c r="F53" s="368"/>
      <c r="G53" s="323" t="s">
        <v>488</v>
      </c>
      <c r="H53" s="345" t="s">
        <v>654</v>
      </c>
      <c r="I53" s="368"/>
    </row>
    <row r="54" customFormat="false" ht="12.75" hidden="false" customHeight="false" outlineLevel="0" collapsed="false">
      <c r="A54" s="447" t="s">
        <v>505</v>
      </c>
      <c r="B54" s="448" t="n">
        <v>0.0572</v>
      </c>
      <c r="C54" s="321"/>
      <c r="D54" s="332" t="s">
        <v>505</v>
      </c>
      <c r="E54" s="329" t="n">
        <v>0.0665</v>
      </c>
      <c r="F54" s="321"/>
      <c r="G54" s="332" t="s">
        <v>505</v>
      </c>
      <c r="H54" s="371" t="n">
        <v>0.3409</v>
      </c>
      <c r="I54" s="321"/>
    </row>
    <row r="55" customFormat="false" ht="12.75" hidden="false" customHeight="false" outlineLevel="0" collapsed="false">
      <c r="A55" s="447" t="s">
        <v>112</v>
      </c>
      <c r="B55" s="448" t="n">
        <f aca="false">0.0022+0.0072+0.0225</f>
        <v>0.0319</v>
      </c>
      <c r="C55" s="321"/>
      <c r="D55" s="332" t="s">
        <v>112</v>
      </c>
      <c r="E55" s="329" t="n">
        <f aca="false">0.0022+0.0072</f>
        <v>0.0094</v>
      </c>
      <c r="F55" s="321"/>
      <c r="G55" s="332" t="s">
        <v>112</v>
      </c>
      <c r="H55" s="329" t="n">
        <f aca="false">0.0022+0.0072</f>
        <v>0.0094</v>
      </c>
      <c r="I55" s="321"/>
    </row>
    <row r="56" customFormat="false" ht="12.75" hidden="false" customHeight="false" outlineLevel="0" collapsed="false">
      <c r="A56" s="447" t="s">
        <v>742</v>
      </c>
      <c r="B56" s="456" t="n">
        <f aca="false">(B4)/(1-0.017)-B4</f>
        <v>0.0838758901322487</v>
      </c>
      <c r="C56" s="336"/>
      <c r="D56" s="342" t="n">
        <v>0.0563</v>
      </c>
      <c r="E56" s="377" t="n">
        <f aca="false">(E$4)/(1-D56)-E$4</f>
        <v>0.268464554413479</v>
      </c>
      <c r="F56" s="336"/>
      <c r="G56" s="332" t="s">
        <v>743</v>
      </c>
      <c r="H56" s="337" t="n">
        <f aca="false">(H6)/(1-0.0545)-H6</f>
        <v>0.149867794817557</v>
      </c>
      <c r="I56" s="336"/>
    </row>
    <row r="57" customFormat="false" ht="12.75" hidden="false" customHeight="false" outlineLevel="0" collapsed="false">
      <c r="A57" s="451"/>
      <c r="B57" s="452" t="n">
        <f aca="false">SUM(B54:B56)</f>
        <v>0.172975890132249</v>
      </c>
      <c r="C57" s="339"/>
      <c r="D57" s="332"/>
      <c r="E57" s="345" t="n">
        <f aca="false">SUM(E54:E56)</f>
        <v>0.344364554413479</v>
      </c>
      <c r="F57" s="339"/>
      <c r="G57" s="332"/>
      <c r="H57" s="345" t="n">
        <f aca="false">SUM(H54:H56)</f>
        <v>0.500167794817557</v>
      </c>
      <c r="I57" s="339"/>
    </row>
    <row r="58" customFormat="false" ht="12.75" hidden="false" customHeight="false" outlineLevel="0" collapsed="false">
      <c r="A58" s="453" t="s">
        <v>486</v>
      </c>
      <c r="B58" s="454" t="s">
        <v>604</v>
      </c>
      <c r="C58" s="320"/>
      <c r="D58" s="323" t="s">
        <v>488</v>
      </c>
      <c r="E58" s="319" t="s">
        <v>592</v>
      </c>
      <c r="F58" s="320"/>
      <c r="G58" s="323" t="s">
        <v>488</v>
      </c>
      <c r="H58" s="345" t="s">
        <v>659</v>
      </c>
      <c r="I58" s="320"/>
    </row>
    <row r="59" customFormat="false" ht="12.75" hidden="false" customHeight="false" outlineLevel="0" collapsed="false">
      <c r="A59" s="447" t="s">
        <v>505</v>
      </c>
      <c r="B59" s="448" t="n">
        <v>0.0776</v>
      </c>
      <c r="C59" s="321"/>
      <c r="D59" s="332" t="s">
        <v>505</v>
      </c>
      <c r="E59" s="329" t="n">
        <v>0.0874</v>
      </c>
      <c r="F59" s="321"/>
      <c r="G59" s="332" t="s">
        <v>505</v>
      </c>
      <c r="H59" s="371" t="n">
        <v>0.1886</v>
      </c>
      <c r="I59" s="321"/>
    </row>
    <row r="60" customFormat="false" ht="12.75" hidden="false" customHeight="false" outlineLevel="0" collapsed="false">
      <c r="A60" s="447" t="s">
        <v>112</v>
      </c>
      <c r="B60" s="448" t="n">
        <f aca="false">0.0022+0.0072</f>
        <v>0.0094</v>
      </c>
      <c r="C60" s="321"/>
      <c r="D60" s="332" t="s">
        <v>112</v>
      </c>
      <c r="E60" s="329" t="n">
        <f aca="false">0.0022+0.0072</f>
        <v>0.0094</v>
      </c>
      <c r="F60" s="321"/>
      <c r="G60" s="332" t="s">
        <v>112</v>
      </c>
      <c r="H60" s="329" t="n">
        <f aca="false">0.0022+0.0072</f>
        <v>0.0094</v>
      </c>
      <c r="I60" s="321"/>
    </row>
    <row r="61" customFormat="false" ht="12.75" hidden="false" customHeight="false" outlineLevel="0" collapsed="false">
      <c r="A61" s="447" t="s">
        <v>744</v>
      </c>
      <c r="B61" s="449" t="n">
        <f aca="false">(B4)/(1-0.0369)-B4</f>
        <v>0.185821825355623</v>
      </c>
      <c r="C61" s="336"/>
      <c r="D61" s="342" t="n">
        <v>0.0812</v>
      </c>
      <c r="E61" s="377" t="n">
        <f aca="false">(E$4)/(1-D61)-E$4</f>
        <v>0.397692642577274</v>
      </c>
      <c r="F61" s="336"/>
      <c r="G61" s="332" t="s">
        <v>745</v>
      </c>
      <c r="H61" s="337" t="n">
        <f aca="false">(H7)/(1-0.0299)-H7</f>
        <v>0.0944680960725699</v>
      </c>
      <c r="I61" s="336"/>
    </row>
    <row r="62" customFormat="false" ht="12.75" hidden="false" customHeight="false" outlineLevel="0" collapsed="false">
      <c r="A62" s="451"/>
      <c r="B62" s="452" t="n">
        <f aca="false">SUM(B59:B61)</f>
        <v>0.272821825355623</v>
      </c>
      <c r="C62" s="339"/>
      <c r="D62" s="332"/>
      <c r="E62" s="345" t="n">
        <f aca="false">SUM(E59:E61)</f>
        <v>0.494492642577274</v>
      </c>
      <c r="F62" s="339"/>
      <c r="G62" s="332"/>
      <c r="H62" s="345" t="n">
        <f aca="false">SUM(H59:H61)</f>
        <v>0.29246809607257</v>
      </c>
      <c r="I62" s="339"/>
    </row>
    <row r="63" customFormat="false" ht="12.75" hidden="false" customHeight="false" outlineLevel="0" collapsed="false">
      <c r="A63" s="453" t="s">
        <v>486</v>
      </c>
      <c r="B63" s="454" t="s">
        <v>610</v>
      </c>
      <c r="C63" s="320"/>
      <c r="D63" s="323" t="s">
        <v>488</v>
      </c>
      <c r="E63" s="319" t="s">
        <v>600</v>
      </c>
      <c r="F63" s="320"/>
      <c r="G63" s="457"/>
      <c r="H63" s="374"/>
      <c r="I63" s="320"/>
    </row>
    <row r="64" customFormat="false" ht="12.75" hidden="false" customHeight="false" outlineLevel="0" collapsed="false">
      <c r="A64" s="447" t="s">
        <v>505</v>
      </c>
      <c r="B64" s="448" t="n">
        <v>0.0874</v>
      </c>
      <c r="C64" s="321"/>
      <c r="D64" s="332" t="s">
        <v>505</v>
      </c>
      <c r="E64" s="329" t="n">
        <v>0.102</v>
      </c>
      <c r="F64" s="321"/>
      <c r="G64" s="372"/>
      <c r="H64" s="458"/>
      <c r="I64" s="321"/>
    </row>
    <row r="65" customFormat="false" ht="12.75" hidden="false" customHeight="false" outlineLevel="0" collapsed="false">
      <c r="A65" s="447" t="s">
        <v>112</v>
      </c>
      <c r="B65" s="448" t="n">
        <f aca="false">0.0022</f>
        <v>0.0022</v>
      </c>
      <c r="C65" s="321"/>
      <c r="D65" s="332" t="s">
        <v>112</v>
      </c>
      <c r="E65" s="329" t="n">
        <f aca="false">0.0022+0.0072</f>
        <v>0.0094</v>
      </c>
      <c r="F65" s="321"/>
      <c r="G65" s="372"/>
      <c r="H65" s="372"/>
      <c r="I65" s="321"/>
    </row>
    <row r="66" customFormat="false" ht="12.75" hidden="false" customHeight="false" outlineLevel="0" collapsed="false">
      <c r="A66" s="447" t="s">
        <v>746</v>
      </c>
      <c r="B66" s="450" t="n">
        <f aca="false">(B4)/(1-0.0429)-B4</f>
        <v>0.217391077212413</v>
      </c>
      <c r="C66" s="336"/>
      <c r="D66" s="342" t="n">
        <v>0.0975</v>
      </c>
      <c r="E66" s="377" t="n">
        <f aca="false">(E$4)/(1-D66)-E$4</f>
        <v>0.486149584487535</v>
      </c>
      <c r="F66" s="336"/>
      <c r="G66" s="372"/>
      <c r="H66" s="373"/>
      <c r="I66" s="336"/>
    </row>
    <row r="67" customFormat="false" ht="12.75" hidden="false" customHeight="false" outlineLevel="0" collapsed="false">
      <c r="A67" s="451"/>
      <c r="B67" s="452" t="n">
        <f aca="false">SUM(B64:B66)</f>
        <v>0.306991077212413</v>
      </c>
      <c r="C67" s="339"/>
      <c r="D67" s="332"/>
      <c r="E67" s="345" t="n">
        <f aca="false">SUM(E64:E66)</f>
        <v>0.597549584487535</v>
      </c>
      <c r="F67" s="339"/>
      <c r="G67" s="372"/>
      <c r="H67" s="374"/>
      <c r="I67" s="339"/>
    </row>
    <row r="68" customFormat="false" ht="12.75" hidden="false" customHeight="false" outlineLevel="0" collapsed="false">
      <c r="A68" s="453" t="s">
        <v>486</v>
      </c>
      <c r="B68" s="454" t="s">
        <v>616</v>
      </c>
      <c r="C68" s="315"/>
      <c r="D68" s="323" t="s">
        <v>488</v>
      </c>
      <c r="E68" s="319" t="s">
        <v>617</v>
      </c>
      <c r="F68" s="315"/>
      <c r="G68" s="372"/>
      <c r="H68" s="372"/>
      <c r="I68" s="315"/>
    </row>
    <row r="69" customFormat="false" ht="12.75" hidden="false" customHeight="false" outlineLevel="0" collapsed="false">
      <c r="A69" s="447" t="s">
        <v>505</v>
      </c>
      <c r="B69" s="448" t="n">
        <v>0.1014</v>
      </c>
      <c r="C69" s="321"/>
      <c r="D69" s="332" t="s">
        <v>505</v>
      </c>
      <c r="E69" s="329" t="n">
        <v>0.022</v>
      </c>
      <c r="F69" s="321"/>
      <c r="G69" s="372"/>
      <c r="H69" s="372"/>
      <c r="I69" s="321"/>
    </row>
    <row r="70" customFormat="false" ht="12.75" hidden="false" customHeight="false" outlineLevel="0" collapsed="false">
      <c r="A70" s="447" t="s">
        <v>112</v>
      </c>
      <c r="B70" s="448" t="n">
        <f aca="false">0.0022+0.0072</f>
        <v>0.0094</v>
      </c>
      <c r="C70" s="321"/>
      <c r="D70" s="332" t="s">
        <v>112</v>
      </c>
      <c r="E70" s="329" t="n">
        <f aca="false">0.0022+0.0072</f>
        <v>0.0094</v>
      </c>
      <c r="F70" s="321"/>
      <c r="G70" s="373"/>
      <c r="H70" s="373"/>
      <c r="I70" s="321"/>
    </row>
    <row r="71" customFormat="false" ht="12.75" hidden="false" customHeight="false" outlineLevel="0" collapsed="false">
      <c r="A71" s="447" t="s">
        <v>747</v>
      </c>
      <c r="B71" s="456" t="n">
        <f aca="false">(B4)/(1-0.0506)-B4</f>
        <v>0.258489572361492</v>
      </c>
      <c r="C71" s="336"/>
      <c r="D71" s="342" t="n">
        <v>0.0268</v>
      </c>
      <c r="E71" s="377" t="n">
        <f aca="false">(E$3)/(1-D71)-E$3</f>
        <v>0.124747225647349</v>
      </c>
      <c r="F71" s="336"/>
      <c r="G71" s="374"/>
      <c r="H71" s="374"/>
      <c r="I71" s="336"/>
    </row>
    <row r="72" customFormat="false" ht="12.75" hidden="false" customHeight="false" outlineLevel="0" collapsed="false">
      <c r="A72" s="451"/>
      <c r="B72" s="452" t="n">
        <f aca="false">SUM(B69:B71)</f>
        <v>0.369289572361492</v>
      </c>
      <c r="C72" s="339"/>
      <c r="D72" s="332"/>
      <c r="E72" s="345" t="n">
        <f aca="false">SUM(E69:E71)</f>
        <v>0.156147225647349</v>
      </c>
      <c r="F72" s="339"/>
      <c r="G72" s="378"/>
      <c r="H72" s="378"/>
      <c r="I72" s="339"/>
    </row>
    <row r="73" customFormat="false" ht="12.75" hidden="false" customHeight="false" outlineLevel="0" collapsed="false">
      <c r="A73" s="453" t="s">
        <v>486</v>
      </c>
      <c r="B73" s="454" t="s">
        <v>623</v>
      </c>
      <c r="C73" s="315"/>
      <c r="D73" s="323" t="s">
        <v>488</v>
      </c>
      <c r="E73" s="319" t="s">
        <v>605</v>
      </c>
      <c r="F73" s="315"/>
      <c r="G73" s="372"/>
      <c r="H73" s="372"/>
      <c r="I73" s="315"/>
    </row>
    <row r="74" customFormat="false" ht="12.75" hidden="false" customHeight="false" outlineLevel="0" collapsed="false">
      <c r="A74" s="447" t="s">
        <v>505</v>
      </c>
      <c r="B74" s="448" t="n">
        <v>0.1126</v>
      </c>
      <c r="C74" s="321"/>
      <c r="D74" s="332" t="s">
        <v>505</v>
      </c>
      <c r="E74" s="329" t="n">
        <v>0.0183</v>
      </c>
      <c r="F74" s="321"/>
      <c r="G74" s="372"/>
      <c r="H74" s="372"/>
      <c r="I74" s="321"/>
    </row>
    <row r="75" customFormat="false" ht="12.75" hidden="false" customHeight="false" outlineLevel="0" collapsed="false">
      <c r="A75" s="447" t="s">
        <v>112</v>
      </c>
      <c r="B75" s="448" t="n">
        <f aca="false">0.0022+0.0072</f>
        <v>0.0094</v>
      </c>
      <c r="C75" s="321"/>
      <c r="D75" s="332" t="s">
        <v>112</v>
      </c>
      <c r="E75" s="329" t="n">
        <f aca="false">0.0022</f>
        <v>0.0022</v>
      </c>
      <c r="F75" s="321"/>
      <c r="G75" s="373"/>
      <c r="H75" s="373"/>
      <c r="I75" s="321"/>
    </row>
    <row r="76" customFormat="false" ht="12.75" hidden="false" customHeight="false" outlineLevel="0" collapsed="false">
      <c r="A76" s="447" t="s">
        <v>748</v>
      </c>
      <c r="B76" s="456" t="n">
        <f aca="false">(B4)/(1-0.0597)-B4</f>
        <v>0.307928320748697</v>
      </c>
      <c r="C76" s="336"/>
      <c r="D76" s="342" t="n">
        <v>0.0263</v>
      </c>
      <c r="E76" s="377" t="n">
        <f aca="false">(E$3)/(1-D76)-E$3</f>
        <v>0.122356988805587</v>
      </c>
      <c r="F76" s="336"/>
      <c r="G76" s="374"/>
      <c r="H76" s="374"/>
      <c r="I76" s="336"/>
    </row>
    <row r="77" customFormat="false" ht="12.75" hidden="false" customHeight="false" outlineLevel="0" collapsed="false">
      <c r="A77" s="451"/>
      <c r="B77" s="452" t="n">
        <f aca="false">SUM(B74:B76)</f>
        <v>0.429928320748697</v>
      </c>
      <c r="C77" s="339"/>
      <c r="D77" s="332"/>
      <c r="E77" s="345" t="n">
        <f aca="false">SUM(E74:E76)</f>
        <v>0.142856988805587</v>
      </c>
      <c r="F77" s="339"/>
      <c r="G77" s="374"/>
      <c r="H77" s="374"/>
      <c r="I77" s="339"/>
    </row>
    <row r="78" customFormat="false" ht="12.75" hidden="false" customHeight="false" outlineLevel="0" collapsed="false">
      <c r="A78" s="453" t="s">
        <v>486</v>
      </c>
      <c r="B78" s="454" t="s">
        <v>629</v>
      </c>
      <c r="C78" s="315"/>
      <c r="D78" s="323" t="s">
        <v>488</v>
      </c>
      <c r="E78" s="319" t="s">
        <v>630</v>
      </c>
      <c r="F78" s="315"/>
      <c r="G78" s="458"/>
      <c r="H78" s="458"/>
      <c r="I78" s="315"/>
    </row>
    <row r="79" customFormat="false" ht="12.75" hidden="false" customHeight="false" outlineLevel="0" collapsed="false">
      <c r="A79" s="447" t="s">
        <v>505</v>
      </c>
      <c r="B79" s="448" t="n">
        <v>0.1503</v>
      </c>
      <c r="C79" s="321"/>
      <c r="D79" s="332" t="s">
        <v>505</v>
      </c>
      <c r="E79" s="329" t="n">
        <v>0.0177</v>
      </c>
      <c r="F79" s="321"/>
      <c r="G79" s="458"/>
      <c r="H79" s="458"/>
      <c r="I79" s="321"/>
    </row>
    <row r="80" customFormat="false" ht="12.75" hidden="false" customHeight="false" outlineLevel="0" collapsed="false">
      <c r="A80" s="447" t="s">
        <v>112</v>
      </c>
      <c r="B80" s="448" t="n">
        <f aca="false">0.0022+0.0072</f>
        <v>0.0094</v>
      </c>
      <c r="C80" s="321"/>
      <c r="D80" s="332" t="s">
        <v>112</v>
      </c>
      <c r="E80" s="329" t="n">
        <f aca="false">0.0022+0.0072</f>
        <v>0.0094</v>
      </c>
      <c r="F80" s="321"/>
      <c r="G80" s="458"/>
      <c r="H80" s="458"/>
      <c r="I80" s="321"/>
    </row>
    <row r="81" customFormat="false" ht="12.75" hidden="false" customHeight="false" outlineLevel="0" collapsed="false">
      <c r="A81" s="447" t="s">
        <v>749</v>
      </c>
      <c r="B81" s="449" t="n">
        <f aca="false">(B4)/(1-0.0667)-B4</f>
        <v>0.3466141647916</v>
      </c>
      <c r="C81" s="336"/>
      <c r="D81" s="342" t="n">
        <v>0.0263</v>
      </c>
      <c r="E81" s="377" t="n">
        <f aca="false">(E$3)/(1-D81)-E$3</f>
        <v>0.122356988805587</v>
      </c>
      <c r="F81" s="336"/>
      <c r="G81" s="373"/>
      <c r="H81" s="373"/>
      <c r="I81" s="336"/>
    </row>
    <row r="82" customFormat="false" ht="12.75" hidden="false" customHeight="false" outlineLevel="0" collapsed="false">
      <c r="A82" s="451"/>
      <c r="B82" s="452" t="n">
        <f aca="false">SUM(B79:B81)</f>
        <v>0.5063141647916</v>
      </c>
      <c r="C82" s="339"/>
      <c r="D82" s="332"/>
      <c r="E82" s="345" t="n">
        <f aca="false">SUM(E79:E81)</f>
        <v>0.149456988805587</v>
      </c>
      <c r="F82" s="339"/>
      <c r="G82" s="374"/>
      <c r="H82" s="374"/>
      <c r="I82" s="339"/>
    </row>
    <row r="83" customFormat="false" ht="12.75" hidden="false" customHeight="false" outlineLevel="0" collapsed="false">
      <c r="A83" s="453" t="s">
        <v>486</v>
      </c>
      <c r="B83" s="454" t="s">
        <v>636</v>
      </c>
      <c r="C83" s="315"/>
      <c r="D83" s="323" t="s">
        <v>488</v>
      </c>
      <c r="E83" s="319" t="s">
        <v>637</v>
      </c>
      <c r="F83" s="315"/>
      <c r="G83" s="378"/>
      <c r="H83" s="378"/>
      <c r="I83" s="315"/>
    </row>
    <row r="84" customFormat="false" ht="12.75" hidden="false" customHeight="false" outlineLevel="0" collapsed="false">
      <c r="A84" s="447" t="s">
        <v>505</v>
      </c>
      <c r="B84" s="448" t="n">
        <v>0.0783</v>
      </c>
      <c r="C84" s="321"/>
      <c r="D84" s="332" t="s">
        <v>505</v>
      </c>
      <c r="E84" s="329" t="n">
        <v>0.0167</v>
      </c>
      <c r="F84" s="321"/>
      <c r="G84" s="372"/>
      <c r="H84" s="372"/>
      <c r="I84" s="321"/>
    </row>
    <row r="85" customFormat="false" ht="12.75" hidden="false" customHeight="false" outlineLevel="0" collapsed="false">
      <c r="A85" s="447" t="s">
        <v>112</v>
      </c>
      <c r="B85" s="448" t="n">
        <f aca="false">0.0022+0.0072</f>
        <v>0.0094</v>
      </c>
      <c r="C85" s="321"/>
      <c r="D85" s="332" t="s">
        <v>112</v>
      </c>
      <c r="E85" s="329" t="n">
        <f aca="false">0.0022+0.0072</f>
        <v>0.0094</v>
      </c>
      <c r="F85" s="321"/>
      <c r="G85" s="372"/>
      <c r="H85" s="372"/>
      <c r="I85" s="321"/>
    </row>
    <row r="86" customFormat="false" ht="12.75" hidden="false" customHeight="false" outlineLevel="0" collapsed="false">
      <c r="A86" s="447" t="s">
        <v>750</v>
      </c>
      <c r="B86" s="449" t="n">
        <f aca="false">(B4)/(1-0.0358)-B4</f>
        <v>0.180076747562747</v>
      </c>
      <c r="C86" s="336"/>
      <c r="D86" s="342" t="n">
        <v>0.0263</v>
      </c>
      <c r="E86" s="377" t="n">
        <f aca="false">(E$3)/(1-D86)-E$3</f>
        <v>0.122356988805587</v>
      </c>
      <c r="F86" s="336"/>
      <c r="G86" s="373"/>
      <c r="H86" s="373"/>
      <c r="I86" s="336"/>
    </row>
    <row r="87" customFormat="false" ht="12.75" hidden="false" customHeight="false" outlineLevel="0" collapsed="false">
      <c r="A87" s="451"/>
      <c r="B87" s="452" t="n">
        <f aca="false">SUM(B84:B86)</f>
        <v>0.267776747562747</v>
      </c>
      <c r="C87" s="339"/>
      <c r="D87" s="332"/>
      <c r="E87" s="345" t="n">
        <f aca="false">SUM(E84:E86)</f>
        <v>0.148456988805587</v>
      </c>
      <c r="F87" s="339"/>
      <c r="G87" s="374"/>
      <c r="H87" s="374"/>
      <c r="I87" s="339"/>
    </row>
    <row r="88" customFormat="false" ht="12.75" hidden="false" customHeight="false" outlineLevel="0" collapsed="false">
      <c r="A88" s="453" t="s">
        <v>486</v>
      </c>
      <c r="B88" s="454" t="s">
        <v>641</v>
      </c>
      <c r="C88" s="315"/>
      <c r="D88" s="323" t="s">
        <v>488</v>
      </c>
      <c r="E88" s="319" t="s">
        <v>611</v>
      </c>
      <c r="F88" s="315"/>
      <c r="I88" s="315"/>
    </row>
    <row r="89" customFormat="false" ht="12.75" hidden="false" customHeight="false" outlineLevel="0" collapsed="false">
      <c r="A89" s="447" t="s">
        <v>505</v>
      </c>
      <c r="B89" s="448" t="n">
        <f aca="false">0.0511-0.0022-0.0088</f>
        <v>0.0401</v>
      </c>
      <c r="C89" s="321"/>
      <c r="D89" s="332" t="s">
        <v>505</v>
      </c>
      <c r="E89" s="329" t="n">
        <v>0.0177</v>
      </c>
      <c r="F89" s="321"/>
      <c r="G89" s="378"/>
      <c r="H89" s="378"/>
      <c r="I89" s="321"/>
    </row>
    <row r="90" customFormat="false" ht="12.75" hidden="false" customHeight="false" outlineLevel="0" collapsed="false">
      <c r="A90" s="447" t="s">
        <v>112</v>
      </c>
      <c r="B90" s="448" t="n">
        <f aca="false">0.0022+0.0072</f>
        <v>0.0094</v>
      </c>
      <c r="C90" s="321"/>
      <c r="D90" s="332" t="s">
        <v>112</v>
      </c>
      <c r="E90" s="329" t="n">
        <f aca="false">0.0022+0.0072</f>
        <v>0.0094</v>
      </c>
      <c r="F90" s="321"/>
      <c r="G90" s="372"/>
      <c r="H90" s="372"/>
      <c r="I90" s="321"/>
    </row>
    <row r="91" customFormat="false" ht="12.75" hidden="false" customHeight="false" outlineLevel="0" collapsed="false">
      <c r="A91" s="447" t="s">
        <v>751</v>
      </c>
      <c r="B91" s="450" t="n">
        <f aca="false">(B5)/(1-0.0101)-B5</f>
        <v>0.0510152540660673</v>
      </c>
      <c r="C91" s="336"/>
      <c r="D91" s="342" t="n">
        <v>0.0263</v>
      </c>
      <c r="E91" s="377" t="n">
        <f aca="false">(E$3)/(1-D91)-E$3</f>
        <v>0.122356988805587</v>
      </c>
      <c r="F91" s="336"/>
      <c r="G91" s="372"/>
      <c r="H91" s="372"/>
      <c r="I91" s="336"/>
    </row>
    <row r="92" customFormat="false" ht="12.75" hidden="false" customHeight="false" outlineLevel="0" collapsed="false">
      <c r="A92" s="451"/>
      <c r="B92" s="452" t="n">
        <f aca="false">SUM(B89:B91)</f>
        <v>0.100515254066067</v>
      </c>
      <c r="C92" s="339"/>
      <c r="D92" s="332"/>
      <c r="E92" s="345" t="n">
        <f aca="false">SUM(E89:E91)</f>
        <v>0.149456988805587</v>
      </c>
      <c r="F92" s="339"/>
      <c r="G92" s="373"/>
      <c r="H92" s="373"/>
      <c r="I92" s="339"/>
    </row>
    <row r="93" customFormat="false" ht="12.75" hidden="false" customHeight="false" outlineLevel="0" collapsed="false">
      <c r="A93" s="453" t="s">
        <v>486</v>
      </c>
      <c r="B93" s="454" t="s">
        <v>646</v>
      </c>
      <c r="C93" s="339"/>
      <c r="D93" s="323" t="s">
        <v>488</v>
      </c>
      <c r="E93" s="319" t="s">
        <v>618</v>
      </c>
      <c r="F93" s="339"/>
      <c r="G93" s="374"/>
      <c r="H93" s="374"/>
      <c r="I93" s="339"/>
    </row>
    <row r="94" customFormat="false" ht="12.75" hidden="false" customHeight="false" outlineLevel="0" collapsed="false">
      <c r="A94" s="447" t="s">
        <v>505</v>
      </c>
      <c r="B94" s="448" t="n">
        <v>0.0834</v>
      </c>
      <c r="C94" s="356"/>
      <c r="D94" s="332" t="s">
        <v>505</v>
      </c>
      <c r="E94" s="329" t="n">
        <v>0.0647</v>
      </c>
      <c r="F94" s="356"/>
      <c r="G94" s="378"/>
      <c r="H94" s="378"/>
      <c r="I94" s="356"/>
    </row>
    <row r="95" customFormat="false" ht="12.75" hidden="false" customHeight="false" outlineLevel="0" collapsed="false">
      <c r="A95" s="447" t="s">
        <v>112</v>
      </c>
      <c r="B95" s="448" t="n">
        <f aca="false">0.0022+0.0072</f>
        <v>0.0094</v>
      </c>
      <c r="C95" s="356" t="s">
        <v>1</v>
      </c>
      <c r="D95" s="332" t="s">
        <v>112</v>
      </c>
      <c r="E95" s="329" t="n">
        <f aca="false">0.0022+0.0072</f>
        <v>0.0094</v>
      </c>
      <c r="F95" s="356"/>
      <c r="G95" s="372"/>
      <c r="H95" s="372"/>
      <c r="I95" s="356"/>
    </row>
    <row r="96" customFormat="false" ht="12.75" hidden="false" customHeight="false" outlineLevel="0" collapsed="false">
      <c r="A96" s="447" t="s">
        <v>752</v>
      </c>
      <c r="B96" s="450" t="n">
        <f aca="false">(B5)/(1-0.0192)-B5</f>
        <v>0.0978792822185968</v>
      </c>
      <c r="C96" s="336"/>
      <c r="D96" s="342" t="n">
        <v>0.0512</v>
      </c>
      <c r="E96" s="377" t="n">
        <f aca="false">(E$3)/(1-D96)-E$3</f>
        <v>0.244451939291737</v>
      </c>
      <c r="F96" s="336"/>
      <c r="G96" s="372"/>
      <c r="H96" s="372"/>
      <c r="I96" s="336"/>
    </row>
    <row r="97" customFormat="false" ht="12.75" hidden="false" customHeight="false" outlineLevel="0" collapsed="false">
      <c r="A97" s="451"/>
      <c r="B97" s="452" t="n">
        <f aca="false">SUM(B94:B96)</f>
        <v>0.190679282218597</v>
      </c>
      <c r="C97" s="339"/>
      <c r="D97" s="332"/>
      <c r="E97" s="345" t="n">
        <f aca="false">SUM(E94:E96)</f>
        <v>0.318551939291738</v>
      </c>
      <c r="F97" s="339"/>
      <c r="G97" s="373"/>
      <c r="H97" s="373"/>
      <c r="I97" s="339"/>
    </row>
    <row r="98" customFormat="false" ht="12.75" hidden="false" customHeight="false" outlineLevel="0" collapsed="false">
      <c r="A98" s="453" t="s">
        <v>486</v>
      </c>
      <c r="B98" s="455" t="s">
        <v>652</v>
      </c>
      <c r="C98" s="315"/>
      <c r="D98" s="323" t="s">
        <v>488</v>
      </c>
      <c r="E98" s="319" t="s">
        <v>624</v>
      </c>
      <c r="F98" s="315"/>
      <c r="G98" s="374"/>
      <c r="H98" s="374"/>
      <c r="I98" s="315"/>
    </row>
    <row r="99" customFormat="false" ht="12.75" hidden="false" customHeight="false" outlineLevel="0" collapsed="false">
      <c r="A99" s="451" t="s">
        <v>505</v>
      </c>
      <c r="B99" s="448" t="n">
        <v>0.0427</v>
      </c>
      <c r="C99" s="321"/>
      <c r="D99" s="332" t="s">
        <v>505</v>
      </c>
      <c r="E99" s="329" t="n">
        <v>0.0856</v>
      </c>
      <c r="F99" s="321"/>
      <c r="I99" s="321"/>
    </row>
    <row r="100" customFormat="false" ht="12.75" hidden="false" customHeight="false" outlineLevel="0" collapsed="false">
      <c r="A100" s="451" t="s">
        <v>112</v>
      </c>
      <c r="B100" s="448" t="n">
        <f aca="false">0.0022+0.0072</f>
        <v>0.0094</v>
      </c>
      <c r="C100" s="321"/>
      <c r="D100" s="332" t="s">
        <v>112</v>
      </c>
      <c r="E100" s="329" t="n">
        <f aca="false">0.0022+0.0072</f>
        <v>0.0094</v>
      </c>
      <c r="F100" s="321"/>
      <c r="I100" s="321"/>
    </row>
    <row r="101" customFormat="false" ht="12.75" hidden="false" customHeight="false" outlineLevel="0" collapsed="false">
      <c r="A101" s="451" t="s">
        <v>753</v>
      </c>
      <c r="B101" s="450" t="n">
        <f aca="false">(+B5)/(1-0.0117)-B5</f>
        <v>0.0591925528685628</v>
      </c>
      <c r="C101" s="321"/>
      <c r="D101" s="342" t="n">
        <v>0.0761</v>
      </c>
      <c r="E101" s="377" t="n">
        <f aca="false">(E$3)/(1-D101)-E$3</f>
        <v>0.373128044160624</v>
      </c>
      <c r="F101" s="321"/>
      <c r="I101" s="321"/>
    </row>
    <row r="102" customFormat="false" ht="12.75" hidden="false" customHeight="false" outlineLevel="0" collapsed="false">
      <c r="A102" s="451"/>
      <c r="B102" s="452" t="n">
        <f aca="false">SUM(B99:B101)</f>
        <v>0.111292552868563</v>
      </c>
      <c r="C102" s="336"/>
      <c r="D102" s="332"/>
      <c r="E102" s="345" t="n">
        <f aca="false">SUM(E99:E101)</f>
        <v>0.468128044160624</v>
      </c>
      <c r="F102" s="336"/>
      <c r="I102" s="336"/>
    </row>
    <row r="103" customFormat="false" ht="12.75" hidden="false" customHeight="false" outlineLevel="0" collapsed="false">
      <c r="A103" s="459" t="s">
        <v>657</v>
      </c>
      <c r="B103" s="455" t="s">
        <v>658</v>
      </c>
      <c r="C103" s="339"/>
      <c r="D103" s="323" t="s">
        <v>488</v>
      </c>
      <c r="E103" s="319" t="s">
        <v>631</v>
      </c>
      <c r="F103" s="339"/>
      <c r="I103" s="339"/>
    </row>
    <row r="104" customFormat="false" ht="12.75" hidden="false" customHeight="false" outlineLevel="0" collapsed="false">
      <c r="A104" s="451" t="s">
        <v>505</v>
      </c>
      <c r="B104" s="448" t="n">
        <v>0.0427</v>
      </c>
      <c r="D104" s="332" t="s">
        <v>505</v>
      </c>
      <c r="E104" s="329" t="n">
        <v>0.1002</v>
      </c>
    </row>
    <row r="105" customFormat="false" ht="12.75" hidden="false" customHeight="false" outlineLevel="0" collapsed="false">
      <c r="A105" s="451" t="s">
        <v>112</v>
      </c>
      <c r="B105" s="448" t="n">
        <f aca="false">0.0022+0.0072</f>
        <v>0.0094</v>
      </c>
      <c r="C105" s="315"/>
      <c r="D105" s="332" t="s">
        <v>112</v>
      </c>
      <c r="E105" s="329" t="n">
        <f aca="false">0.0022+0.0072</f>
        <v>0.0094</v>
      </c>
      <c r="F105" s="315"/>
      <c r="I105" s="315"/>
    </row>
    <row r="106" customFormat="false" ht="12.75" hidden="false" customHeight="false" outlineLevel="0" collapsed="false">
      <c r="A106" s="451" t="s">
        <v>660</v>
      </c>
      <c r="B106" s="450" t="n">
        <f aca="false">(+B5)/(1-0.005)-B5</f>
        <v>0.025125628140704</v>
      </c>
      <c r="C106" s="321"/>
      <c r="D106" s="342" t="n">
        <v>0.0924</v>
      </c>
      <c r="E106" s="377" t="n">
        <f aca="false">(E$3)/(1-D106)-E$3</f>
        <v>0.46118554429264</v>
      </c>
      <c r="F106" s="321"/>
      <c r="I106" s="321"/>
    </row>
    <row r="107" customFormat="false" ht="12.75" hidden="false" customHeight="false" outlineLevel="0" collapsed="false">
      <c r="A107" s="451"/>
      <c r="B107" s="452" t="n">
        <f aca="false">SUM(B104:B106)</f>
        <v>0.077225628140704</v>
      </c>
      <c r="C107" s="321"/>
      <c r="D107" s="332"/>
      <c r="E107" s="345" t="n">
        <f aca="false">SUM(E104:E106)</f>
        <v>0.57078554429264</v>
      </c>
      <c r="F107" s="321"/>
      <c r="I107" s="321"/>
    </row>
    <row r="108" customFormat="false" ht="12.75" hidden="false" customHeight="false" outlineLevel="0" collapsed="false">
      <c r="A108" s="453" t="s">
        <v>486</v>
      </c>
      <c r="B108" s="455" t="s">
        <v>662</v>
      </c>
      <c r="C108" s="336"/>
      <c r="D108" s="323" t="s">
        <v>488</v>
      </c>
      <c r="E108" s="319" t="s">
        <v>671</v>
      </c>
      <c r="F108" s="336"/>
      <c r="I108" s="336"/>
    </row>
    <row r="109" customFormat="false" ht="12.75" hidden="false" customHeight="false" outlineLevel="0" collapsed="false">
      <c r="A109" s="451" t="s">
        <v>505</v>
      </c>
      <c r="B109" s="448" t="n">
        <v>0.0765</v>
      </c>
      <c r="C109" s="339"/>
      <c r="D109" s="332" t="s">
        <v>505</v>
      </c>
      <c r="E109" s="329" t="n">
        <v>0.047</v>
      </c>
      <c r="F109" s="339"/>
      <c r="I109" s="339"/>
    </row>
    <row r="110" customFormat="false" ht="12.75" hidden="false" customHeight="false" outlineLevel="0" collapsed="false">
      <c r="A110" s="451" t="s">
        <v>112</v>
      </c>
      <c r="B110" s="448" t="n">
        <f aca="false">0.0022+0.0072</f>
        <v>0.0094</v>
      </c>
      <c r="C110" s="315"/>
      <c r="D110" s="332" t="s">
        <v>112</v>
      </c>
      <c r="E110" s="329" t="n">
        <f aca="false">0.0022+0.0072</f>
        <v>0.0094</v>
      </c>
      <c r="F110" s="315"/>
      <c r="I110" s="315"/>
    </row>
    <row r="111" customFormat="false" ht="12.75" hidden="false" customHeight="false" outlineLevel="0" collapsed="false">
      <c r="A111" s="451" t="s">
        <v>754</v>
      </c>
      <c r="B111" s="450" t="n">
        <f aca="false">(+B5)/(1-0.0186)-B5</f>
        <v>0.0947625840635826</v>
      </c>
      <c r="C111" s="321"/>
      <c r="D111" s="460" t="n">
        <v>0.0249</v>
      </c>
      <c r="E111" s="377" t="n">
        <f aca="false">(E$6)/(1-D111)-(E$6)</f>
        <v>0.0663931904420059</v>
      </c>
      <c r="F111" s="321"/>
      <c r="I111" s="321"/>
    </row>
    <row r="112" customFormat="false" ht="12.75" hidden="false" customHeight="false" outlineLevel="0" collapsed="false">
      <c r="A112" s="451"/>
      <c r="B112" s="452" t="n">
        <f aca="false">SUM(B109:B111)</f>
        <v>0.180662584063583</v>
      </c>
      <c r="C112" s="321"/>
      <c r="D112" s="332"/>
      <c r="E112" s="345" t="n">
        <f aca="false">SUM(E109:E111)</f>
        <v>0.122793190442006</v>
      </c>
      <c r="F112" s="321"/>
      <c r="I112" s="321"/>
    </row>
    <row r="113" customFormat="false" ht="12.75" hidden="false" customHeight="false" outlineLevel="0" collapsed="false">
      <c r="A113" s="453" t="s">
        <v>486</v>
      </c>
      <c r="B113" s="455" t="s">
        <v>668</v>
      </c>
      <c r="C113" s="336"/>
      <c r="D113" s="323" t="s">
        <v>488</v>
      </c>
      <c r="E113" s="319" t="s">
        <v>638</v>
      </c>
      <c r="F113" s="336"/>
      <c r="I113" s="336"/>
    </row>
    <row r="114" customFormat="false" ht="12.75" hidden="false" customHeight="false" outlineLevel="0" collapsed="false">
      <c r="A114" s="451" t="s">
        <v>505</v>
      </c>
      <c r="B114" s="448" t="n">
        <v>0.0765</v>
      </c>
      <c r="C114" s="339"/>
      <c r="D114" s="332" t="s">
        <v>505</v>
      </c>
      <c r="E114" s="329" t="n">
        <v>0.0679</v>
      </c>
      <c r="F114" s="339"/>
      <c r="I114" s="339"/>
    </row>
    <row r="115" customFormat="false" ht="12.75" hidden="false" customHeight="false" outlineLevel="0" collapsed="false">
      <c r="A115" s="451" t="s">
        <v>112</v>
      </c>
      <c r="B115" s="448" t="n">
        <f aca="false">0.0022+0.0072</f>
        <v>0.0094</v>
      </c>
      <c r="D115" s="332" t="s">
        <v>112</v>
      </c>
      <c r="E115" s="329" t="n">
        <f aca="false">0.0022+0.0072</f>
        <v>0.0094</v>
      </c>
    </row>
    <row r="116" customFormat="false" ht="12.75" hidden="false" customHeight="false" outlineLevel="0" collapsed="false">
      <c r="A116" s="451" t="s">
        <v>755</v>
      </c>
      <c r="B116" s="450" t="n">
        <f aca="false">(+B$5)/(1-0.0127)-B$5</f>
        <v>0.0643168236604881</v>
      </c>
      <c r="D116" s="460" t="n">
        <v>0.0498</v>
      </c>
      <c r="E116" s="377" t="n">
        <f aca="false">(E$6)/(1-D116)-(E$6)</f>
        <v>0.136266049252789</v>
      </c>
    </row>
    <row r="117" customFormat="false" ht="12.75" hidden="false" customHeight="false" outlineLevel="0" collapsed="false">
      <c r="A117" s="451"/>
      <c r="B117" s="452" t="n">
        <f aca="false">SUM(B114:B116)</f>
        <v>0.150216823660488</v>
      </c>
      <c r="D117" s="332"/>
      <c r="E117" s="345" t="n">
        <f aca="false">SUM(E114:E116)</f>
        <v>0.213566049252789</v>
      </c>
    </row>
    <row r="118" customFormat="false" ht="12.75" hidden="false" customHeight="false" outlineLevel="0" collapsed="false">
      <c r="A118" s="453" t="s">
        <v>486</v>
      </c>
      <c r="B118" s="455" t="s">
        <v>670</v>
      </c>
      <c r="D118" s="323" t="s">
        <v>488</v>
      </c>
      <c r="E118" s="319" t="s">
        <v>643</v>
      </c>
    </row>
    <row r="119" customFormat="false" ht="12.75" hidden="false" customHeight="false" outlineLevel="0" collapsed="false">
      <c r="A119" s="451" t="s">
        <v>505</v>
      </c>
      <c r="B119" s="448" t="n">
        <v>0.0642</v>
      </c>
      <c r="D119" s="332" t="s">
        <v>505</v>
      </c>
      <c r="E119" s="329" t="n">
        <v>0.0825</v>
      </c>
    </row>
    <row r="120" customFormat="false" ht="12.75" hidden="false" customHeight="false" outlineLevel="0" collapsed="false">
      <c r="A120" s="451" t="s">
        <v>112</v>
      </c>
      <c r="B120" s="448" t="n">
        <f aca="false">0.0022+0.0072</f>
        <v>0.0094</v>
      </c>
      <c r="D120" s="332" t="s">
        <v>112</v>
      </c>
      <c r="E120" s="329" t="n">
        <f aca="false">0.0022+0.0072</f>
        <v>0.0094</v>
      </c>
    </row>
    <row r="121" customFormat="false" ht="12.75" hidden="false" customHeight="false" outlineLevel="0" collapsed="false">
      <c r="A121" s="451" t="s">
        <v>756</v>
      </c>
      <c r="B121" s="450" t="n">
        <f aca="false">(+B4)/(1-0.0186)-B4</f>
        <v>0.0919197065416748</v>
      </c>
      <c r="D121" s="460" t="n">
        <v>0.0661</v>
      </c>
      <c r="E121" s="377" t="n">
        <f aca="false">(E$6)/(1-D121)-(E$6)</f>
        <v>0.184023985437413</v>
      </c>
    </row>
    <row r="122" customFormat="false" ht="12.75" hidden="false" customHeight="false" outlineLevel="0" collapsed="false">
      <c r="A122" s="451"/>
      <c r="B122" s="452" t="n">
        <f aca="false">SUM(B119:B121)</f>
        <v>0.165519706541675</v>
      </c>
      <c r="D122" s="332"/>
      <c r="E122" s="345" t="n">
        <f aca="false">SUM(E119:E121)</f>
        <v>0.275923985437413</v>
      </c>
    </row>
    <row r="123" customFormat="false" ht="12.75" hidden="false" customHeight="false" outlineLevel="0" collapsed="false">
      <c r="A123" s="453" t="s">
        <v>673</v>
      </c>
      <c r="B123" s="454"/>
      <c r="D123" s="323" t="s">
        <v>488</v>
      </c>
      <c r="E123" s="345" t="s">
        <v>648</v>
      </c>
    </row>
    <row r="124" customFormat="false" ht="12.75" hidden="false" customHeight="false" outlineLevel="0" collapsed="false">
      <c r="A124" s="447" t="s">
        <v>505</v>
      </c>
      <c r="B124" s="448" t="n">
        <v>0.0094</v>
      </c>
      <c r="D124" s="332" t="s">
        <v>505</v>
      </c>
      <c r="E124" s="371" t="n">
        <v>0.0578</v>
      </c>
    </row>
    <row r="125" customFormat="false" ht="12.75" hidden="false" customHeight="false" outlineLevel="0" collapsed="false">
      <c r="A125" s="447" t="s">
        <v>112</v>
      </c>
      <c r="B125" s="448" t="n">
        <v>0.0022</v>
      </c>
      <c r="D125" s="332" t="s">
        <v>112</v>
      </c>
      <c r="E125" s="329" t="n">
        <f aca="false">0.0022</f>
        <v>0.0022</v>
      </c>
    </row>
    <row r="126" customFormat="false" ht="12.75" hidden="false" customHeight="false" outlineLevel="0" collapsed="false">
      <c r="A126" s="447" t="s">
        <v>674</v>
      </c>
      <c r="B126" s="450" t="n">
        <f aca="false">(+AC3+AC17)/(1-0.0131)-(+AC3+AC17)</f>
        <v>0</v>
      </c>
      <c r="D126" s="342" t="n">
        <v>0.0378</v>
      </c>
      <c r="E126" s="337" t="n">
        <f aca="false">(E$6)/(1-D126)-E$6</f>
        <v>0.102140927042195</v>
      </c>
    </row>
    <row r="127" customFormat="false" ht="12.75" hidden="false" customHeight="false" outlineLevel="0" collapsed="false">
      <c r="A127" s="451"/>
      <c r="B127" s="452" t="n">
        <f aca="false">SUM(B124:B126)</f>
        <v>0.0116</v>
      </c>
      <c r="D127" s="332"/>
      <c r="E127" s="345" t="n">
        <f aca="false">SUM(E124:E126)</f>
        <v>0.162140927042195</v>
      </c>
    </row>
    <row r="128" customFormat="false" ht="12.75" hidden="false" customHeight="false" outlineLevel="0" collapsed="false">
      <c r="A128" s="453" t="s">
        <v>486</v>
      </c>
      <c r="B128" s="454" t="s">
        <v>676</v>
      </c>
      <c r="D128" s="323" t="s">
        <v>488</v>
      </c>
      <c r="E128" s="345" t="s">
        <v>654</v>
      </c>
    </row>
    <row r="129" customFormat="false" ht="12.75" hidden="false" customHeight="false" outlineLevel="0" collapsed="false">
      <c r="A129" s="447" t="s">
        <v>505</v>
      </c>
      <c r="B129" s="448" t="n">
        <v>0.0459</v>
      </c>
      <c r="D129" s="332" t="s">
        <v>505</v>
      </c>
      <c r="E129" s="371" t="n">
        <v>0.0723</v>
      </c>
    </row>
    <row r="130" customFormat="false" ht="12.75" hidden="false" customHeight="false" outlineLevel="0" collapsed="false">
      <c r="A130" s="447" t="s">
        <v>112</v>
      </c>
      <c r="B130" s="448" t="n">
        <f aca="false">0.0022+0.0072</f>
        <v>0.0094</v>
      </c>
      <c r="D130" s="332" t="s">
        <v>112</v>
      </c>
      <c r="E130" s="329" t="n">
        <f aca="false">0.0022+0.0072</f>
        <v>0.0094</v>
      </c>
    </row>
    <row r="131" customFormat="false" ht="12.75" hidden="false" customHeight="false" outlineLevel="0" collapsed="false">
      <c r="A131" s="447" t="s">
        <v>757</v>
      </c>
      <c r="B131" s="450" t="n">
        <f aca="false">(+B5)/(1-0.0107)-B5</f>
        <v>0.0540786414636614</v>
      </c>
      <c r="D131" s="342" t="n">
        <v>0.0545</v>
      </c>
      <c r="E131" s="337" t="n">
        <f aca="false">(E$6)/(1-D131)-E$6</f>
        <v>0.149867794817557</v>
      </c>
    </row>
    <row r="132" customFormat="false" ht="12.75" hidden="false" customHeight="false" outlineLevel="0" collapsed="false">
      <c r="A132" s="451"/>
      <c r="B132" s="452" t="n">
        <f aca="false">SUM(B129:B131)</f>
        <v>0.109378641463661</v>
      </c>
      <c r="D132" s="332"/>
      <c r="E132" s="345" t="n">
        <f aca="false">SUM(E129:E131)</f>
        <v>0.231567794817557</v>
      </c>
    </row>
    <row r="133" customFormat="false" ht="12.75" hidden="false" customHeight="false" outlineLevel="0" collapsed="false">
      <c r="A133" s="453" t="s">
        <v>486</v>
      </c>
      <c r="B133" s="454" t="s">
        <v>678</v>
      </c>
      <c r="D133" s="323" t="s">
        <v>488</v>
      </c>
      <c r="E133" s="345" t="s">
        <v>659</v>
      </c>
    </row>
    <row r="134" customFormat="false" ht="12.75" hidden="false" customHeight="false" outlineLevel="0" collapsed="false">
      <c r="A134" s="447" t="s">
        <v>505</v>
      </c>
      <c r="B134" s="461" t="n">
        <f aca="false">0.1599-0.0022</f>
        <v>0.1577</v>
      </c>
      <c r="D134" s="332" t="s">
        <v>505</v>
      </c>
      <c r="E134" s="371" t="n">
        <v>0.0512</v>
      </c>
    </row>
    <row r="135" customFormat="false" ht="12.75" hidden="false" customHeight="false" outlineLevel="0" collapsed="false">
      <c r="A135" s="447" t="s">
        <v>112</v>
      </c>
      <c r="B135" s="448" t="n">
        <f aca="false">0.0022+0+0.0225+0.0072</f>
        <v>0.0319</v>
      </c>
      <c r="D135" s="332" t="s">
        <v>112</v>
      </c>
      <c r="E135" s="329" t="n">
        <f aca="false">0.0022+0.0072</f>
        <v>0.0094</v>
      </c>
    </row>
    <row r="136" customFormat="false" ht="12.75" hidden="false" customHeight="false" outlineLevel="0" collapsed="false">
      <c r="A136" s="447" t="s">
        <v>740</v>
      </c>
      <c r="B136" s="449" t="n">
        <f aca="false">(B4)/(1-0.095)-B4</f>
        <v>0.509116022099447</v>
      </c>
      <c r="D136" s="342" t="n">
        <v>0.0299</v>
      </c>
      <c r="E136" s="462" t="n">
        <f aca="false">(E$7)/(1-D136)-E$7</f>
        <v>0.0944680960725699</v>
      </c>
    </row>
    <row r="137" customFormat="false" ht="12.75" hidden="false" customHeight="false" outlineLevel="0" collapsed="false">
      <c r="A137" s="451"/>
      <c r="B137" s="452" t="n">
        <f aca="false">SUM(B134:B136)</f>
        <v>0.698716022099447</v>
      </c>
      <c r="D137" s="463"/>
      <c r="E137" s="464" t="n">
        <f aca="false">SUM(E134:E136)</f>
        <v>0.15506809607257</v>
      </c>
    </row>
    <row r="138" customFormat="false" ht="12.75" hidden="false" customHeight="false" outlineLevel="0" collapsed="false">
      <c r="A138" s="453" t="s">
        <v>486</v>
      </c>
      <c r="B138" s="454" t="s">
        <v>679</v>
      </c>
      <c r="D138" s="323"/>
      <c r="E138" s="345"/>
    </row>
    <row r="139" customFormat="false" ht="12.75" hidden="false" customHeight="false" outlineLevel="0" collapsed="false">
      <c r="A139" s="447" t="s">
        <v>505</v>
      </c>
      <c r="B139" s="461" t="n">
        <f aca="false">0.3212-0.0022</f>
        <v>0.319</v>
      </c>
      <c r="D139" s="465"/>
      <c r="E139" s="465"/>
    </row>
    <row r="140" customFormat="false" ht="12.75" hidden="false" customHeight="false" outlineLevel="0" collapsed="false">
      <c r="A140" s="447" t="s">
        <v>112</v>
      </c>
      <c r="B140" s="448" t="n">
        <f aca="false">0.0022+0+0.0225+0.0072</f>
        <v>0.0319</v>
      </c>
      <c r="D140" s="466"/>
      <c r="E140" s="466"/>
    </row>
    <row r="141" customFormat="false" ht="12.75" hidden="false" customHeight="false" outlineLevel="0" collapsed="false">
      <c r="A141" s="447" t="s">
        <v>726</v>
      </c>
      <c r="B141" s="449" t="n">
        <f aca="false">(B3)/(1-0.0244)-B3</f>
        <v>0.118923739237392</v>
      </c>
      <c r="D141" s="467"/>
      <c r="E141" s="467"/>
    </row>
    <row r="142" customFormat="false" ht="12.75" hidden="false" customHeight="false" outlineLevel="0" collapsed="false">
      <c r="A142" s="451"/>
      <c r="B142" s="452" t="n">
        <f aca="false">SUM(B139:B141)</f>
        <v>0.469823739237392</v>
      </c>
      <c r="D142" s="468"/>
      <c r="E142" s="468"/>
    </row>
    <row r="143" customFormat="false" ht="12.75" hidden="false" customHeight="false" outlineLevel="0" collapsed="false">
      <c r="A143" s="453" t="s">
        <v>486</v>
      </c>
      <c r="B143" s="454" t="s">
        <v>683</v>
      </c>
      <c r="D143" s="465"/>
      <c r="E143" s="465"/>
    </row>
    <row r="144" customFormat="false" ht="12.75" hidden="false" customHeight="false" outlineLevel="0" collapsed="false">
      <c r="A144" s="447" t="s">
        <v>505</v>
      </c>
      <c r="B144" s="461" t="n">
        <f aca="false">0.3703-0.0022</f>
        <v>0.3681</v>
      </c>
      <c r="D144" s="465"/>
      <c r="E144" s="465"/>
    </row>
    <row r="145" customFormat="false" ht="12.75" hidden="false" customHeight="false" outlineLevel="0" collapsed="false">
      <c r="A145" s="447" t="s">
        <v>112</v>
      </c>
      <c r="B145" s="448" t="n">
        <f aca="false">0.0022+0+0.0225+0.0072</f>
        <v>0.0319</v>
      </c>
      <c r="D145" s="466"/>
      <c r="E145" s="466"/>
    </row>
    <row r="146" customFormat="false" ht="12.75" hidden="false" customHeight="false" outlineLevel="0" collapsed="false">
      <c r="A146" s="447" t="s">
        <v>744</v>
      </c>
      <c r="B146" s="449" t="n">
        <f aca="false">(B4)/(1-0.0369)-B4</f>
        <v>0.185821825355623</v>
      </c>
      <c r="D146" s="467"/>
      <c r="E146" s="467"/>
    </row>
    <row r="147" customFormat="false" ht="12.75" hidden="false" customHeight="false" outlineLevel="0" collapsed="false">
      <c r="A147" s="451"/>
      <c r="B147" s="452" t="n">
        <f aca="false">SUM(B144:B146)</f>
        <v>0.585821825355623</v>
      </c>
      <c r="D147" s="468"/>
      <c r="E147" s="468"/>
    </row>
    <row r="148" customFormat="false" ht="12.75" hidden="false" customHeight="false" outlineLevel="0" collapsed="false">
      <c r="A148" s="447" t="s">
        <v>1</v>
      </c>
      <c r="B148" s="448" t="s">
        <v>1</v>
      </c>
      <c r="D148" s="465"/>
      <c r="E148" s="465"/>
    </row>
    <row r="149" customFormat="false" ht="12.75" hidden="false" customHeight="false" outlineLevel="0" collapsed="false">
      <c r="A149" s="453" t="s">
        <v>486</v>
      </c>
      <c r="B149" s="455" t="s">
        <v>691</v>
      </c>
      <c r="D149" s="465"/>
      <c r="E149" s="465"/>
    </row>
    <row r="150" customFormat="false" ht="12.75" hidden="false" customHeight="false" outlineLevel="0" collapsed="false">
      <c r="A150" s="451" t="s">
        <v>505</v>
      </c>
      <c r="B150" s="461" t="n">
        <f aca="false">0.1786-0.0022</f>
        <v>0.1764</v>
      </c>
      <c r="D150" s="466"/>
      <c r="E150" s="466"/>
    </row>
    <row r="151" customFormat="false" ht="12.75" hidden="false" customHeight="false" outlineLevel="0" collapsed="false">
      <c r="A151" s="451" t="s">
        <v>112</v>
      </c>
      <c r="B151" s="448" t="n">
        <f aca="false">0.0022+0.0072</f>
        <v>0.0094</v>
      </c>
      <c r="D151" s="467"/>
      <c r="E151" s="467"/>
    </row>
    <row r="152" customFormat="false" ht="12.75" hidden="false" customHeight="false" outlineLevel="0" collapsed="false">
      <c r="A152" s="451" t="s">
        <v>753</v>
      </c>
      <c r="B152" s="450" t="n">
        <f aca="false">(B5)/(1-0.0117)-B5</f>
        <v>0.0591925528685628</v>
      </c>
      <c r="D152" s="467"/>
      <c r="E152" s="467"/>
    </row>
    <row r="153" customFormat="false" ht="12.75" hidden="false" customHeight="false" outlineLevel="0" collapsed="false">
      <c r="A153" s="451"/>
      <c r="B153" s="452" t="n">
        <f aca="false">SUM(B150:B152)</f>
        <v>0.244992552868563</v>
      </c>
      <c r="D153" s="469"/>
      <c r="E153" s="469"/>
    </row>
    <row r="154" customFormat="false" ht="12.75" hidden="false" customHeight="false" outlineLevel="0" collapsed="false">
      <c r="A154" s="411"/>
      <c r="B154" s="411"/>
      <c r="D154" s="469"/>
      <c r="E154" s="469"/>
    </row>
    <row r="155" customFormat="false" ht="12.75" hidden="false" customHeight="false" outlineLevel="0" collapsed="false">
      <c r="A155" s="447" t="s">
        <v>1</v>
      </c>
      <c r="B155" s="448" t="s">
        <v>1</v>
      </c>
      <c r="D155" s="469"/>
      <c r="E155" s="469"/>
    </row>
    <row r="156" customFormat="false" ht="12.75" hidden="false" customHeight="false" outlineLevel="0" collapsed="false">
      <c r="A156" s="447" t="s">
        <v>1</v>
      </c>
      <c r="B156" s="448" t="s">
        <v>1</v>
      </c>
      <c r="D156" s="466"/>
      <c r="E156" s="466"/>
    </row>
    <row r="157" customFormat="false" ht="12.75" hidden="false" customHeight="false" outlineLevel="0" collapsed="false">
      <c r="A157" s="411"/>
      <c r="B157" s="411"/>
      <c r="D157" s="467"/>
      <c r="E157" s="467"/>
    </row>
    <row r="158" customFormat="false" ht="12.75" hidden="false" customHeight="false" outlineLevel="0" collapsed="false">
      <c r="A158" s="470"/>
      <c r="B158" s="470"/>
      <c r="D158" s="468"/>
      <c r="E158" s="468"/>
    </row>
    <row r="159" customFormat="false" ht="12.75" hidden="false" customHeight="false" outlineLevel="0" collapsed="false">
      <c r="A159" s="471"/>
      <c r="B159" s="471"/>
      <c r="D159" s="465"/>
      <c r="E159" s="465"/>
    </row>
    <row r="160" customFormat="false" ht="12.75" hidden="false" customHeight="false" outlineLevel="0" collapsed="false">
      <c r="A160" s="472" t="s">
        <v>1</v>
      </c>
      <c r="B160" s="372" t="s">
        <v>1</v>
      </c>
      <c r="D160" s="465"/>
      <c r="E160" s="465"/>
    </row>
    <row r="161" customFormat="false" ht="12.75" hidden="false" customHeight="false" outlineLevel="0" collapsed="false">
      <c r="A161" s="472" t="s">
        <v>1</v>
      </c>
      <c r="B161" s="372" t="s">
        <v>1</v>
      </c>
      <c r="D161" s="466"/>
      <c r="E161" s="466"/>
    </row>
    <row r="162" customFormat="false" ht="12.75" hidden="false" customHeight="false" outlineLevel="0" collapsed="false">
      <c r="A162" s="471"/>
      <c r="B162" s="471"/>
      <c r="D162" s="467"/>
      <c r="E162" s="467"/>
    </row>
    <row r="163" customFormat="false" ht="12.75" hidden="false" customHeight="false" outlineLevel="0" collapsed="false">
      <c r="A163" s="471"/>
      <c r="B163" s="471"/>
    </row>
    <row r="164" customFormat="false" ht="12.75" hidden="false" customHeight="false" outlineLevel="0" collapsed="false">
      <c r="A164" s="471"/>
      <c r="B164" s="471"/>
      <c r="D164" s="468"/>
      <c r="E164" s="468"/>
    </row>
    <row r="165" customFormat="false" ht="12.75" hidden="false" customHeight="false" outlineLevel="0" collapsed="false">
      <c r="A165" s="471"/>
      <c r="B165" s="471"/>
      <c r="D165" s="465"/>
      <c r="E165" s="465"/>
    </row>
    <row r="166" customFormat="false" ht="12.75" hidden="false" customHeight="false" outlineLevel="0" collapsed="false">
      <c r="D166" s="465"/>
      <c r="E166" s="465"/>
    </row>
    <row r="167" customFormat="false" ht="12.75" hidden="false" customHeight="false" outlineLevel="0" collapsed="false">
      <c r="D167" s="466"/>
      <c r="E167" s="466"/>
    </row>
    <row r="168" customFormat="false" ht="12.75" hidden="false" customHeight="false" outlineLevel="0" collapsed="false">
      <c r="D168" s="467"/>
      <c r="E168" s="467"/>
    </row>
    <row r="169" customFormat="false" ht="12.75" hidden="false" customHeight="false" outlineLevel="0" collapsed="false">
      <c r="D169" s="468"/>
      <c r="E169" s="468"/>
    </row>
    <row r="170" customFormat="false" ht="12.75" hidden="false" customHeight="false" outlineLevel="0" collapsed="false">
      <c r="D170" s="465"/>
      <c r="E170" s="465"/>
    </row>
    <row r="171" customFormat="false" ht="12.75" hidden="false" customHeight="false" outlineLevel="0" collapsed="false">
      <c r="D171" s="465"/>
      <c r="E171" s="465"/>
    </row>
    <row r="172" customFormat="false" ht="12.75" hidden="false" customHeight="false" outlineLevel="0" collapsed="false">
      <c r="D172" s="466"/>
      <c r="E172" s="466"/>
    </row>
    <row r="173" customFormat="false" ht="12.75" hidden="false" customHeight="false" outlineLevel="0" collapsed="false">
      <c r="D173" s="467"/>
      <c r="E173" s="467"/>
    </row>
    <row r="200" customFormat="false" ht="12.75" hidden="false" customHeight="false" outlineLevel="0" collapsed="false">
      <c r="A200" s="473"/>
      <c r="B200" s="473"/>
      <c r="J200" s="473"/>
      <c r="K200" s="473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474" t="s">
        <v>84</v>
      </c>
      <c r="C1" s="474"/>
    </row>
    <row r="3" customFormat="false" ht="12.75" hidden="false" customHeight="false" outlineLevel="0" collapsed="false">
      <c r="B3" s="0" t="s">
        <v>5</v>
      </c>
      <c r="G3" s="475"/>
    </row>
    <row r="5" customFormat="false" ht="12.75" hidden="false" customHeight="false" outlineLevel="0" collapsed="false">
      <c r="B5" s="0" t="s">
        <v>758</v>
      </c>
    </row>
    <row r="7" customFormat="false" ht="12.75" hidden="false" customHeight="false" outlineLevel="0" collapsed="false">
      <c r="C7" s="0" t="s">
        <v>759</v>
      </c>
    </row>
    <row r="8" customFormat="false" ht="12.75" hidden="false" customHeight="false" outlineLevel="0" collapsed="false">
      <c r="D8" s="0" t="s">
        <v>760</v>
      </c>
      <c r="E8" s="0" t="s">
        <v>761</v>
      </c>
      <c r="F8" s="296" t="n">
        <v>3.88</v>
      </c>
    </row>
    <row r="9" customFormat="false" ht="12.75" hidden="false" customHeight="false" outlineLevel="0" collapsed="false">
      <c r="D9" s="0" t="s">
        <v>759</v>
      </c>
      <c r="F9" s="476" t="n">
        <v>0.0333</v>
      </c>
    </row>
    <row r="10" customFormat="false" ht="12.75" hidden="false" customHeight="false" outlineLevel="0" collapsed="false">
      <c r="D10" s="0" t="s">
        <v>762</v>
      </c>
      <c r="F10" s="477" t="n">
        <v>0.0474045</v>
      </c>
      <c r="G10" s="0" t="s">
        <v>763</v>
      </c>
    </row>
    <row r="11" customFormat="false" ht="12.75" hidden="false" customHeight="false" outlineLevel="0" collapsed="false">
      <c r="D11" s="0" t="s">
        <v>764</v>
      </c>
      <c r="F11" s="353" t="n">
        <f aca="false">+F8/(1-F10)-F8</f>
        <v>0.193082436354151</v>
      </c>
    </row>
    <row r="12" customFormat="false" ht="13.5" hidden="false" customHeight="false" outlineLevel="0" collapsed="false">
      <c r="D12" s="0" t="s">
        <v>765</v>
      </c>
      <c r="F12" s="355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0" t="s">
        <v>766</v>
      </c>
    </row>
    <row r="15" customFormat="false" ht="12.75" hidden="false" customHeight="false" outlineLevel="0" collapsed="false">
      <c r="D15" s="0" t="s">
        <v>760</v>
      </c>
      <c r="E15" s="0" t="s">
        <v>761</v>
      </c>
      <c r="F15" s="296" t="n">
        <v>3.88</v>
      </c>
    </row>
    <row r="16" customFormat="false" ht="12.75" hidden="false" customHeight="false" outlineLevel="0" collapsed="false">
      <c r="D16" s="0" t="s">
        <v>766</v>
      </c>
      <c r="F16" s="476" t="n">
        <v>0.0325</v>
      </c>
    </row>
    <row r="17" customFormat="false" ht="12.75" hidden="false" customHeight="false" outlineLevel="0" collapsed="false">
      <c r="D17" s="0" t="s">
        <v>767</v>
      </c>
      <c r="F17" s="477" t="n">
        <v>0</v>
      </c>
    </row>
    <row r="18" customFormat="false" ht="12.75" hidden="false" customHeight="false" outlineLevel="0" collapsed="false">
      <c r="D18" s="0" t="s">
        <v>764</v>
      </c>
      <c r="F18" s="353" t="n">
        <f aca="false">+F15/(1-F17)-F15</f>
        <v>0</v>
      </c>
    </row>
    <row r="19" customFormat="false" ht="13.5" hidden="false" customHeight="false" outlineLevel="0" collapsed="false">
      <c r="D19" s="0" t="s">
        <v>765</v>
      </c>
      <c r="F19" s="355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0" t="s">
        <v>768</v>
      </c>
    </row>
    <row r="24" customFormat="false" ht="12.75" hidden="false" customHeight="false" outlineLevel="0" collapsed="false">
      <c r="C24" s="0" t="s">
        <v>759</v>
      </c>
    </row>
    <row r="25" customFormat="false" ht="12.75" hidden="false" customHeight="false" outlineLevel="0" collapsed="false">
      <c r="D25" s="0" t="s">
        <v>760</v>
      </c>
      <c r="E25" s="0" t="s">
        <v>761</v>
      </c>
      <c r="F25" s="296" t="n">
        <v>2.2</v>
      </c>
    </row>
    <row r="26" customFormat="false" ht="12.75" hidden="false" customHeight="false" outlineLevel="0" collapsed="false">
      <c r="D26" s="0" t="s">
        <v>759</v>
      </c>
      <c r="F26" s="476" t="n">
        <v>0.0054</v>
      </c>
    </row>
    <row r="27" customFormat="false" ht="12.75" hidden="false" customHeight="false" outlineLevel="0" collapsed="false">
      <c r="D27" s="0" t="s">
        <v>762</v>
      </c>
      <c r="F27" s="477" t="n">
        <v>0.0198</v>
      </c>
    </row>
    <row r="28" customFormat="false" ht="12.75" hidden="false" customHeight="false" outlineLevel="0" collapsed="false">
      <c r="D28" s="0" t="s">
        <v>764</v>
      </c>
      <c r="F28" s="353" t="n">
        <f aca="false">+F25/(1-F27)-F25</f>
        <v>0.0444399102224038</v>
      </c>
    </row>
    <row r="29" customFormat="false" ht="13.5" hidden="false" customHeight="false" outlineLevel="0" collapsed="false">
      <c r="D29" s="0" t="s">
        <v>765</v>
      </c>
      <c r="F29" s="355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0" t="s">
        <v>766</v>
      </c>
    </row>
    <row r="32" customFormat="false" ht="12.75" hidden="false" customHeight="false" outlineLevel="0" collapsed="false">
      <c r="D32" s="0" t="s">
        <v>760</v>
      </c>
      <c r="E32" s="0" t="s">
        <v>761</v>
      </c>
      <c r="F32" s="296" t="n">
        <v>1.95</v>
      </c>
    </row>
    <row r="33" customFormat="false" ht="12.75" hidden="false" customHeight="false" outlineLevel="0" collapsed="false">
      <c r="D33" s="0" t="s">
        <v>766</v>
      </c>
      <c r="F33" s="476" t="n">
        <v>0.0054</v>
      </c>
    </row>
    <row r="34" customFormat="false" ht="12.75" hidden="false" customHeight="false" outlineLevel="0" collapsed="false">
      <c r="D34" s="0" t="s">
        <v>767</v>
      </c>
      <c r="F34" s="477" t="n">
        <v>0</v>
      </c>
    </row>
    <row r="35" customFormat="false" ht="12.75" hidden="false" customHeight="false" outlineLevel="0" collapsed="false">
      <c r="D35" s="0" t="s">
        <v>764</v>
      </c>
      <c r="F35" s="353" t="n">
        <f aca="false">+F32/(1-F34)-F32</f>
        <v>0</v>
      </c>
    </row>
    <row r="36" customFormat="false" ht="13.5" hidden="false" customHeight="false" outlineLevel="0" collapsed="false">
      <c r="D36" s="0" t="s">
        <v>765</v>
      </c>
      <c r="F36" s="355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0" t="s">
        <v>769</v>
      </c>
    </row>
    <row r="41" customFormat="false" ht="12.75" hidden="false" customHeight="false" outlineLevel="0" collapsed="false">
      <c r="C41" s="0" t="s">
        <v>759</v>
      </c>
    </row>
    <row r="42" customFormat="false" ht="12.75" hidden="false" customHeight="false" outlineLevel="0" collapsed="false">
      <c r="D42" s="0" t="s">
        <v>760</v>
      </c>
      <c r="E42" s="0" t="s">
        <v>761</v>
      </c>
      <c r="F42" s="296" t="n">
        <v>2.2</v>
      </c>
    </row>
    <row r="43" customFormat="false" ht="12.75" hidden="false" customHeight="false" outlineLevel="0" collapsed="false">
      <c r="D43" s="0" t="s">
        <v>759</v>
      </c>
      <c r="F43" s="476" t="n">
        <v>0.0219</v>
      </c>
    </row>
    <row r="44" customFormat="false" ht="12.75" hidden="false" customHeight="false" outlineLevel="0" collapsed="false">
      <c r="D44" s="0" t="s">
        <v>762</v>
      </c>
      <c r="F44" s="477" t="n">
        <v>0.02375</v>
      </c>
      <c r="G44" s="0" t="s">
        <v>770</v>
      </c>
    </row>
    <row r="45" customFormat="false" ht="12.75" hidden="false" customHeight="false" outlineLevel="0" collapsed="false">
      <c r="D45" s="0" t="s">
        <v>764</v>
      </c>
      <c r="F45" s="353" t="n">
        <f aca="false">+F42/(1-F44)-F42</f>
        <v>0.0535211267605633</v>
      </c>
    </row>
    <row r="46" customFormat="false" ht="13.5" hidden="false" customHeight="false" outlineLevel="0" collapsed="false">
      <c r="D46" s="0" t="s">
        <v>765</v>
      </c>
      <c r="F46" s="355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0" t="s">
        <v>766</v>
      </c>
    </row>
    <row r="49" customFormat="false" ht="12.75" hidden="false" customHeight="false" outlineLevel="0" collapsed="false">
      <c r="D49" s="0" t="s">
        <v>760</v>
      </c>
      <c r="E49" s="0" t="s">
        <v>761</v>
      </c>
      <c r="F49" s="296" t="n">
        <v>1.95</v>
      </c>
    </row>
    <row r="50" customFormat="false" ht="12.75" hidden="false" customHeight="false" outlineLevel="0" collapsed="false">
      <c r="D50" s="0" t="s">
        <v>766</v>
      </c>
      <c r="F50" s="476" t="n">
        <v>0.0209</v>
      </c>
    </row>
    <row r="51" customFormat="false" ht="12.75" hidden="false" customHeight="false" outlineLevel="0" collapsed="false">
      <c r="D51" s="0" t="s">
        <v>767</v>
      </c>
      <c r="F51" s="477" t="n">
        <v>0.0047</v>
      </c>
    </row>
    <row r="52" customFormat="false" ht="12.75" hidden="false" customHeight="false" outlineLevel="0" collapsed="false">
      <c r="D52" s="0" t="s">
        <v>764</v>
      </c>
      <c r="F52" s="353" t="n">
        <f aca="false">+F49/(1-F51)-F49</f>
        <v>0.00920827891088116</v>
      </c>
    </row>
    <row r="53" customFormat="false" ht="13.5" hidden="false" customHeight="false" outlineLevel="0" collapsed="false">
      <c r="D53" s="0" t="s">
        <v>765</v>
      </c>
      <c r="F53" s="355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0" t="s">
        <v>771</v>
      </c>
    </row>
    <row r="57" customFormat="false" ht="12.75" hidden="false" customHeight="false" outlineLevel="0" collapsed="false">
      <c r="C57" s="0" t="s">
        <v>759</v>
      </c>
    </row>
    <row r="58" customFormat="false" ht="12.75" hidden="false" customHeight="false" outlineLevel="0" collapsed="false">
      <c r="D58" s="0" t="s">
        <v>760</v>
      </c>
      <c r="E58" s="0" t="s">
        <v>761</v>
      </c>
      <c r="F58" s="296" t="n">
        <v>2.2</v>
      </c>
    </row>
    <row r="59" customFormat="false" ht="12.75" hidden="false" customHeight="false" outlineLevel="0" collapsed="false">
      <c r="D59" s="0" t="s">
        <v>759</v>
      </c>
      <c r="F59" s="476" t="n">
        <v>0.0334</v>
      </c>
      <c r="G59" s="0" t="s">
        <v>772</v>
      </c>
    </row>
    <row r="60" customFormat="false" ht="12.75" hidden="false" customHeight="false" outlineLevel="0" collapsed="false">
      <c r="D60" s="0" t="s">
        <v>773</v>
      </c>
      <c r="F60" s="476" t="n">
        <v>0.0727</v>
      </c>
      <c r="G60" s="0" t="s">
        <v>774</v>
      </c>
    </row>
    <row r="61" customFormat="false" ht="12.75" hidden="false" customHeight="false" outlineLevel="0" collapsed="false">
      <c r="D61" s="0" t="s">
        <v>762</v>
      </c>
      <c r="F61" s="477" t="n">
        <v>0</v>
      </c>
    </row>
    <row r="62" customFormat="false" ht="12.75" hidden="false" customHeight="false" outlineLevel="0" collapsed="false">
      <c r="D62" s="0" t="s">
        <v>764</v>
      </c>
      <c r="F62" s="353" t="n">
        <f aca="false">+F58/(1-F61)-F58</f>
        <v>0</v>
      </c>
    </row>
    <row r="63" customFormat="false" ht="13.5" hidden="false" customHeight="false" outlineLevel="0" collapsed="false">
      <c r="D63" s="0" t="s">
        <v>765</v>
      </c>
      <c r="F63" s="355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0" t="s">
        <v>766</v>
      </c>
    </row>
    <row r="66" customFormat="false" ht="12.75" hidden="false" customHeight="false" outlineLevel="0" collapsed="false">
      <c r="D66" s="0" t="s">
        <v>760</v>
      </c>
      <c r="E66" s="0" t="s">
        <v>761</v>
      </c>
      <c r="F66" s="296" t="n">
        <v>1.95</v>
      </c>
    </row>
    <row r="67" customFormat="false" ht="12.75" hidden="false" customHeight="false" outlineLevel="0" collapsed="false">
      <c r="D67" s="0" t="s">
        <v>773</v>
      </c>
      <c r="F67" s="476" t="n">
        <v>0.0727</v>
      </c>
      <c r="G67" s="0" t="s">
        <v>775</v>
      </c>
    </row>
    <row r="68" customFormat="false" ht="12.75" hidden="false" customHeight="false" outlineLevel="0" collapsed="false">
      <c r="D68" s="0" t="s">
        <v>766</v>
      </c>
      <c r="F68" s="476" t="n">
        <v>0.0264</v>
      </c>
      <c r="G68" s="0" t="s">
        <v>776</v>
      </c>
    </row>
    <row r="69" customFormat="false" ht="12.75" hidden="false" customHeight="false" outlineLevel="0" collapsed="false">
      <c r="D69" s="0" t="s">
        <v>767</v>
      </c>
      <c r="F69" s="477" t="n">
        <v>0</v>
      </c>
    </row>
    <row r="70" customFormat="false" ht="12.75" hidden="false" customHeight="false" outlineLevel="0" collapsed="false">
      <c r="D70" s="0" t="s">
        <v>764</v>
      </c>
      <c r="F70" s="353" t="n">
        <f aca="false">+F66/(1-F69)-F66</f>
        <v>0</v>
      </c>
    </row>
    <row r="71" customFormat="false" ht="13.5" hidden="false" customHeight="false" outlineLevel="0" collapsed="false">
      <c r="D71" s="0" t="s">
        <v>765</v>
      </c>
      <c r="F71" s="355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474" t="s">
        <v>777</v>
      </c>
    </row>
    <row r="76" customFormat="false" ht="12.75" hidden="false" customHeight="false" outlineLevel="0" collapsed="false">
      <c r="D76" s="0" t="s">
        <v>760</v>
      </c>
      <c r="E76" s="0" t="s">
        <v>761</v>
      </c>
      <c r="F76" s="296" t="n">
        <v>2.8</v>
      </c>
    </row>
    <row r="77" customFormat="false" ht="12.75" hidden="false" customHeight="false" outlineLevel="0" collapsed="false">
      <c r="D77" s="0" t="s">
        <v>506</v>
      </c>
      <c r="F77" s="476" t="n">
        <v>0.0057</v>
      </c>
    </row>
    <row r="78" customFormat="false" ht="12.75" hidden="false" customHeight="false" outlineLevel="0" collapsed="false">
      <c r="D78" s="0" t="s">
        <v>778</v>
      </c>
      <c r="F78" s="476" t="n">
        <f aca="false">0.0022+0.0075</f>
        <v>0.0097</v>
      </c>
      <c r="G78" s="0" t="s">
        <v>779</v>
      </c>
    </row>
    <row r="79" customFormat="false" ht="12.75" hidden="false" customHeight="false" outlineLevel="0" collapsed="false">
      <c r="D79" s="0" t="s">
        <v>361</v>
      </c>
      <c r="F79" s="477" t="n">
        <v>0.0072</v>
      </c>
    </row>
    <row r="80" customFormat="false" ht="12.75" hidden="false" customHeight="false" outlineLevel="0" collapsed="false">
      <c r="D80" s="0" t="s">
        <v>764</v>
      </c>
      <c r="F80" s="353" t="n">
        <f aca="false">+F76/(1-F79)-F76</f>
        <v>0.0203062046736502</v>
      </c>
    </row>
    <row r="81" customFormat="false" ht="13.5" hidden="false" customHeight="false" outlineLevel="0" collapsed="false">
      <c r="D81" s="0" t="s">
        <v>765</v>
      </c>
      <c r="F81" s="355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474" t="s">
        <v>50</v>
      </c>
    </row>
    <row r="98" customFormat="false" ht="12.75" hidden="false" customHeight="false" outlineLevel="0" collapsed="false">
      <c r="B98" s="0" t="s">
        <v>5</v>
      </c>
    </row>
    <row r="100" customFormat="false" ht="12.75" hidden="false" customHeight="false" outlineLevel="0" collapsed="false">
      <c r="B100" s="0" t="s">
        <v>780</v>
      </c>
    </row>
    <row r="101" customFormat="false" ht="12.75" hidden="false" customHeight="false" outlineLevel="0" collapsed="false">
      <c r="C101" s="0" t="s">
        <v>759</v>
      </c>
    </row>
    <row r="102" customFormat="false" ht="12.75" hidden="false" customHeight="false" outlineLevel="0" collapsed="false">
      <c r="D102" s="0" t="s">
        <v>760</v>
      </c>
      <c r="E102" s="0" t="s">
        <v>781</v>
      </c>
      <c r="F102" s="296" t="n">
        <f aca="false">0.18+2.27</f>
        <v>2.45</v>
      </c>
    </row>
    <row r="103" customFormat="false" ht="12.75" hidden="false" customHeight="false" outlineLevel="0" collapsed="false">
      <c r="D103" s="0" t="s">
        <v>759</v>
      </c>
      <c r="F103" s="476" t="n">
        <v>0.0162</v>
      </c>
    </row>
    <row r="104" customFormat="false" ht="12.75" hidden="false" customHeight="false" outlineLevel="0" collapsed="false">
      <c r="D104" s="0" t="s">
        <v>762</v>
      </c>
      <c r="F104" s="477" t="n">
        <v>0.0278</v>
      </c>
    </row>
    <row r="105" customFormat="false" ht="12.75" hidden="false" customHeight="false" outlineLevel="0" collapsed="false">
      <c r="D105" s="0" t="s">
        <v>764</v>
      </c>
      <c r="F105" s="353" t="n">
        <f aca="false">+F102/(1-F104)-F102</f>
        <v>0.0700576013166017</v>
      </c>
    </row>
    <row r="106" customFormat="false" ht="13.5" hidden="false" customHeight="false" outlineLevel="0" collapsed="false">
      <c r="D106" s="0" t="s">
        <v>765</v>
      </c>
      <c r="F106" s="355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0" t="s">
        <v>766</v>
      </c>
    </row>
    <row r="109" customFormat="false" ht="12.75" hidden="false" customHeight="false" outlineLevel="0" collapsed="false">
      <c r="D109" s="0" t="s">
        <v>760</v>
      </c>
      <c r="E109" s="0" t="s">
        <v>781</v>
      </c>
      <c r="F109" s="296" t="n">
        <v>1.95</v>
      </c>
    </row>
    <row r="110" customFormat="false" ht="12.75" hidden="false" customHeight="false" outlineLevel="0" collapsed="false">
      <c r="D110" s="0" t="s">
        <v>766</v>
      </c>
      <c r="F110" s="476" t="n">
        <v>0.0147</v>
      </c>
    </row>
    <row r="111" customFormat="false" ht="12.75" hidden="false" customHeight="false" outlineLevel="0" collapsed="false">
      <c r="D111" s="0" t="s">
        <v>782</v>
      </c>
      <c r="F111" s="476" t="n">
        <v>-0.0006</v>
      </c>
    </row>
    <row r="112" customFormat="false" ht="12.75" hidden="false" customHeight="false" outlineLevel="0" collapsed="false">
      <c r="D112" s="0" t="s">
        <v>767</v>
      </c>
      <c r="F112" s="477" t="n">
        <v>0</v>
      </c>
    </row>
    <row r="113" customFormat="false" ht="12.75" hidden="false" customHeight="false" outlineLevel="0" collapsed="false">
      <c r="D113" s="0" t="s">
        <v>764</v>
      </c>
      <c r="F113" s="353" t="n">
        <f aca="false">+F109/(1-F112)-F109</f>
        <v>0</v>
      </c>
    </row>
    <row r="114" customFormat="false" ht="13.5" hidden="false" customHeight="false" outlineLevel="0" collapsed="false">
      <c r="D114" s="0" t="s">
        <v>765</v>
      </c>
      <c r="F114" s="355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0" t="s">
        <v>783</v>
      </c>
    </row>
    <row r="117" customFormat="false" ht="12.75" hidden="false" customHeight="false" outlineLevel="0" collapsed="false">
      <c r="C117" s="0" t="s">
        <v>784</v>
      </c>
    </row>
    <row r="121" customFormat="false" ht="12.75" hidden="false" customHeight="false" outlineLevel="0" collapsed="false">
      <c r="B121" s="474" t="s">
        <v>133</v>
      </c>
    </row>
    <row r="123" customFormat="false" ht="12.75" hidden="false" customHeight="false" outlineLevel="0" collapsed="false">
      <c r="B123" s="0" t="s">
        <v>5</v>
      </c>
    </row>
    <row r="125" customFormat="false" ht="12.75" hidden="false" customHeight="false" outlineLevel="0" collapsed="false">
      <c r="B125" s="0" t="s">
        <v>785</v>
      </c>
    </row>
    <row r="126" customFormat="false" ht="12.75" hidden="false" customHeight="false" outlineLevel="0" collapsed="false">
      <c r="C126" s="0" t="s">
        <v>759</v>
      </c>
    </row>
    <row r="127" customFormat="false" ht="12.75" hidden="false" customHeight="false" outlineLevel="0" collapsed="false">
      <c r="D127" s="0" t="s">
        <v>760</v>
      </c>
      <c r="E127" s="0" t="s">
        <v>781</v>
      </c>
      <c r="F127" s="296" t="n">
        <v>2.48</v>
      </c>
    </row>
    <row r="128" customFormat="false" ht="12.75" hidden="false" customHeight="false" outlineLevel="0" collapsed="false">
      <c r="D128" s="0" t="s">
        <v>759</v>
      </c>
      <c r="F128" s="476" t="n">
        <v>0.0089</v>
      </c>
    </row>
    <row r="129" customFormat="false" ht="12.75" hidden="false" customHeight="false" outlineLevel="0" collapsed="false">
      <c r="D129" s="0" t="s">
        <v>762</v>
      </c>
      <c r="F129" s="477" t="n">
        <v>0.0065</v>
      </c>
    </row>
    <row r="130" customFormat="false" ht="12.75" hidden="false" customHeight="false" outlineLevel="0" collapsed="false">
      <c r="D130" s="0" t="s">
        <v>764</v>
      </c>
      <c r="F130" s="353" t="n">
        <f aca="false">+F127/(1-F129)-F127</f>
        <v>0.0162254655259182</v>
      </c>
    </row>
    <row r="131" customFormat="false" ht="13.5" hidden="false" customHeight="false" outlineLevel="0" collapsed="false">
      <c r="D131" s="0" t="s">
        <v>765</v>
      </c>
      <c r="F131" s="355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0" t="s">
        <v>786</v>
      </c>
    </row>
    <row r="134" customFormat="false" ht="12.75" hidden="false" customHeight="false" outlineLevel="0" collapsed="false">
      <c r="C134" s="0" t="s">
        <v>759</v>
      </c>
    </row>
    <row r="135" customFormat="false" ht="12.75" hidden="false" customHeight="false" outlineLevel="0" collapsed="false">
      <c r="D135" s="0" t="s">
        <v>760</v>
      </c>
      <c r="E135" s="0" t="s">
        <v>781</v>
      </c>
      <c r="F135" s="296" t="n">
        <v>2.48</v>
      </c>
    </row>
    <row r="136" customFormat="false" ht="12.75" hidden="false" customHeight="false" outlineLevel="0" collapsed="false">
      <c r="D136" s="0" t="s">
        <v>787</v>
      </c>
      <c r="F136" s="476" t="n">
        <v>0.0079</v>
      </c>
    </row>
    <row r="137" customFormat="false" ht="12.75" hidden="false" customHeight="false" outlineLevel="0" collapsed="false">
      <c r="D137" s="0" t="s">
        <v>507</v>
      </c>
      <c r="F137" s="476" t="n">
        <v>0.0022</v>
      </c>
    </row>
    <row r="138" customFormat="false" ht="12.75" hidden="false" customHeight="false" outlineLevel="0" collapsed="false">
      <c r="D138" s="0" t="s">
        <v>762</v>
      </c>
      <c r="F138" s="477" t="n">
        <v>0.0325</v>
      </c>
    </row>
    <row r="139" customFormat="false" ht="12.75" hidden="false" customHeight="false" outlineLevel="0" collapsed="false">
      <c r="D139" s="0" t="s">
        <v>764</v>
      </c>
      <c r="F139" s="478" t="n">
        <f aca="false">+F135/(1-F138)-F135</f>
        <v>0.0833074935400515</v>
      </c>
    </row>
    <row r="140" customFormat="false" ht="13.5" hidden="false" customHeight="false" outlineLevel="0" collapsed="false">
      <c r="D140" s="0" t="s">
        <v>765</v>
      </c>
      <c r="F140" s="355" t="n">
        <f aca="false">SUM(F136:F137,F139)</f>
        <v>0.0934074935400515</v>
      </c>
    </row>
    <row r="141" customFormat="false" ht="13.5" hidden="false" customHeight="false" outlineLevel="0" collapsed="false">
      <c r="F141" s="296"/>
    </row>
    <row r="142" customFormat="false" ht="12.75" hidden="false" customHeight="false" outlineLevel="0" collapsed="false">
      <c r="F142" s="296"/>
    </row>
    <row r="143" customFormat="false" ht="12.75" hidden="false" customHeight="false" outlineLevel="0" collapsed="false">
      <c r="B143" s="0" t="s">
        <v>785</v>
      </c>
    </row>
    <row r="144" customFormat="false" ht="12.75" hidden="false" customHeight="false" outlineLevel="0" collapsed="false">
      <c r="C144" s="0" t="s">
        <v>766</v>
      </c>
    </row>
    <row r="145" customFormat="false" ht="12.75" hidden="false" customHeight="false" outlineLevel="0" collapsed="false">
      <c r="D145" s="0" t="s">
        <v>760</v>
      </c>
      <c r="E145" s="0" t="s">
        <v>781</v>
      </c>
      <c r="F145" s="296" t="n">
        <v>1.95</v>
      </c>
    </row>
    <row r="146" customFormat="false" ht="12.75" hidden="false" customHeight="false" outlineLevel="0" collapsed="false">
      <c r="D146" s="0" t="s">
        <v>766</v>
      </c>
      <c r="F146" s="476" t="n">
        <v>0.0089</v>
      </c>
    </row>
    <row r="147" customFormat="false" ht="12.75" hidden="false" customHeight="false" outlineLevel="0" collapsed="false">
      <c r="D147" s="0" t="s">
        <v>767</v>
      </c>
      <c r="F147" s="477" t="n">
        <v>0</v>
      </c>
    </row>
    <row r="148" customFormat="false" ht="12.75" hidden="false" customHeight="false" outlineLevel="0" collapsed="false">
      <c r="D148" s="0" t="s">
        <v>764</v>
      </c>
      <c r="F148" s="353" t="n">
        <f aca="false">+F145/(1-F147)-F145</f>
        <v>0</v>
      </c>
    </row>
    <row r="149" customFormat="false" ht="13.5" hidden="false" customHeight="false" outlineLevel="0" collapsed="false">
      <c r="D149" s="0" t="s">
        <v>765</v>
      </c>
      <c r="F149" s="355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0" t="s">
        <v>786</v>
      </c>
    </row>
    <row r="152" customFormat="false" ht="12.75" hidden="false" customHeight="false" outlineLevel="0" collapsed="false">
      <c r="C152" s="0" t="s">
        <v>766</v>
      </c>
    </row>
    <row r="153" customFormat="false" ht="12.75" hidden="false" customHeight="false" outlineLevel="0" collapsed="false">
      <c r="D153" s="0" t="s">
        <v>760</v>
      </c>
      <c r="E153" s="0" t="s">
        <v>781</v>
      </c>
      <c r="F153" s="296" t="n">
        <v>2.48</v>
      </c>
    </row>
    <row r="154" customFormat="false" ht="12.75" hidden="false" customHeight="false" outlineLevel="0" collapsed="false">
      <c r="D154" s="0" t="s">
        <v>787</v>
      </c>
      <c r="F154" s="476" t="n">
        <v>0.0079</v>
      </c>
    </row>
    <row r="155" customFormat="false" ht="12.75" hidden="false" customHeight="false" outlineLevel="0" collapsed="false">
      <c r="D155" s="0" t="s">
        <v>507</v>
      </c>
      <c r="F155" s="476" t="n">
        <v>0.0022</v>
      </c>
    </row>
    <row r="156" customFormat="false" ht="12.75" hidden="false" customHeight="false" outlineLevel="0" collapsed="false">
      <c r="D156" s="0" t="s">
        <v>767</v>
      </c>
      <c r="F156" s="477" t="n">
        <v>0</v>
      </c>
    </row>
    <row r="157" customFormat="false" ht="12.75" hidden="false" customHeight="false" outlineLevel="0" collapsed="false">
      <c r="D157" s="0" t="s">
        <v>764</v>
      </c>
      <c r="F157" s="478" t="n">
        <f aca="false">+F153/(1-F156)-F153</f>
        <v>0</v>
      </c>
    </row>
    <row r="158" customFormat="false" ht="13.5" hidden="false" customHeight="false" outlineLevel="0" collapsed="false">
      <c r="D158" s="0" t="s">
        <v>765</v>
      </c>
      <c r="F158" s="355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479"/>
      <c r="D161" s="479"/>
      <c r="E161" s="479"/>
      <c r="F161" s="479"/>
      <c r="G161" s="479"/>
    </row>
    <row r="162" customFormat="false" ht="12.75" hidden="false" customHeight="false" outlineLevel="0" collapsed="false">
      <c r="C162" s="479"/>
      <c r="D162" s="479"/>
      <c r="E162" s="479"/>
      <c r="F162" s="296"/>
      <c r="G162" s="479"/>
    </row>
    <row r="163" customFormat="false" ht="12.75" hidden="false" customHeight="false" outlineLevel="0" collapsed="false">
      <c r="C163" s="479"/>
      <c r="D163" s="479"/>
      <c r="E163" s="479"/>
      <c r="F163" s="476"/>
      <c r="G163" s="479"/>
    </row>
    <row r="164" customFormat="false" ht="12.75" hidden="false" customHeight="false" outlineLevel="0" collapsed="false">
      <c r="C164" s="479"/>
      <c r="D164" s="479"/>
      <c r="E164" s="479"/>
      <c r="F164" s="477"/>
      <c r="G164" s="479"/>
    </row>
    <row r="165" customFormat="false" ht="12.75" hidden="false" customHeight="false" outlineLevel="0" collapsed="false">
      <c r="C165" s="479"/>
      <c r="D165" s="479"/>
      <c r="E165" s="479"/>
      <c r="F165" s="296"/>
      <c r="G165" s="479"/>
    </row>
    <row r="166" customFormat="false" ht="12.75" hidden="false" customHeight="false" outlineLevel="0" collapsed="false">
      <c r="C166" s="479"/>
      <c r="D166" s="479"/>
      <c r="E166" s="479"/>
      <c r="F166" s="296"/>
      <c r="G166" s="479"/>
    </row>
    <row r="167" customFormat="false" ht="12.75" hidden="false" customHeight="false" outlineLevel="0" collapsed="false">
      <c r="C167" s="479"/>
      <c r="D167" s="479"/>
      <c r="E167" s="479"/>
      <c r="F167" s="479"/>
      <c r="G167" s="4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Steve Gillespie</cp:lastModifiedBy>
  <cp:lastPrinted>2001-02-13T11:20:15Z</cp:lastPrinted>
  <cp:revision>0</cp:revision>
  <dc:subject/>
  <dc:title/>
</cp:coreProperties>
</file>