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3rd Party Deals" sheetId="2" state="visible" r:id="rId4"/>
    <sheet name="Spot wENA" sheetId="3" state="visible" r:id="rId5"/>
    <sheet name="CGAS" sheetId="4" state="visible" r:id="rId6"/>
    <sheet name="Pricing" sheetId="5" state="visible" r:id="rId7"/>
    <sheet name="NEW Retail East" sheetId="6" state="visible" r:id="rId8"/>
    <sheet name="New Retail Mrkt" sheetId="7" state="visible" r:id="rId9"/>
  </sheets>
  <definedNames>
    <definedName function="false" hidden="false" localSheetId="5" name="_xlnm.Print_Area" vbProcedure="false">'NEW Retail East'!$A$1:$AC$110</definedName>
    <definedName function="false" hidden="false" localSheetId="6" name="_xlnm.Print_Area" vbProcedure="false">'New Retail Mrkt'!$A$7:$V$66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10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7</xdr:rowOff>
              </xdr:from>
              <xdr:to>
                <xdr:col>11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7</xdr:col>
                <xdr:colOff>37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21</xdr:colOff>
                <xdr:row>3</xdr:row>
                <xdr:rowOff>7</xdr:rowOff>
              </xdr:from>
              <xdr:to>
                <xdr:col>26</xdr:col>
                <xdr:colOff>55</xdr:colOff>
                <xdr:row>10</xdr:row>
                <xdr:rowOff>6</xdr:rowOff>
              </xdr:to>
            </anchor>
          </commentPr>
        </mc:Choice>
        <mc:Fallback/>
      </mc:AlternateContent>
    </comment>
    <comment ref="AA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4</xdr:row>
                <xdr:rowOff>7</xdr:rowOff>
              </xdr:from>
              <xdr:to>
                <xdr:col>29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<sst xmlns="http://schemas.openxmlformats.org/spreadsheetml/2006/main" count="1310" uniqueCount="315">
  <si>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</si>
  <si>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</si>
  <si>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</si>
  <si>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</si>
  <si>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</si>
  <si>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</si>
  <si>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</si>
  <si>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</si>
  <si>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</si>
  <si>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</si>
  <si>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</si>
  <si>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</si>
  <si>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</si>
  <si>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</si>
  <si>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</si>
  <si>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</si>
  <si>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</si>
  <si>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</si>
  <si>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</si>
  <si>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</si>
  <si>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</si>
  <si>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</si>
  <si>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</si>
  <si>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</si>
  <si>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</si>
  <si>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</si>
  <si>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</si>
  <si>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</si>
  <si>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</si>
  <si>
    <t xml:space="preserve">Total sales to New Power</t>
  </si>
  <si>
    <t xml:space="preserve">Setup</t>
  </si>
  <si>
    <t xml:space="preserve">CMD</t>
  </si>
  <si>
    <t xml:space="preserve">COH</t>
  </si>
  <si>
    <t xml:space="preserve">CPA</t>
  </si>
  <si>
    <t xml:space="preserve">CVA</t>
  </si>
  <si>
    <t xml:space="preserve">STRG</t>
  </si>
  <si>
    <t xml:space="preserve">EES</t>
  </si>
  <si>
    <t xml:space="preserve">EOG</t>
  </si>
  <si>
    <t xml:space="preserve">Dynegy</t>
  </si>
  <si>
    <t xml:space="preserve">A06 </t>
  </si>
  <si>
    <t xml:space="preserve">B-9  Broad Run</t>
  </si>
  <si>
    <t xml:space="preserve">C16 Delmont</t>
  </si>
  <si>
    <t xml:space="preserve">F4 - Monclova</t>
  </si>
  <si>
    <t xml:space="preserve">Total</t>
  </si>
  <si>
    <t xml:space="preserve">Net</t>
  </si>
  <si>
    <t xml:space="preserve">Price</t>
  </si>
  <si>
    <t xml:space="preserve">Amount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</si>
  <si>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</si>
  <si>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</si>
  <si>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</si>
  <si>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</si>
  <si>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</si>
  <si>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Pool</t>
  </si>
  <si>
    <t xml:space="preserve">Deal 597193 less Storage</t>
  </si>
  <si>
    <t xml:space="preserve">IF On</t>
  </si>
  <si>
    <t xml:space="preserve">563831 / 563837</t>
  </si>
  <si>
    <t xml:space="preserve">Deal 549411</t>
  </si>
  <si>
    <t xml:space="preserve">Deal</t>
  </si>
  <si>
    <t xml:space="preserve">Storage</t>
  </si>
  <si>
    <t xml:space="preserve">CES</t>
  </si>
  <si>
    <t xml:space="preserve">ENA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</si>
  <si>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</si>
  <si>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</si>
  <si>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</si>
  <si>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</si>
  <si>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</si>
  <si>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Per Jeff's Sheet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</si>
  <si>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</si>
  <si>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</si>
  <si>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</si>
  <si>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</si>
  <si>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</si>
  <si>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</si>
  <si>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</si>
  <si>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</si>
  <si>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</si>
  <si>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COH-Stor</t>
  </si>
  <si>
    <t xml:space="preserve">Buy/(Sell)</t>
  </si>
  <si>
    <t xml:space="preserve">??</t>
  </si>
  <si>
    <t xml:space="preserve">CGAS</t>
  </si>
  <si>
    <t xml:space="preserve">FTS</t>
  </si>
  <si>
    <t xml:space="preserve">ENA Trsp</t>
  </si>
  <si>
    <t xml:space="preserve">Index</t>
  </si>
  <si>
    <t xml:space="preserve">Storage Withdrawal:</t>
  </si>
  <si>
    <t xml:space="preserve">Index Prem</t>
  </si>
  <si>
    <t xml:space="preserve">Comm</t>
  </si>
  <si>
    <t xml:space="preserve">Withdrawal</t>
  </si>
  <si>
    <t xml:space="preserve">Surcharges</t>
  </si>
  <si>
    <t xml:space="preserve">Less GRI &amp; ACA on SST</t>
  </si>
  <si>
    <t xml:space="preserve">Fuel</t>
  </si>
  <si>
    <t xml:space="preserve">Deal 597193</t>
  </si>
  <si>
    <t xml:space="preserve">Deal 380571</t>
  </si>
  <si>
    <t xml:space="preserve">CGLF</t>
  </si>
  <si>
    <t xml:space="preserve">FT-1</t>
  </si>
  <si>
    <t xml:space="preserve">Volume</t>
  </si>
  <si>
    <t xml:space="preserve">Monthly Vol</t>
  </si>
  <si>
    <t xml:space="preserve">Daily</t>
  </si>
  <si>
    <t xml:space="preserve">Deal 551042 (bookout with deal 380571)</t>
  </si>
  <si>
    <t xml:space="preserve">Deals 551007</t>
  </si>
  <si>
    <t xml:space="preserve">Deal 227081, 227113</t>
  </si>
  <si>
    <t xml:space="preserve">Note:  New Power purchased gas from ENA at CGLF Mainline (deal 380571).  ENA will buy this gas back at the CGLF Onshore Index plus $.10,</t>
  </si>
  <si>
    <t xml:space="preserve">and sell the gas back to New Power at CGAS pool at CGLFOnshore Index +$.10 + variable cost from Mainline to Leach, deal 551007,</t>
  </si>
  <si>
    <t xml:space="preserve">ENA will buy the CGAS Pool gas back at the FOM price for CGAS.</t>
  </si>
  <si>
    <t xml:space="preserve">Created deal 551027 to bookout with deals 376880, 380492, and 551007.</t>
  </si>
  <si>
    <t xml:space="preserve">New Power East Desk Transportation Capacity for January 2001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</si>
  <si>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</si>
  <si>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</si>
  <si>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</si>
  <si>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</si>
  <si>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</si>
  <si>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</si>
  <si>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</si>
  <si>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</si>
  <si>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</si>
  <si>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</si>
  <si>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</si>
  <si>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</si>
  <si>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</si>
  <si>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</si>
  <si>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</si>
  <si>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</si>
  <si>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</si>
  <si>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</si>
  <si>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</si>
  <si>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</si>
  <si>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</si>
  <si>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</si>
  <si>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</si>
  <si>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</si>
  <si>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</si>
  <si>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</si>
  <si>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</si>
  <si>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</si>
  <si>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</si>
  <si>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Rayne</t>
  </si>
  <si>
    <t xml:space="preserve">Leach</t>
  </si>
  <si>
    <t xml:space="preserve">FTS-1</t>
  </si>
  <si>
    <t xml:space="preserve">#31331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</si>
  <si>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</si>
  <si>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</si>
  <si>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</si>
  <si>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</si>
  <si>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</si>
  <si>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</si>
  <si>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</si>
  <si>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</si>
  <si>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</si>
  <si>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</si>
  <si>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</si>
  <si>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</si>
  <si>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</si>
  <si>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</si>
  <si>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</si>
  <si>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Z1</t>
  </si>
  <si>
    <t xml:space="preserve">Z3</t>
  </si>
  <si>
    <t xml:space="preserve">FT</t>
  </si>
  <si>
    <t xml:space="preserve">FSNG101</t>
  </si>
  <si>
    <t xml:space="preserve">2001000186</t>
  </si>
  <si>
    <t xml:space="preserve">2001000189</t>
  </si>
  <si>
    <t xml:space="preserve">2001000187</t>
  </si>
  <si>
    <t xml:space="preserve">200100185</t>
  </si>
  <si>
    <t xml:space="preserve">2001000190</t>
  </si>
  <si>
    <t xml:space="preserve">2001000118</t>
  </si>
  <si>
    <t xml:space="preserve">Z2</t>
  </si>
  <si>
    <t xml:space="preserve">2001000116</t>
  </si>
  <si>
    <t xml:space="preserve">z3</t>
  </si>
  <si>
    <t xml:space="preserve">2001000131</t>
  </si>
  <si>
    <t xml:space="preserve">z2</t>
  </si>
  <si>
    <t xml:space="preserve">2001000111</t>
  </si>
  <si>
    <t xml:space="preserve">2001000117</t>
  </si>
  <si>
    <t xml:space="preserve">2001000130</t>
  </si>
  <si>
    <t xml:space="preserve">2001000132</t>
  </si>
  <si>
    <t xml:space="preserve">SGA</t>
  </si>
  <si>
    <t xml:space="preserve">FSGA25</t>
  </si>
  <si>
    <t xml:space="preserve">2001000098</t>
  </si>
  <si>
    <t xml:space="preserve">2001000094</t>
  </si>
  <si>
    <t xml:space="preserve">200100097</t>
  </si>
  <si>
    <t xml:space="preserve">Transco</t>
  </si>
  <si>
    <t xml:space="preserve">Atlanta</t>
  </si>
  <si>
    <t xml:space="preserve">St 30</t>
  </si>
  <si>
    <t xml:space="preserve">6484 Atlanta</t>
  </si>
  <si>
    <t xml:space="preserve">FT -R</t>
  </si>
  <si>
    <t xml:space="preserve">#022556</t>
  </si>
  <si>
    <t xml:space="preserve">St 45</t>
  </si>
  <si>
    <t xml:space="preserve">#022607</t>
  </si>
  <si>
    <t xml:space="preserve">*</t>
  </si>
  <si>
    <t xml:space="preserve">#022561</t>
  </si>
  <si>
    <t xml:space="preserve">#022612</t>
  </si>
  <si>
    <t xml:space="preserve">#022616</t>
  </si>
  <si>
    <t xml:space="preserve">#022608</t>
  </si>
  <si>
    <t xml:space="preserve">#22617</t>
  </si>
  <si>
    <t xml:space="preserve">#22562</t>
  </si>
  <si>
    <t xml:space="preserve">#022558</t>
  </si>
  <si>
    <t xml:space="preserve">6971 St 85</t>
  </si>
  <si>
    <t xml:space="preserve">FTCHR</t>
  </si>
  <si>
    <t xml:space="preserve">#022614</t>
  </si>
  <si>
    <t xml:space="preserve">#22611</t>
  </si>
  <si>
    <t xml:space="preserve">#</t>
  </si>
  <si>
    <t xml:space="preserve">#022140</t>
  </si>
  <si>
    <t xml:space="preserve">WSR Capacity</t>
  </si>
  <si>
    <t xml:space="preserve">WSR</t>
  </si>
  <si>
    <t xml:space="preserve">#022516</t>
  </si>
  <si>
    <t xml:space="preserve">WSR Demand</t>
  </si>
  <si>
    <t xml:space="preserve">#022526</t>
  </si>
  <si>
    <t xml:space="preserve">#022538</t>
  </si>
  <si>
    <t xml:space="preserve">ESR Capacity</t>
  </si>
  <si>
    <t xml:space="preserve">ESR</t>
  </si>
  <si>
    <t xml:space="preserve">#022515</t>
  </si>
  <si>
    <t xml:space="preserve">ESR Demand</t>
  </si>
  <si>
    <t xml:space="preserve">#022537</t>
  </si>
  <si>
    <t xml:space="preserve">#022525</t>
  </si>
  <si>
    <t xml:space="preserve">Z4 Holmsville</t>
  </si>
  <si>
    <t xml:space="preserve">7c</t>
  </si>
  <si>
    <t xml:space="preserve">#022560</t>
  </si>
  <si>
    <t xml:space="preserve">#022615</t>
  </si>
  <si>
    <t xml:space="preserve">Sta 85</t>
  </si>
  <si>
    <t xml:space="preserve">FTSCR</t>
  </si>
  <si>
    <t xml:space="preserve">#022609</t>
  </si>
  <si>
    <t xml:space="preserve">#022610</t>
  </si>
  <si>
    <t xml:space="preserve">#022557</t>
  </si>
  <si>
    <t xml:space="preserve">#022559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</si>
  <si>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</si>
  <si>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</si>
  <si>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</si>
  <si>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</si>
  <si>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</si>
  <si>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</si>
  <si>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</si>
  <si>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801-Leach</t>
  </si>
  <si>
    <t xml:space="preserve">19-27</t>
  </si>
  <si>
    <t xml:space="preserve">#31330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</si>
  <si>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</si>
  <si>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</si>
  <si>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</si>
  <si>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</si>
  <si>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</si>
  <si>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</si>
  <si>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19-26</t>
  </si>
  <si>
    <t xml:space="preserve">19E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</si>
  <si>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</si>
  <si>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</si>
  <si>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</si>
  <si>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</si>
  <si>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</si>
  <si>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</si>
  <si>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</si>
  <si>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</si>
  <si>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</si>
  <si>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</si>
  <si>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</si>
  <si>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</si>
  <si>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</si>
  <si>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</si>
  <si>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</si>
  <si>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</si>
  <si>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</si>
  <si>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</si>
  <si>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</si>
  <si>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</si>
  <si>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</si>
  <si>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</si>
  <si>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</si>
  <si>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</si>
  <si>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</si>
  <si>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</si>
  <si>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</si>
  <si>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</si>
  <si>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</si>
  <si>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</si>
  <si>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</si>
  <si>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</si>
  <si>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</si>
  <si>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</si>
  <si>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</si>
  <si>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</si>
  <si>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</si>
  <si>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</si>
  <si>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</si>
  <si>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</si>
  <si>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</si>
  <si>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</si>
  <si>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</si>
  <si>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</si>
  <si>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</si>
  <si>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</si>
  <si>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</si>
  <si>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</si>
  <si>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</si>
  <si>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</si>
  <si>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</si>
  <si>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</si>
  <si>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</si>
  <si>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</si>
  <si>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</si>
  <si>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</si>
  <si>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</si>
  <si>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</si>
  <si>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</si>
  <si>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</si>
  <si>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</si>
  <si>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</si>
  <si>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</si>
  <si>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</si>
  <si>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</si>
  <si>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</si>
  <si>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</si>
  <si>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</si>
  <si>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</si>
  <si>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</si>
  <si>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</si>
  <si>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</si>
  <si>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CES/CPA</t>
  </si>
  <si>
    <t xml:space="preserve">#31220/31219</t>
  </si>
  <si>
    <t xml:space="preserve">Deal 523459</t>
  </si>
  <si>
    <t xml:space="preserve">Sched Fee Deal 551007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</si>
</sst>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0%"/>
    <numFmt numFmtId="174" formatCode="0.0000%"/>
    <numFmt numFmtId="175" formatCode="[$-409]mmm\-yy"/>
    <numFmt numFmtId="176" formatCode="0.000%"/>
    <numFmt numFmtId="177" formatCode="[$-409]m/d/yyyy"/>
    <numFmt numFmtId="178" formatCode="#,##0"/>
    <numFmt numFmtId="179" formatCode="\$#,##0.0000_);[RED]&quot;($&quot;#,##0.0000\)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  <numFmt numFmtId="186" formatCode="#,##0.0000_);[RED]\(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0</v>
      </c>
    </row>
    <row r="6" customFormat="false" ht="12.75" hidden="false" customHeight="false" outlineLevel="0" collapsed="false"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customFormat="false" ht="12.75" hidden="false" customHeight="false" outlineLevel="0" collapsed="false">
      <c r="B7" s="2" t="s">
        <v>6</v>
      </c>
      <c r="D7" s="2" t="n">
        <v>175</v>
      </c>
      <c r="E7" s="2" t="n">
        <v>84</v>
      </c>
      <c r="F7" s="2" t="n">
        <v>33</v>
      </c>
    </row>
    <row r="8" customFormat="false" ht="12.75" hidden="false" customHeight="false" outlineLevel="0" collapsed="false">
      <c r="B8" s="2" t="s">
        <v>7</v>
      </c>
      <c r="D8" s="2" t="n">
        <v>3240</v>
      </c>
      <c r="E8" s="2" t="n">
        <v>3197</v>
      </c>
      <c r="F8" s="2" t="n">
        <v>2339</v>
      </c>
    </row>
    <row r="9" customFormat="false" ht="12.75" hidden="false" customHeight="false" outlineLevel="0" collapsed="false">
      <c r="B9" s="2" t="s">
        <v>8</v>
      </c>
      <c r="D9" s="2" t="n">
        <v>1736</v>
      </c>
      <c r="E9" s="2" t="n">
        <v>797</v>
      </c>
      <c r="F9" s="2" t="n">
        <v>292</v>
      </c>
    </row>
    <row r="10" customFormat="false" ht="12.75" hidden="false" customHeight="false" outlineLevel="0" collapsed="false">
      <c r="B10" s="2" t="s">
        <v>9</v>
      </c>
      <c r="D10" s="2" t="n">
        <v>762</v>
      </c>
      <c r="E10" s="2" t="n">
        <v>373</v>
      </c>
      <c r="F10" s="2" t="n">
        <v>150</v>
      </c>
    </row>
    <row r="11" customFormat="false" ht="12.75" hidden="false" customHeight="false" outlineLevel="0" collapsed="false">
      <c r="B11" s="2" t="s">
        <v>10</v>
      </c>
      <c r="D11" s="2" t="n">
        <v>3740</v>
      </c>
      <c r="E11" s="2" t="n">
        <v>1818</v>
      </c>
      <c r="F11" s="2" t="n">
        <v>725</v>
      </c>
    </row>
    <row r="12" customFormat="false" ht="12.75" hidden="false" customHeight="false" outlineLevel="0" collapsed="false">
      <c r="B12" s="2" t="s">
        <v>11</v>
      </c>
      <c r="D12" s="2" t="n">
        <v>569</v>
      </c>
      <c r="E12" s="2" t="n">
        <v>282</v>
      </c>
      <c r="F12" s="2" t="n">
        <v>115</v>
      </c>
    </row>
    <row r="13" customFormat="false" ht="12.75" hidden="false" customHeight="false" outlineLevel="0" collapsed="false">
      <c r="B13" s="2" t="s">
        <v>12</v>
      </c>
      <c r="D13" s="2" t="n">
        <v>501</v>
      </c>
      <c r="E13" s="2" t="n">
        <v>260</v>
      </c>
      <c r="F13" s="2" t="n">
        <v>113</v>
      </c>
    </row>
    <row r="14" customFormat="false" ht="12.75" hidden="false" customHeight="false" outlineLevel="0" collapsed="false">
      <c r="B14" s="2" t="s">
        <v>13</v>
      </c>
      <c r="D14" s="2" t="n">
        <v>2948</v>
      </c>
      <c r="E14" s="2" t="n">
        <v>1345</v>
      </c>
      <c r="F14" s="2" t="n">
        <v>488</v>
      </c>
    </row>
    <row r="15" customFormat="false" ht="12.75" hidden="false" customHeight="false" outlineLevel="0" collapsed="false">
      <c r="B15" s="2" t="s">
        <v>14</v>
      </c>
      <c r="D15" s="2" t="n">
        <v>554</v>
      </c>
      <c r="E15" s="2" t="n">
        <v>258</v>
      </c>
      <c r="F15" s="2" t="n">
        <v>97</v>
      </c>
    </row>
    <row r="16" customFormat="false" ht="12.75" hidden="false" customHeight="false" outlineLevel="0" collapsed="false">
      <c r="B16" s="2" t="s">
        <v>15</v>
      </c>
      <c r="D16" s="2" t="n">
        <v>671</v>
      </c>
      <c r="E16" s="2" t="n">
        <v>333</v>
      </c>
      <c r="F16" s="2" t="n">
        <v>136</v>
      </c>
    </row>
    <row r="17" customFormat="false" ht="12.75" hidden="false" customHeight="false" outlineLevel="0" collapsed="false">
      <c r="B17" s="2" t="s">
        <v>16</v>
      </c>
      <c r="D17" s="2" t="n">
        <v>841</v>
      </c>
      <c r="E17" s="2" t="n">
        <v>431</v>
      </c>
      <c r="F17" s="2" t="n">
        <v>184</v>
      </c>
    </row>
    <row r="18" customFormat="false" ht="12.75" hidden="false" customHeight="false" outlineLevel="0" collapsed="false">
      <c r="B18" s="2" t="s">
        <v>17</v>
      </c>
      <c r="D18" s="2" t="n">
        <v>27</v>
      </c>
      <c r="E18" s="2" t="n">
        <v>27</v>
      </c>
      <c r="F18" s="2" t="n">
        <v>19</v>
      </c>
    </row>
    <row r="19" customFormat="false" ht="12.75" hidden="false" customHeight="false" outlineLevel="0" collapsed="false">
      <c r="B19" s="2" t="s">
        <v>18</v>
      </c>
      <c r="D19" s="2" t="n">
        <v>7202</v>
      </c>
      <c r="E19" s="2" t="n">
        <v>6936</v>
      </c>
      <c r="F19" s="2" t="n">
        <v>4912</v>
      </c>
    </row>
    <row r="20" customFormat="false" ht="12.75" hidden="false" customHeight="false" outlineLevel="0" collapsed="false">
      <c r="B20" s="2" t="s">
        <v>19</v>
      </c>
      <c r="D20" s="2" t="n">
        <v>89</v>
      </c>
      <c r="E20" s="2" t="n">
        <v>88</v>
      </c>
      <c r="F20" s="2" t="n">
        <v>64</v>
      </c>
    </row>
    <row r="21" customFormat="false" ht="12.75" hidden="false" customHeight="false" outlineLevel="0" collapsed="false">
      <c r="B21" s="2" t="s">
        <v>20</v>
      </c>
      <c r="D21" s="2" t="n">
        <v>110</v>
      </c>
      <c r="E21" s="2" t="n">
        <v>105</v>
      </c>
      <c r="F21" s="2" t="n">
        <v>74</v>
      </c>
    </row>
    <row r="22" customFormat="false" ht="12.75" hidden="false" customHeight="false" outlineLevel="0" collapsed="false">
      <c r="B22" s="2" t="s">
        <v>21</v>
      </c>
      <c r="D22" s="2" t="n">
        <v>52</v>
      </c>
      <c r="E22" s="2" t="n">
        <v>49</v>
      </c>
      <c r="F22" s="2" t="n">
        <v>38</v>
      </c>
    </row>
    <row r="23" customFormat="false" ht="12.75" hidden="false" customHeight="false" outlineLevel="0" collapsed="false">
      <c r="B23" s="2" t="s">
        <v>22</v>
      </c>
      <c r="D23" s="2" t="n">
        <v>1084</v>
      </c>
      <c r="E23" s="2" t="n">
        <v>877</v>
      </c>
      <c r="F23" s="2" t="n">
        <v>364</v>
      </c>
    </row>
    <row r="24" customFormat="false" ht="13.5" hidden="false" customHeight="false" outlineLevel="0" collapsed="false">
      <c r="C24" s="2" t="s">
        <v>23</v>
      </c>
      <c r="D24" s="3" t="n">
        <f aca="false">SUM(D7:D23)</f>
        <v>24301</v>
      </c>
      <c r="E24" s="3" t="n">
        <f aca="false">SUM(E7:E23)</f>
        <v>17260</v>
      </c>
      <c r="F24" s="3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4" t="s">
        <v>24</v>
      </c>
      <c r="D29" s="2" t="n">
        <v>4064</v>
      </c>
      <c r="E29" s="2" t="n">
        <f aca="false">ROUND(123971/28,0)</f>
        <v>4428</v>
      </c>
      <c r="F29" s="2" t="n">
        <v>0</v>
      </c>
      <c r="G29" s="2" t="n">
        <v>0</v>
      </c>
      <c r="H29" s="2" t="n">
        <v>0</v>
      </c>
    </row>
    <row r="30" customFormat="false" ht="12.75" hidden="false" customHeight="false" outlineLevel="0" collapsed="false">
      <c r="C30" s="4" t="s">
        <v>25</v>
      </c>
      <c r="D30" s="2" t="n">
        <v>0</v>
      </c>
      <c r="E30" s="2" t="n">
        <v>0</v>
      </c>
      <c r="F30" s="2" t="n">
        <f aca="false">ROUND(84164/31,0)</f>
        <v>2715</v>
      </c>
      <c r="G30" s="2" t="n">
        <v>0</v>
      </c>
      <c r="H30" s="2" t="n">
        <v>0</v>
      </c>
    </row>
    <row r="31" customFormat="false" ht="12.75" hidden="false" customHeight="false" outlineLevel="0" collapsed="false">
      <c r="C31" s="4" t="s">
        <v>26</v>
      </c>
      <c r="D31" s="2" t="n">
        <v>0</v>
      </c>
      <c r="E31" s="2" t="n">
        <v>0</v>
      </c>
      <c r="F31" s="2" t="n">
        <v>0</v>
      </c>
      <c r="G31" s="2" t="n">
        <f aca="false">ROUND(92192/30,0)</f>
        <v>3073</v>
      </c>
      <c r="H31" s="2" t="n">
        <v>0</v>
      </c>
    </row>
    <row r="32" customFormat="false" ht="12.75" hidden="false" customHeight="false" outlineLevel="0" collapsed="false">
      <c r="C32" s="4" t="s">
        <v>27</v>
      </c>
      <c r="D32" s="2" t="n">
        <v>2013</v>
      </c>
      <c r="E32" s="2" t="n">
        <f aca="false">ROUND(58318/28,0)</f>
        <v>2083</v>
      </c>
      <c r="F32" s="2" t="n">
        <f aca="false">ROUND(57629/31,0)</f>
        <v>1859</v>
      </c>
      <c r="G32" s="2" t="n">
        <f aca="false">ROUND(74775/30,0)</f>
        <v>2493</v>
      </c>
      <c r="H32" s="2" t="n">
        <f aca="false">ROUND(70576/31,0)</f>
        <v>2277</v>
      </c>
    </row>
    <row r="33" customFormat="false" ht="12.75" hidden="false" customHeight="false" outlineLevel="0" collapsed="false">
      <c r="C33" s="4" t="s">
        <v>28</v>
      </c>
      <c r="D33" s="2" t="n">
        <f aca="false">ROUND(0.9718*41486/31,0)</f>
        <v>1301</v>
      </c>
      <c r="E33" s="2" t="n">
        <f aca="false">ROUND(0.9718*36508/28,0)</f>
        <v>1267</v>
      </c>
      <c r="F33" s="5" t="n">
        <f aca="false">ROUND(0.9718*26671/31,0)</f>
        <v>836</v>
      </c>
      <c r="G33" s="5" t="n">
        <f aca="false">ROUND(0.9718*13166/31,0)</f>
        <v>413</v>
      </c>
      <c r="H33" s="2" t="n">
        <v>0</v>
      </c>
    </row>
    <row r="34" customFormat="false" ht="13.5" hidden="false" customHeight="false" outlineLevel="0" collapsed="false">
      <c r="D34" s="3" t="n">
        <f aca="false">SUM(D29:D33)</f>
        <v>7378</v>
      </c>
      <c r="E34" s="3" t="n">
        <f aca="false">SUM(E29:E33)</f>
        <v>7778</v>
      </c>
      <c r="F34" s="3" t="n">
        <f aca="false">SUM(F29:F33)</f>
        <v>5410</v>
      </c>
      <c r="G34" s="3" t="n">
        <f aca="false">SUM(G29:G33)</f>
        <v>5979</v>
      </c>
      <c r="H34" s="3" t="n">
        <f aca="false">SUM(H29:H33)</f>
        <v>2277</v>
      </c>
    </row>
    <row r="35" customFormat="false" ht="13.5" hidden="false" customHeight="false" outlineLevel="0" collapsed="false"/>
    <row r="36" customFormat="false" ht="12.75" hidden="false" customHeight="false" outlineLevel="0" collapsed="false">
      <c r="C36" s="4" t="s">
        <v>29</v>
      </c>
      <c r="D36" s="2" t="n">
        <f aca="false">SUM(D34,D24)</f>
        <v>31679</v>
      </c>
      <c r="E36" s="2" t="n">
        <f aca="false">SUM(E34,E24)</f>
        <v>25038</v>
      </c>
      <c r="F36" s="2" t="n">
        <f aca="false">SUM(F34,F24)</f>
        <v>15553</v>
      </c>
      <c r="G36" s="2" t="n">
        <f aca="false">SUM(G34,G24)</f>
        <v>5979</v>
      </c>
      <c r="H36" s="2" t="n">
        <f aca="false">SUM(H34,H24)</f>
        <v>2277</v>
      </c>
    </row>
    <row r="38" customFormat="false" ht="12.75" hidden="false" customHeight="false" outlineLevel="0" collapsed="false">
      <c r="F38" s="2" t="n">
        <v>27835</v>
      </c>
    </row>
    <row r="39" customFormat="false" ht="12.75" hidden="false" customHeight="false" outlineLevel="0" collapsed="false">
      <c r="B39" s="2" t="s">
        <v>30</v>
      </c>
    </row>
    <row r="40" customFormat="false" ht="12.75" hidden="false" customHeight="false" outlineLevel="0" collapsed="false">
      <c r="C40" s="2" t="s">
        <v>31</v>
      </c>
      <c r="D40" s="2" t="n">
        <v>488</v>
      </c>
    </row>
    <row r="41" customFormat="false" ht="12.75" hidden="false" customHeight="false" outlineLevel="0" collapsed="false">
      <c r="C41" s="2" t="s">
        <v>32</v>
      </c>
      <c r="D41" s="2" t="n">
        <v>65380</v>
      </c>
    </row>
    <row r="42" customFormat="false" ht="12.75" hidden="false" customHeight="false" outlineLevel="0" collapsed="false">
      <c r="C42" s="2" t="s">
        <v>33</v>
      </c>
      <c r="D42" s="2" t="n">
        <v>13157</v>
      </c>
    </row>
    <row r="43" customFormat="false" ht="12.75" hidden="false" customHeight="false" outlineLevel="0" collapsed="false">
      <c r="C43" s="2" t="s">
        <v>34</v>
      </c>
      <c r="D43" s="2" t="n">
        <v>1220</v>
      </c>
    </row>
    <row r="44" customFormat="false" ht="12.75" hidden="false" customHeight="false" outlineLevel="0" collapsed="false">
      <c r="C44" s="2" t="s">
        <v>35</v>
      </c>
      <c r="D44" s="2" t="n">
        <v>-39493</v>
      </c>
    </row>
    <row r="45" customFormat="false" ht="12.75" hidden="false" customHeight="false" outlineLevel="0" collapsed="false">
      <c r="D45" s="2" t="n">
        <f aca="false">SUM(D40:D44)</f>
        <v>40752</v>
      </c>
    </row>
    <row r="47" customFormat="false" ht="12.75" hidden="false" customHeight="false" outlineLevel="0" collapsed="false">
      <c r="D47" s="2" t="n">
        <f aca="false">+D45-D36</f>
        <v>9073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R6" activeCellId="0" sqref="R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9" width="4.14"/>
    <col collapsed="false" customWidth="false" hidden="false" outlineLevel="0" max="18" min="18" style="9" width="9.14"/>
    <col collapsed="false" customWidth="false" hidden="false" outlineLevel="0" max="19" min="19" style="10" width="9.14"/>
    <col collapsed="false" customWidth="false" hidden="false" outlineLevel="0" max="257" min="20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  <c r="B3" s="7" t="s">
        <v>36</v>
      </c>
      <c r="F3" s="7" t="s">
        <v>37</v>
      </c>
      <c r="J3" s="7" t="s">
        <v>36</v>
      </c>
      <c r="N3" s="7" t="s">
        <v>38</v>
      </c>
    </row>
    <row r="4" customFormat="false" ht="12.75" hidden="false" customHeight="false" outlineLevel="0" collapsed="false">
      <c r="A4" s="11"/>
      <c r="B4" s="7" t="s">
        <v>39</v>
      </c>
      <c r="F4" s="7" t="s">
        <v>40</v>
      </c>
      <c r="J4" s="7" t="s">
        <v>41</v>
      </c>
      <c r="N4" s="7" t="s">
        <v>42</v>
      </c>
      <c r="R4" s="9" t="s">
        <v>43</v>
      </c>
      <c r="S4" s="10" t="s">
        <v>44</v>
      </c>
    </row>
    <row r="5" customFormat="false" ht="12.75" hidden="false" customHeight="false" outlineLevel="0" collapsed="false">
      <c r="A5" s="11"/>
      <c r="B5" s="12" t="n">
        <v>597271</v>
      </c>
      <c r="C5" s="8" t="s">
        <v>45</v>
      </c>
      <c r="D5" s="8" t="s">
        <v>46</v>
      </c>
      <c r="F5" s="12" t="n">
        <v>597290</v>
      </c>
      <c r="G5" s="8" t="s">
        <v>45</v>
      </c>
      <c r="H5" s="8" t="s">
        <v>46</v>
      </c>
      <c r="J5" s="7" t="n">
        <v>597293</v>
      </c>
      <c r="K5" s="8" t="s">
        <v>45</v>
      </c>
      <c r="L5" s="8" t="s">
        <v>46</v>
      </c>
      <c r="N5" s="7" t="n">
        <v>597316</v>
      </c>
      <c r="O5" s="8" t="s">
        <v>45</v>
      </c>
      <c r="P5" s="8" t="s">
        <v>46</v>
      </c>
      <c r="R5" s="9" t="s">
        <v>47</v>
      </c>
      <c r="S5" s="10" t="s">
        <v>48</v>
      </c>
    </row>
    <row r="6" customFormat="false" ht="12.75" hidden="false" customHeight="false" outlineLevel="0" collapsed="false">
      <c r="A6" s="11" t="n">
        <v>1</v>
      </c>
      <c r="B6" s="7" t="n">
        <v>3674</v>
      </c>
      <c r="C6" s="8" t="n">
        <f aca="false">6.44+0.0125</f>
        <v>6.4525</v>
      </c>
      <c r="D6" s="13" t="n">
        <f aca="false">+B6*C6</f>
        <v>23706.485</v>
      </c>
      <c r="F6" s="7" t="n">
        <v>4100</v>
      </c>
      <c r="G6" s="8" t="n">
        <f aca="false">6.44+0.0125</f>
        <v>6.4525</v>
      </c>
      <c r="H6" s="13" t="n">
        <f aca="false">+F6*G6</f>
        <v>26455.25</v>
      </c>
      <c r="J6" s="7" t="n">
        <v>3674</v>
      </c>
      <c r="K6" s="8" t="n">
        <f aca="false">6.44+0.0125</f>
        <v>6.4525</v>
      </c>
      <c r="L6" s="13" t="n">
        <f aca="false">+J6*K6</f>
        <v>23706.485</v>
      </c>
      <c r="N6" s="7" t="n">
        <v>6160</v>
      </c>
      <c r="O6" s="8" t="n">
        <f aca="false">6.44+0.0125</f>
        <v>6.4525</v>
      </c>
      <c r="P6" s="13" t="n">
        <f aca="false">+N6*O6</f>
        <v>39747.4</v>
      </c>
      <c r="R6" s="7" t="n">
        <f aca="false">SUM(B6,F6,J6,N6)</f>
        <v>17608</v>
      </c>
      <c r="S6" s="10" t="n">
        <f aca="false">ROUND(+R6*(1-0.02184),0)-1</f>
        <v>17222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3674</v>
      </c>
      <c r="C7" s="8" t="n">
        <f aca="false">+C6</f>
        <v>6.4525</v>
      </c>
      <c r="D7" s="13" t="n">
        <f aca="false">+B7*C7</f>
        <v>23706.485</v>
      </c>
      <c r="F7" s="7" t="n">
        <f aca="false">+F6</f>
        <v>4100</v>
      </c>
      <c r="G7" s="8" t="n">
        <f aca="false">+G6</f>
        <v>6.4525</v>
      </c>
      <c r="H7" s="13" t="n">
        <f aca="false">+F7*G7</f>
        <v>26455.25</v>
      </c>
      <c r="J7" s="7" t="n">
        <f aca="false">+J6</f>
        <v>3674</v>
      </c>
      <c r="K7" s="8" t="n">
        <f aca="false">+K6</f>
        <v>6.4525</v>
      </c>
      <c r="L7" s="13" t="n">
        <f aca="false">+J7*K7</f>
        <v>23706.485</v>
      </c>
      <c r="N7" s="7" t="n">
        <f aca="false">+N6</f>
        <v>6160</v>
      </c>
      <c r="O7" s="8" t="n">
        <f aca="false">+O6</f>
        <v>6.4525</v>
      </c>
      <c r="P7" s="13" t="n">
        <f aca="false">+N7*O7</f>
        <v>39747.4</v>
      </c>
      <c r="R7" s="7" t="n">
        <f aca="false">SUM(B7,F7,J7,N7)</f>
        <v>17608</v>
      </c>
      <c r="S7" s="10" t="n">
        <f aca="false">ROUND(+R7*(1-0.02184),0)-1</f>
        <v>17222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3674</v>
      </c>
      <c r="C8" s="8" t="n">
        <f aca="false">+C7</f>
        <v>6.4525</v>
      </c>
      <c r="D8" s="13" t="n">
        <f aca="false">+B8*C8</f>
        <v>23706.485</v>
      </c>
      <c r="F8" s="7" t="n">
        <f aca="false">+F7</f>
        <v>4100</v>
      </c>
      <c r="G8" s="8" t="n">
        <f aca="false">+G7</f>
        <v>6.4525</v>
      </c>
      <c r="H8" s="13" t="n">
        <f aca="false">+F8*G8</f>
        <v>26455.25</v>
      </c>
      <c r="J8" s="7" t="n">
        <f aca="false">+J7</f>
        <v>3674</v>
      </c>
      <c r="K8" s="8" t="n">
        <f aca="false">+K7</f>
        <v>6.4525</v>
      </c>
      <c r="L8" s="13" t="n">
        <f aca="false">+J8*K8</f>
        <v>23706.485</v>
      </c>
      <c r="N8" s="7" t="n">
        <f aca="false">+N7</f>
        <v>6160</v>
      </c>
      <c r="O8" s="8" t="n">
        <f aca="false">+O7</f>
        <v>6.4525</v>
      </c>
      <c r="P8" s="13" t="n">
        <f aca="false">+N8*O8</f>
        <v>39747.4</v>
      </c>
      <c r="R8" s="7" t="n">
        <f aca="false">SUM(B8,F8,J8,N8)</f>
        <v>17608</v>
      </c>
      <c r="S8" s="10" t="n">
        <f aca="false">ROUND(+R8*(1-0.02184),0)-1</f>
        <v>17222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3674</v>
      </c>
      <c r="C9" s="8" t="n">
        <f aca="false">+C8</f>
        <v>6.4525</v>
      </c>
      <c r="D9" s="13" t="n">
        <f aca="false">+B9*C9</f>
        <v>23706.485</v>
      </c>
      <c r="F9" s="7" t="n">
        <f aca="false">+F8</f>
        <v>4100</v>
      </c>
      <c r="G9" s="8" t="n">
        <f aca="false">+G8</f>
        <v>6.4525</v>
      </c>
      <c r="H9" s="13" t="n">
        <f aca="false">+F9*G9</f>
        <v>26455.25</v>
      </c>
      <c r="J9" s="7" t="n">
        <f aca="false">+J8</f>
        <v>3674</v>
      </c>
      <c r="K9" s="8" t="n">
        <f aca="false">+K8</f>
        <v>6.4525</v>
      </c>
      <c r="L9" s="13" t="n">
        <f aca="false">+J9*K9</f>
        <v>23706.485</v>
      </c>
      <c r="N9" s="7" t="n">
        <f aca="false">+N8</f>
        <v>6160</v>
      </c>
      <c r="O9" s="8" t="n">
        <f aca="false">+O8</f>
        <v>6.4525</v>
      </c>
      <c r="P9" s="13" t="n">
        <f aca="false">+N9*O9</f>
        <v>39747.4</v>
      </c>
      <c r="R9" s="7" t="n">
        <f aca="false">SUM(B9,F9,J9,N9)</f>
        <v>17608</v>
      </c>
      <c r="S9" s="10" t="n">
        <f aca="false">ROUND(+R9*(1-0.02184),0)-1</f>
        <v>17222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3674</v>
      </c>
      <c r="C10" s="8" t="n">
        <f aca="false">+C9</f>
        <v>6.4525</v>
      </c>
      <c r="D10" s="13" t="n">
        <f aca="false">+B10*C10</f>
        <v>23706.485</v>
      </c>
      <c r="F10" s="7" t="n">
        <f aca="false">+F9</f>
        <v>4100</v>
      </c>
      <c r="G10" s="8" t="n">
        <f aca="false">+G9</f>
        <v>6.4525</v>
      </c>
      <c r="H10" s="13" t="n">
        <f aca="false">+F10*G10</f>
        <v>26455.25</v>
      </c>
      <c r="J10" s="7" t="n">
        <f aca="false">+J9</f>
        <v>3674</v>
      </c>
      <c r="K10" s="8" t="n">
        <f aca="false">+K9</f>
        <v>6.4525</v>
      </c>
      <c r="L10" s="13" t="n">
        <f aca="false">+J10*K10</f>
        <v>23706.485</v>
      </c>
      <c r="N10" s="7" t="n">
        <f aca="false">+N9</f>
        <v>6160</v>
      </c>
      <c r="O10" s="8" t="n">
        <f aca="false">+O9</f>
        <v>6.4525</v>
      </c>
      <c r="P10" s="13" t="n">
        <f aca="false">+N10*O10</f>
        <v>39747.4</v>
      </c>
      <c r="R10" s="7" t="n">
        <f aca="false">SUM(B10,F10,J10,N10)</f>
        <v>17608</v>
      </c>
      <c r="S10" s="10" t="n">
        <f aca="false">ROUND(+R10*(1-0.02184),0)-1</f>
        <v>17222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3674</v>
      </c>
      <c r="C11" s="8" t="n">
        <f aca="false">+C10</f>
        <v>6.4525</v>
      </c>
      <c r="D11" s="13" t="n">
        <f aca="false">+B11*C11</f>
        <v>23706.485</v>
      </c>
      <c r="F11" s="7" t="n">
        <f aca="false">+F10</f>
        <v>4100</v>
      </c>
      <c r="G11" s="8" t="n">
        <f aca="false">+G10</f>
        <v>6.4525</v>
      </c>
      <c r="H11" s="13" t="n">
        <f aca="false">+F11*G11</f>
        <v>26455.25</v>
      </c>
      <c r="J11" s="7" t="n">
        <f aca="false">+J10</f>
        <v>3674</v>
      </c>
      <c r="K11" s="8" t="n">
        <f aca="false">+K10</f>
        <v>6.4525</v>
      </c>
      <c r="L11" s="13" t="n">
        <f aca="false">+J11*K11</f>
        <v>23706.485</v>
      </c>
      <c r="N11" s="7" t="n">
        <f aca="false">+N10</f>
        <v>6160</v>
      </c>
      <c r="O11" s="8" t="n">
        <f aca="false">+O10</f>
        <v>6.4525</v>
      </c>
      <c r="P11" s="13" t="n">
        <f aca="false">+N11*O11</f>
        <v>39747.4</v>
      </c>
      <c r="R11" s="7" t="n">
        <f aca="false">SUM(B11,F11,J11,N11)</f>
        <v>17608</v>
      </c>
      <c r="S11" s="10" t="n">
        <f aca="false">ROUND(+R11*(1-0.02184),0)-1</f>
        <v>17222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3674</v>
      </c>
      <c r="C12" s="8" t="n">
        <f aca="false">+C11</f>
        <v>6.4525</v>
      </c>
      <c r="D12" s="13" t="n">
        <f aca="false">+B12*C12</f>
        <v>23706.485</v>
      </c>
      <c r="F12" s="7" t="n">
        <f aca="false">+F11</f>
        <v>4100</v>
      </c>
      <c r="G12" s="8" t="n">
        <f aca="false">+G11</f>
        <v>6.4525</v>
      </c>
      <c r="H12" s="13" t="n">
        <f aca="false">+F12*G12</f>
        <v>26455.25</v>
      </c>
      <c r="J12" s="7" t="n">
        <f aca="false">+J11</f>
        <v>3674</v>
      </c>
      <c r="K12" s="8" t="n">
        <f aca="false">+K11</f>
        <v>6.4525</v>
      </c>
      <c r="L12" s="13" t="n">
        <f aca="false">+J12*K12</f>
        <v>23706.485</v>
      </c>
      <c r="N12" s="7" t="n">
        <f aca="false">+N11</f>
        <v>6160</v>
      </c>
      <c r="O12" s="8" t="n">
        <f aca="false">+O11</f>
        <v>6.4525</v>
      </c>
      <c r="P12" s="13" t="n">
        <f aca="false">+N12*O12</f>
        <v>39747.4</v>
      </c>
      <c r="R12" s="7" t="n">
        <f aca="false">SUM(B12,F12,J12,N12)</f>
        <v>17608</v>
      </c>
      <c r="S12" s="10" t="n">
        <f aca="false">ROUND(+R12*(1-0.02184),0)-1</f>
        <v>17222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3674</v>
      </c>
      <c r="C13" s="8" t="n">
        <f aca="false">+C12</f>
        <v>6.4525</v>
      </c>
      <c r="D13" s="13" t="n">
        <f aca="false">+B13*C13</f>
        <v>23706.485</v>
      </c>
      <c r="F13" s="7" t="n">
        <f aca="false">+F12</f>
        <v>4100</v>
      </c>
      <c r="G13" s="8" t="n">
        <f aca="false">+G12</f>
        <v>6.4525</v>
      </c>
      <c r="H13" s="13" t="n">
        <f aca="false">+F13*G13</f>
        <v>26455.25</v>
      </c>
      <c r="J13" s="7" t="n">
        <f aca="false">+J12</f>
        <v>3674</v>
      </c>
      <c r="K13" s="8" t="n">
        <f aca="false">+K12</f>
        <v>6.4525</v>
      </c>
      <c r="L13" s="13" t="n">
        <f aca="false">+J13*K13</f>
        <v>23706.485</v>
      </c>
      <c r="N13" s="7" t="n">
        <f aca="false">+N12</f>
        <v>6160</v>
      </c>
      <c r="O13" s="8" t="n">
        <f aca="false">+O12</f>
        <v>6.4525</v>
      </c>
      <c r="P13" s="13" t="n">
        <f aca="false">+N13*O13</f>
        <v>39747.4</v>
      </c>
      <c r="R13" s="7" t="n">
        <f aca="false">SUM(B13,F13,J13,N13)</f>
        <v>17608</v>
      </c>
      <c r="S13" s="10" t="n">
        <f aca="false">ROUND(+R13*(1-0.02184),0)-1</f>
        <v>17222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3674</v>
      </c>
      <c r="C14" s="8" t="n">
        <f aca="false">+C13</f>
        <v>6.4525</v>
      </c>
      <c r="D14" s="13" t="n">
        <f aca="false">+B14*C14</f>
        <v>23706.485</v>
      </c>
      <c r="F14" s="7" t="n">
        <f aca="false">+F13</f>
        <v>4100</v>
      </c>
      <c r="G14" s="8" t="n">
        <f aca="false">+G13</f>
        <v>6.4525</v>
      </c>
      <c r="H14" s="13" t="n">
        <f aca="false">+F14*G14</f>
        <v>26455.25</v>
      </c>
      <c r="J14" s="7" t="n">
        <f aca="false">+J13</f>
        <v>3674</v>
      </c>
      <c r="K14" s="8" t="n">
        <f aca="false">+K13</f>
        <v>6.4525</v>
      </c>
      <c r="L14" s="13" t="n">
        <f aca="false">+J14*K14</f>
        <v>23706.485</v>
      </c>
      <c r="N14" s="7" t="n">
        <f aca="false">+N13</f>
        <v>6160</v>
      </c>
      <c r="O14" s="8" t="n">
        <f aca="false">+O13</f>
        <v>6.4525</v>
      </c>
      <c r="P14" s="13" t="n">
        <f aca="false">+N14*O14</f>
        <v>39747.4</v>
      </c>
      <c r="R14" s="7" t="n">
        <f aca="false">SUM(B14,F14,J14,N14)</f>
        <v>17608</v>
      </c>
      <c r="S14" s="10" t="n">
        <f aca="false">ROUND(+R14*(1-0.02184),0)-1</f>
        <v>17222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3674</v>
      </c>
      <c r="C15" s="8" t="n">
        <f aca="false">+C14</f>
        <v>6.4525</v>
      </c>
      <c r="D15" s="13" t="n">
        <f aca="false">+B15*C15</f>
        <v>23706.485</v>
      </c>
      <c r="F15" s="7" t="n">
        <f aca="false">+F14</f>
        <v>4100</v>
      </c>
      <c r="G15" s="8" t="n">
        <f aca="false">+G14</f>
        <v>6.4525</v>
      </c>
      <c r="H15" s="13" t="n">
        <f aca="false">+F15*G15</f>
        <v>26455.25</v>
      </c>
      <c r="J15" s="7" t="n">
        <f aca="false">+J14</f>
        <v>3674</v>
      </c>
      <c r="K15" s="8" t="n">
        <f aca="false">+K14</f>
        <v>6.4525</v>
      </c>
      <c r="L15" s="13" t="n">
        <f aca="false">+J15*K15</f>
        <v>23706.485</v>
      </c>
      <c r="N15" s="7" t="n">
        <f aca="false">+N14</f>
        <v>6160</v>
      </c>
      <c r="O15" s="8" t="n">
        <f aca="false">+O14</f>
        <v>6.4525</v>
      </c>
      <c r="P15" s="13" t="n">
        <f aca="false">+N15*O15</f>
        <v>39747.4</v>
      </c>
      <c r="R15" s="7" t="n">
        <f aca="false">SUM(B15,F15,J15,N15)</f>
        <v>17608</v>
      </c>
      <c r="S15" s="10" t="n">
        <f aca="false">ROUND(+R15*(1-0.02184),0)-1</f>
        <v>17222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3674</v>
      </c>
      <c r="C16" s="8" t="n">
        <f aca="false">+C15</f>
        <v>6.4525</v>
      </c>
      <c r="D16" s="13" t="n">
        <f aca="false">+B16*C16</f>
        <v>23706.485</v>
      </c>
      <c r="F16" s="7" t="n">
        <f aca="false">+F15</f>
        <v>4100</v>
      </c>
      <c r="G16" s="8" t="n">
        <f aca="false">+G15</f>
        <v>6.4525</v>
      </c>
      <c r="H16" s="13" t="n">
        <f aca="false">+F16*G16</f>
        <v>26455.25</v>
      </c>
      <c r="J16" s="7" t="n">
        <f aca="false">+J15</f>
        <v>3674</v>
      </c>
      <c r="K16" s="8" t="n">
        <f aca="false">+K15</f>
        <v>6.4525</v>
      </c>
      <c r="L16" s="13" t="n">
        <f aca="false">+J16*K16</f>
        <v>23706.485</v>
      </c>
      <c r="N16" s="7" t="n">
        <f aca="false">+N15</f>
        <v>6160</v>
      </c>
      <c r="O16" s="8" t="n">
        <f aca="false">+O15</f>
        <v>6.4525</v>
      </c>
      <c r="P16" s="13" t="n">
        <f aca="false">+N16*O16</f>
        <v>39747.4</v>
      </c>
      <c r="R16" s="7" t="n">
        <f aca="false">SUM(B16,F16,J16,N16)</f>
        <v>17608</v>
      </c>
      <c r="S16" s="10" t="n">
        <f aca="false">ROUND(+R16*(1-0.02184),0)-1</f>
        <v>17222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3674</v>
      </c>
      <c r="C17" s="8" t="n">
        <f aca="false">+C16</f>
        <v>6.4525</v>
      </c>
      <c r="D17" s="13" t="n">
        <f aca="false">+B17*C17</f>
        <v>23706.485</v>
      </c>
      <c r="F17" s="7" t="n">
        <f aca="false">+F16</f>
        <v>4100</v>
      </c>
      <c r="G17" s="8" t="n">
        <f aca="false">+G16</f>
        <v>6.4525</v>
      </c>
      <c r="H17" s="13" t="n">
        <f aca="false">+F17*G17</f>
        <v>26455.25</v>
      </c>
      <c r="J17" s="7" t="n">
        <f aca="false">+J16</f>
        <v>3674</v>
      </c>
      <c r="K17" s="8" t="n">
        <f aca="false">+K16</f>
        <v>6.4525</v>
      </c>
      <c r="L17" s="13" t="n">
        <f aca="false">+J17*K17</f>
        <v>23706.485</v>
      </c>
      <c r="N17" s="7" t="n">
        <f aca="false">+N16</f>
        <v>6160</v>
      </c>
      <c r="O17" s="8" t="n">
        <f aca="false">+O16</f>
        <v>6.4525</v>
      </c>
      <c r="P17" s="13" t="n">
        <f aca="false">+N17*O17</f>
        <v>39747.4</v>
      </c>
      <c r="R17" s="7" t="n">
        <f aca="false">SUM(B17,F17,J17,N17)</f>
        <v>17608</v>
      </c>
      <c r="S17" s="10" t="n">
        <f aca="false">ROUND(+R17*(1-0.02184),0)-1</f>
        <v>17222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3674</v>
      </c>
      <c r="C18" s="8" t="n">
        <f aca="false">+C17</f>
        <v>6.4525</v>
      </c>
      <c r="D18" s="13" t="n">
        <f aca="false">+B18*C18</f>
        <v>23706.485</v>
      </c>
      <c r="F18" s="7" t="n">
        <f aca="false">+F17</f>
        <v>4100</v>
      </c>
      <c r="G18" s="8" t="n">
        <f aca="false">+G17</f>
        <v>6.4525</v>
      </c>
      <c r="H18" s="13" t="n">
        <f aca="false">+F18*G18</f>
        <v>26455.25</v>
      </c>
      <c r="J18" s="7" t="n">
        <f aca="false">+J17</f>
        <v>3674</v>
      </c>
      <c r="K18" s="8" t="n">
        <f aca="false">+K17</f>
        <v>6.4525</v>
      </c>
      <c r="L18" s="13" t="n">
        <f aca="false">+J18*K18</f>
        <v>23706.485</v>
      </c>
      <c r="N18" s="7" t="n">
        <f aca="false">+N17</f>
        <v>6160</v>
      </c>
      <c r="O18" s="8" t="n">
        <f aca="false">+O17</f>
        <v>6.4525</v>
      </c>
      <c r="P18" s="13" t="n">
        <f aca="false">+N18*O18</f>
        <v>39747.4</v>
      </c>
      <c r="R18" s="7" t="n">
        <f aca="false">SUM(B18,F18,J18,N18)</f>
        <v>17608</v>
      </c>
      <c r="S18" s="10" t="n">
        <f aca="false">ROUND(+R18*(1-0.02184),0)-1</f>
        <v>17222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3674</v>
      </c>
      <c r="C19" s="8" t="n">
        <f aca="false">+C18</f>
        <v>6.4525</v>
      </c>
      <c r="D19" s="13" t="n">
        <f aca="false">+B19*C19</f>
        <v>23706.485</v>
      </c>
      <c r="F19" s="7" t="n">
        <f aca="false">+F18</f>
        <v>4100</v>
      </c>
      <c r="G19" s="8" t="n">
        <f aca="false">+G18</f>
        <v>6.4525</v>
      </c>
      <c r="H19" s="13" t="n">
        <f aca="false">+F19*G19</f>
        <v>26455.25</v>
      </c>
      <c r="J19" s="7" t="n">
        <f aca="false">+J18</f>
        <v>3674</v>
      </c>
      <c r="K19" s="8" t="n">
        <f aca="false">+K18</f>
        <v>6.4525</v>
      </c>
      <c r="L19" s="13" t="n">
        <f aca="false">+J19*K19</f>
        <v>23706.485</v>
      </c>
      <c r="N19" s="7" t="n">
        <f aca="false">+N18</f>
        <v>6160</v>
      </c>
      <c r="O19" s="8" t="n">
        <f aca="false">+O18</f>
        <v>6.4525</v>
      </c>
      <c r="P19" s="13" t="n">
        <f aca="false">+N19*O19</f>
        <v>39747.4</v>
      </c>
      <c r="R19" s="7" t="n">
        <f aca="false">SUM(B19,F19,J19,N19)</f>
        <v>17608</v>
      </c>
      <c r="S19" s="10" t="n">
        <f aca="false">ROUND(+R19*(1-0.02184),0)-1</f>
        <v>17222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3674</v>
      </c>
      <c r="C20" s="8" t="n">
        <f aca="false">+C19</f>
        <v>6.4525</v>
      </c>
      <c r="D20" s="13" t="n">
        <f aca="false">+B20*C20</f>
        <v>23706.485</v>
      </c>
      <c r="F20" s="7" t="n">
        <f aca="false">+F19</f>
        <v>4100</v>
      </c>
      <c r="G20" s="8" t="n">
        <f aca="false">+G19</f>
        <v>6.4525</v>
      </c>
      <c r="H20" s="13" t="n">
        <f aca="false">+F20*G20</f>
        <v>26455.25</v>
      </c>
      <c r="J20" s="7" t="n">
        <f aca="false">+J19</f>
        <v>3674</v>
      </c>
      <c r="K20" s="8" t="n">
        <f aca="false">+K19</f>
        <v>6.4525</v>
      </c>
      <c r="L20" s="13" t="n">
        <f aca="false">+J20*K20</f>
        <v>23706.485</v>
      </c>
      <c r="N20" s="7" t="n">
        <f aca="false">+N19</f>
        <v>6160</v>
      </c>
      <c r="O20" s="8" t="n">
        <f aca="false">+O19</f>
        <v>6.4525</v>
      </c>
      <c r="P20" s="13" t="n">
        <f aca="false">+N20*O20</f>
        <v>39747.4</v>
      </c>
      <c r="R20" s="7" t="n">
        <f aca="false">SUM(B20,F20,J20,N20)</f>
        <v>17608</v>
      </c>
      <c r="S20" s="10" t="n">
        <f aca="false">ROUND(+R20*(1-0.02184),0)-1</f>
        <v>17222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3674</v>
      </c>
      <c r="C21" s="8" t="n">
        <f aca="false">+C20</f>
        <v>6.4525</v>
      </c>
      <c r="D21" s="13" t="n">
        <f aca="false">+B21*C21</f>
        <v>23706.485</v>
      </c>
      <c r="F21" s="7" t="n">
        <f aca="false">+F20</f>
        <v>4100</v>
      </c>
      <c r="G21" s="8" t="n">
        <f aca="false">+G20</f>
        <v>6.4525</v>
      </c>
      <c r="H21" s="13" t="n">
        <f aca="false">+F21*G21</f>
        <v>26455.25</v>
      </c>
      <c r="J21" s="7" t="n">
        <f aca="false">+J20</f>
        <v>3674</v>
      </c>
      <c r="K21" s="8" t="n">
        <f aca="false">+K20</f>
        <v>6.4525</v>
      </c>
      <c r="L21" s="13" t="n">
        <f aca="false">+J21*K21</f>
        <v>23706.485</v>
      </c>
      <c r="N21" s="7" t="n">
        <f aca="false">+N20</f>
        <v>6160</v>
      </c>
      <c r="O21" s="8" t="n">
        <f aca="false">+O20</f>
        <v>6.4525</v>
      </c>
      <c r="P21" s="13" t="n">
        <f aca="false">+N21*O21</f>
        <v>39747.4</v>
      </c>
      <c r="R21" s="7" t="n">
        <f aca="false">SUM(B21,F21,J21,N21)</f>
        <v>17608</v>
      </c>
      <c r="S21" s="10" t="n">
        <f aca="false">ROUND(+R21*(1-0.02184),0)-1</f>
        <v>17222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3674</v>
      </c>
      <c r="C22" s="8" t="n">
        <f aca="false">+C21</f>
        <v>6.4525</v>
      </c>
      <c r="D22" s="13" t="n">
        <f aca="false">+B22*C22</f>
        <v>23706.485</v>
      </c>
      <c r="F22" s="7" t="n">
        <f aca="false">+F21</f>
        <v>4100</v>
      </c>
      <c r="G22" s="8" t="n">
        <f aca="false">+G21</f>
        <v>6.4525</v>
      </c>
      <c r="H22" s="13" t="n">
        <f aca="false">+F22*G22</f>
        <v>26455.25</v>
      </c>
      <c r="J22" s="7" t="n">
        <f aca="false">+J21</f>
        <v>3674</v>
      </c>
      <c r="K22" s="8" t="n">
        <f aca="false">+K21</f>
        <v>6.4525</v>
      </c>
      <c r="L22" s="13" t="n">
        <f aca="false">+J22*K22</f>
        <v>23706.485</v>
      </c>
      <c r="N22" s="7" t="n">
        <f aca="false">+N21</f>
        <v>6160</v>
      </c>
      <c r="O22" s="8" t="n">
        <f aca="false">+O21</f>
        <v>6.4525</v>
      </c>
      <c r="P22" s="13" t="n">
        <f aca="false">+N22*O22</f>
        <v>39747.4</v>
      </c>
      <c r="R22" s="7" t="n">
        <f aca="false">SUM(B22,F22,J22,N22)</f>
        <v>17608</v>
      </c>
      <c r="S22" s="10" t="n">
        <f aca="false">ROUND(+R22*(1-0.02184),0)-1</f>
        <v>17222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3674</v>
      </c>
      <c r="C23" s="8" t="n">
        <f aca="false">+C22</f>
        <v>6.4525</v>
      </c>
      <c r="D23" s="13" t="n">
        <f aca="false">+B23*C23</f>
        <v>23706.485</v>
      </c>
      <c r="F23" s="7" t="n">
        <f aca="false">+F22</f>
        <v>4100</v>
      </c>
      <c r="G23" s="8" t="n">
        <f aca="false">+G22</f>
        <v>6.4525</v>
      </c>
      <c r="H23" s="13" t="n">
        <f aca="false">+F23*G23</f>
        <v>26455.25</v>
      </c>
      <c r="J23" s="7" t="n">
        <f aca="false">+J22</f>
        <v>3674</v>
      </c>
      <c r="K23" s="8" t="n">
        <f aca="false">+K22</f>
        <v>6.4525</v>
      </c>
      <c r="L23" s="13" t="n">
        <f aca="false">+J23*K23</f>
        <v>23706.485</v>
      </c>
      <c r="N23" s="7" t="n">
        <f aca="false">+N22</f>
        <v>6160</v>
      </c>
      <c r="O23" s="8" t="n">
        <f aca="false">+O22</f>
        <v>6.4525</v>
      </c>
      <c r="P23" s="13" t="n">
        <f aca="false">+N23*O23</f>
        <v>39747.4</v>
      </c>
      <c r="R23" s="7" t="n">
        <f aca="false">SUM(B23,F23,J23,N23)</f>
        <v>17608</v>
      </c>
      <c r="S23" s="10" t="n">
        <f aca="false">ROUND(+R23*(1-0.02184),0)-1</f>
        <v>17222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3674</v>
      </c>
      <c r="C24" s="8" t="n">
        <f aca="false">+C23</f>
        <v>6.4525</v>
      </c>
      <c r="D24" s="13" t="n">
        <f aca="false">+B24*C24</f>
        <v>23706.485</v>
      </c>
      <c r="F24" s="7" t="n">
        <f aca="false">+F23</f>
        <v>4100</v>
      </c>
      <c r="G24" s="8" t="n">
        <f aca="false">+G23</f>
        <v>6.4525</v>
      </c>
      <c r="H24" s="13" t="n">
        <f aca="false">+F24*G24</f>
        <v>26455.25</v>
      </c>
      <c r="J24" s="7" t="n">
        <f aca="false">+J23</f>
        <v>3674</v>
      </c>
      <c r="K24" s="8" t="n">
        <f aca="false">+K23</f>
        <v>6.4525</v>
      </c>
      <c r="L24" s="13" t="n">
        <f aca="false">+J24*K24</f>
        <v>23706.485</v>
      </c>
      <c r="N24" s="7" t="n">
        <f aca="false">+N23</f>
        <v>6160</v>
      </c>
      <c r="O24" s="8" t="n">
        <f aca="false">+O23</f>
        <v>6.4525</v>
      </c>
      <c r="P24" s="13" t="n">
        <f aca="false">+N24*O24</f>
        <v>39747.4</v>
      </c>
      <c r="R24" s="7" t="n">
        <f aca="false">SUM(B24,F24,J24,N24)</f>
        <v>17608</v>
      </c>
      <c r="S24" s="10" t="n">
        <f aca="false">ROUND(+R24*(1-0.02184),0)-1</f>
        <v>17222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3674</v>
      </c>
      <c r="C25" s="8" t="n">
        <f aca="false">+C24</f>
        <v>6.4525</v>
      </c>
      <c r="D25" s="13" t="n">
        <f aca="false">+B25*C25</f>
        <v>23706.485</v>
      </c>
      <c r="F25" s="7" t="n">
        <f aca="false">+F24</f>
        <v>4100</v>
      </c>
      <c r="G25" s="8" t="n">
        <f aca="false">+G24</f>
        <v>6.4525</v>
      </c>
      <c r="H25" s="13" t="n">
        <f aca="false">+F25*G25</f>
        <v>26455.25</v>
      </c>
      <c r="J25" s="7" t="n">
        <f aca="false">+J24</f>
        <v>3674</v>
      </c>
      <c r="K25" s="8" t="n">
        <f aca="false">+K24</f>
        <v>6.4525</v>
      </c>
      <c r="L25" s="13" t="n">
        <f aca="false">+J25*K25</f>
        <v>23706.485</v>
      </c>
      <c r="N25" s="7" t="n">
        <f aca="false">+N24</f>
        <v>6160</v>
      </c>
      <c r="O25" s="8" t="n">
        <f aca="false">+O24</f>
        <v>6.4525</v>
      </c>
      <c r="P25" s="13" t="n">
        <f aca="false">+N25*O25</f>
        <v>39747.4</v>
      </c>
      <c r="R25" s="7" t="n">
        <f aca="false">SUM(B25,F25,J25,N25)</f>
        <v>17608</v>
      </c>
      <c r="S25" s="10" t="n">
        <f aca="false">ROUND(+R25*(1-0.02184),0)-1</f>
        <v>17222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3674</v>
      </c>
      <c r="C26" s="8" t="n">
        <f aca="false">+C25</f>
        <v>6.4525</v>
      </c>
      <c r="D26" s="13" t="n">
        <f aca="false">+B26*C26</f>
        <v>23706.485</v>
      </c>
      <c r="F26" s="7" t="n">
        <f aca="false">+F25</f>
        <v>4100</v>
      </c>
      <c r="G26" s="8" t="n">
        <f aca="false">+G25</f>
        <v>6.4525</v>
      </c>
      <c r="H26" s="13" t="n">
        <f aca="false">+F26*G26</f>
        <v>26455.25</v>
      </c>
      <c r="J26" s="7" t="n">
        <f aca="false">+J25</f>
        <v>3674</v>
      </c>
      <c r="K26" s="8" t="n">
        <f aca="false">+K25</f>
        <v>6.4525</v>
      </c>
      <c r="L26" s="13" t="n">
        <f aca="false">+J26*K26</f>
        <v>23706.485</v>
      </c>
      <c r="N26" s="7" t="n">
        <f aca="false">+N25</f>
        <v>6160</v>
      </c>
      <c r="O26" s="8" t="n">
        <f aca="false">+O25</f>
        <v>6.4525</v>
      </c>
      <c r="P26" s="13" t="n">
        <f aca="false">+N26*O26</f>
        <v>39747.4</v>
      </c>
      <c r="R26" s="7" t="n">
        <f aca="false">SUM(B26,F26,J26,N26)</f>
        <v>17608</v>
      </c>
      <c r="S26" s="10" t="n">
        <f aca="false">ROUND(+R26*(1-0.02184),0)-1</f>
        <v>17222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3674</v>
      </c>
      <c r="C27" s="8" t="n">
        <f aca="false">+C26</f>
        <v>6.4525</v>
      </c>
      <c r="D27" s="13" t="n">
        <f aca="false">+B27*C27</f>
        <v>23706.485</v>
      </c>
      <c r="F27" s="7" t="n">
        <f aca="false">+F26</f>
        <v>4100</v>
      </c>
      <c r="G27" s="8" t="n">
        <f aca="false">+G26</f>
        <v>6.4525</v>
      </c>
      <c r="H27" s="13" t="n">
        <f aca="false">+F27*G27</f>
        <v>26455.25</v>
      </c>
      <c r="J27" s="7" t="n">
        <f aca="false">+J26</f>
        <v>3674</v>
      </c>
      <c r="K27" s="8" t="n">
        <f aca="false">+K26</f>
        <v>6.4525</v>
      </c>
      <c r="L27" s="13" t="n">
        <f aca="false">+J27*K27</f>
        <v>23706.485</v>
      </c>
      <c r="N27" s="7" t="n">
        <f aca="false">+N26</f>
        <v>6160</v>
      </c>
      <c r="O27" s="8" t="n">
        <f aca="false">+O26</f>
        <v>6.4525</v>
      </c>
      <c r="P27" s="13" t="n">
        <f aca="false">+N27*O27</f>
        <v>39747.4</v>
      </c>
      <c r="R27" s="7" t="n">
        <f aca="false">SUM(B27,F27,J27,N27)</f>
        <v>17608</v>
      </c>
      <c r="S27" s="10" t="n">
        <f aca="false">ROUND(+R27*(1-0.02184),0)-1</f>
        <v>17222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3674</v>
      </c>
      <c r="C28" s="8" t="n">
        <f aca="false">+C27</f>
        <v>6.4525</v>
      </c>
      <c r="D28" s="13" t="n">
        <f aca="false">+B28*C28</f>
        <v>23706.485</v>
      </c>
      <c r="F28" s="7" t="n">
        <f aca="false">+F27</f>
        <v>4100</v>
      </c>
      <c r="G28" s="8" t="n">
        <f aca="false">+G27</f>
        <v>6.4525</v>
      </c>
      <c r="H28" s="13" t="n">
        <f aca="false">+F28*G28</f>
        <v>26455.25</v>
      </c>
      <c r="J28" s="7" t="n">
        <f aca="false">+J27</f>
        <v>3674</v>
      </c>
      <c r="K28" s="8" t="n">
        <f aca="false">+K27</f>
        <v>6.4525</v>
      </c>
      <c r="L28" s="13" t="n">
        <f aca="false">+J28*K28</f>
        <v>23706.485</v>
      </c>
      <c r="N28" s="7" t="n">
        <f aca="false">+N27</f>
        <v>6160</v>
      </c>
      <c r="O28" s="8" t="n">
        <f aca="false">+O27</f>
        <v>6.4525</v>
      </c>
      <c r="P28" s="13" t="n">
        <f aca="false">+N28*O28</f>
        <v>39747.4</v>
      </c>
      <c r="R28" s="7" t="n">
        <f aca="false">SUM(B28,F28,J28,N28)</f>
        <v>17608</v>
      </c>
      <c r="S28" s="10" t="n">
        <f aca="false">ROUND(+R28*(1-0.02184),0)-1</f>
        <v>17222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3674</v>
      </c>
      <c r="C29" s="8" t="n">
        <f aca="false">+C28</f>
        <v>6.4525</v>
      </c>
      <c r="D29" s="13" t="n">
        <f aca="false">+B29*C29</f>
        <v>23706.485</v>
      </c>
      <c r="F29" s="7" t="n">
        <f aca="false">+F28</f>
        <v>4100</v>
      </c>
      <c r="G29" s="8" t="n">
        <f aca="false">+G28</f>
        <v>6.4525</v>
      </c>
      <c r="H29" s="13" t="n">
        <f aca="false">+F29*G29</f>
        <v>26455.25</v>
      </c>
      <c r="J29" s="7" t="n">
        <f aca="false">+J28</f>
        <v>3674</v>
      </c>
      <c r="K29" s="8" t="n">
        <f aca="false">+K28</f>
        <v>6.4525</v>
      </c>
      <c r="L29" s="13" t="n">
        <f aca="false">+J29*K29</f>
        <v>23706.485</v>
      </c>
      <c r="N29" s="7" t="n">
        <f aca="false">+N28</f>
        <v>6160</v>
      </c>
      <c r="O29" s="8" t="n">
        <f aca="false">+O28</f>
        <v>6.4525</v>
      </c>
      <c r="P29" s="13" t="n">
        <f aca="false">+N29*O29</f>
        <v>39747.4</v>
      </c>
      <c r="R29" s="7" t="n">
        <f aca="false">SUM(B29,F29,J29,N29)</f>
        <v>17608</v>
      </c>
      <c r="S29" s="10" t="n">
        <f aca="false">ROUND(+R29*(1-0.02184),0)-1</f>
        <v>17222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3674</v>
      </c>
      <c r="C30" s="8" t="n">
        <f aca="false">+C29</f>
        <v>6.4525</v>
      </c>
      <c r="D30" s="13" t="n">
        <f aca="false">+B30*C30</f>
        <v>23706.485</v>
      </c>
      <c r="F30" s="7" t="n">
        <f aca="false">+F29</f>
        <v>4100</v>
      </c>
      <c r="G30" s="8" t="n">
        <f aca="false">+G29</f>
        <v>6.4525</v>
      </c>
      <c r="H30" s="13" t="n">
        <f aca="false">+F30*G30</f>
        <v>26455.25</v>
      </c>
      <c r="J30" s="7" t="n">
        <f aca="false">+J29</f>
        <v>3674</v>
      </c>
      <c r="K30" s="8" t="n">
        <f aca="false">+K29</f>
        <v>6.4525</v>
      </c>
      <c r="L30" s="13" t="n">
        <f aca="false">+J30*K30</f>
        <v>23706.485</v>
      </c>
      <c r="N30" s="7" t="n">
        <f aca="false">+N29</f>
        <v>6160</v>
      </c>
      <c r="O30" s="8" t="n">
        <f aca="false">+O29</f>
        <v>6.4525</v>
      </c>
      <c r="P30" s="13" t="n">
        <f aca="false">+N30*O30</f>
        <v>39747.4</v>
      </c>
      <c r="R30" s="7" t="n">
        <f aca="false">SUM(B30,F30,J30,N30)</f>
        <v>17608</v>
      </c>
      <c r="S30" s="10" t="n">
        <f aca="false">ROUND(+R30*(1-0.02184),0)-1</f>
        <v>17222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3674</v>
      </c>
      <c r="C31" s="8" t="n">
        <f aca="false">+C30</f>
        <v>6.4525</v>
      </c>
      <c r="D31" s="13" t="n">
        <f aca="false">+B31*C31</f>
        <v>23706.485</v>
      </c>
      <c r="F31" s="7" t="n">
        <f aca="false">+F30</f>
        <v>4100</v>
      </c>
      <c r="G31" s="8" t="n">
        <f aca="false">+G30</f>
        <v>6.4525</v>
      </c>
      <c r="H31" s="13" t="n">
        <f aca="false">+F31*G31</f>
        <v>26455.25</v>
      </c>
      <c r="J31" s="7" t="n">
        <f aca="false">+J30</f>
        <v>3674</v>
      </c>
      <c r="K31" s="8" t="n">
        <f aca="false">+K30</f>
        <v>6.4525</v>
      </c>
      <c r="L31" s="13" t="n">
        <f aca="false">+J31*K31</f>
        <v>23706.485</v>
      </c>
      <c r="N31" s="7" t="n">
        <f aca="false">+N30</f>
        <v>6160</v>
      </c>
      <c r="O31" s="8" t="n">
        <f aca="false">+O30</f>
        <v>6.4525</v>
      </c>
      <c r="P31" s="13" t="n">
        <f aca="false">+N31*O31</f>
        <v>39747.4</v>
      </c>
      <c r="R31" s="7" t="n">
        <f aca="false">SUM(B31,F31,J31,N31)</f>
        <v>17608</v>
      </c>
      <c r="S31" s="10" t="n">
        <f aca="false">ROUND(+R31*(1-0.02184),0)-1</f>
        <v>17222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3674</v>
      </c>
      <c r="C32" s="8" t="n">
        <f aca="false">+C31</f>
        <v>6.4525</v>
      </c>
      <c r="D32" s="13" t="n">
        <f aca="false">+B32*C32</f>
        <v>23706.485</v>
      </c>
      <c r="F32" s="7" t="n">
        <f aca="false">+F31</f>
        <v>4100</v>
      </c>
      <c r="G32" s="8" t="n">
        <f aca="false">+G31</f>
        <v>6.4525</v>
      </c>
      <c r="H32" s="13" t="n">
        <f aca="false">+F32*G32</f>
        <v>26455.25</v>
      </c>
      <c r="J32" s="7" t="n">
        <f aca="false">+J31</f>
        <v>3674</v>
      </c>
      <c r="K32" s="8" t="n">
        <f aca="false">+K31</f>
        <v>6.4525</v>
      </c>
      <c r="L32" s="13" t="n">
        <f aca="false">+J32*K32</f>
        <v>23706.485</v>
      </c>
      <c r="N32" s="7" t="n">
        <f aca="false">+N31</f>
        <v>6160</v>
      </c>
      <c r="O32" s="8" t="n">
        <f aca="false">+O31</f>
        <v>6.4525</v>
      </c>
      <c r="P32" s="13" t="n">
        <f aca="false">+N32*O32</f>
        <v>39747.4</v>
      </c>
      <c r="R32" s="7" t="n">
        <f aca="false">SUM(B32,F32,J32,N32)</f>
        <v>17608</v>
      </c>
      <c r="S32" s="10" t="n">
        <f aca="false">ROUND(+R32*(1-0.02184),0)-1</f>
        <v>17222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3674</v>
      </c>
      <c r="C33" s="8" t="n">
        <f aca="false">+C32</f>
        <v>6.4525</v>
      </c>
      <c r="D33" s="13" t="n">
        <f aca="false">+B33*C33</f>
        <v>23706.485</v>
      </c>
      <c r="F33" s="7" t="n">
        <f aca="false">+F32</f>
        <v>4100</v>
      </c>
      <c r="G33" s="8" t="n">
        <f aca="false">+G32</f>
        <v>6.4525</v>
      </c>
      <c r="H33" s="13" t="n">
        <f aca="false">+F33*G33</f>
        <v>26455.25</v>
      </c>
      <c r="J33" s="7" t="n">
        <f aca="false">+J32</f>
        <v>3674</v>
      </c>
      <c r="K33" s="8" t="n">
        <f aca="false">+K32</f>
        <v>6.4525</v>
      </c>
      <c r="L33" s="13" t="n">
        <f aca="false">+J33*K33</f>
        <v>23706.485</v>
      </c>
      <c r="N33" s="7" t="n">
        <f aca="false">+N32</f>
        <v>6160</v>
      </c>
      <c r="O33" s="8" t="n">
        <f aca="false">+O32</f>
        <v>6.4525</v>
      </c>
      <c r="P33" s="13" t="n">
        <f aca="false">+N33*O33</f>
        <v>39747.4</v>
      </c>
      <c r="R33" s="7" t="n">
        <f aca="false">SUM(B33,F33,J33,N33)</f>
        <v>17608</v>
      </c>
      <c r="S33" s="10" t="n">
        <f aca="false">ROUND(+R33*(1-0.02184),0)-1</f>
        <v>17222</v>
      </c>
    </row>
    <row r="34" customFormat="false" ht="12.75" hidden="false" customHeight="false" outlineLevel="0" collapsed="false">
      <c r="A34" s="11"/>
    </row>
    <row r="35" customFormat="false" ht="12.75" hidden="false" customHeight="false" outlineLevel="0" collapsed="false">
      <c r="A3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J4" activeCellId="0" sqref="J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7" width="12.99"/>
    <col collapsed="false" customWidth="true" hidden="false" outlineLevel="0" max="20" min="19" style="8" width="12.99"/>
    <col collapsed="false" customWidth="true" hidden="false" outlineLevel="0" max="21" min="21" style="7" width="4.28"/>
    <col collapsed="false" customWidth="true" hidden="false" outlineLevel="0" max="22" min="22" style="7" width="12.99"/>
    <col collapsed="false" customWidth="true" hidden="false" outlineLevel="0" max="24" min="23" style="8" width="12.99"/>
    <col collapsed="false" customWidth="true" hidden="false" outlineLevel="0" max="25" min="25" style="9" width="4.14"/>
    <col collapsed="false" customWidth="false" hidden="false" outlineLevel="0" max="257" min="26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</row>
    <row r="4" customFormat="false" ht="12.75" hidden="false" customHeight="false" outlineLevel="0" collapsed="false">
      <c r="A4" s="11"/>
      <c r="Z4" s="9" t="s">
        <v>49</v>
      </c>
    </row>
    <row r="5" customFormat="false" ht="12.75" hidden="false" customHeight="false" outlineLevel="0" collapsed="false">
      <c r="A5" s="11"/>
      <c r="B5" s="7" t="s">
        <v>50</v>
      </c>
      <c r="C5" s="8" t="s">
        <v>45</v>
      </c>
      <c r="D5" s="8" t="s">
        <v>46</v>
      </c>
      <c r="F5" s="7" t="s">
        <v>50</v>
      </c>
      <c r="G5" s="8" t="s">
        <v>45</v>
      </c>
      <c r="H5" s="8" t="s">
        <v>46</v>
      </c>
      <c r="J5" s="7" t="s">
        <v>50</v>
      </c>
      <c r="K5" s="8" t="s">
        <v>45</v>
      </c>
      <c r="L5" s="8" t="s">
        <v>46</v>
      </c>
      <c r="O5" s="8" t="s">
        <v>45</v>
      </c>
      <c r="P5" s="8" t="s">
        <v>46</v>
      </c>
      <c r="S5" s="8" t="s">
        <v>45</v>
      </c>
      <c r="T5" s="8" t="s">
        <v>46</v>
      </c>
      <c r="W5" s="8" t="s">
        <v>45</v>
      </c>
      <c r="X5" s="8" t="s">
        <v>46</v>
      </c>
      <c r="Z5" s="9" t="s">
        <v>51</v>
      </c>
    </row>
    <row r="6" customFormat="false" ht="12.75" hidden="false" customHeight="false" outlineLevel="0" collapsed="false">
      <c r="A6" s="11" t="n">
        <v>1</v>
      </c>
      <c r="B6" s="7" t="n">
        <v>0</v>
      </c>
      <c r="C6" s="8" t="n">
        <v>0</v>
      </c>
      <c r="D6" s="13" t="n">
        <f aca="false">+B6*C6</f>
        <v>0</v>
      </c>
      <c r="F6" s="7" t="n">
        <v>0</v>
      </c>
      <c r="G6" s="8" t="n">
        <v>0</v>
      </c>
      <c r="H6" s="13" t="n">
        <f aca="false">+F6*G6</f>
        <v>0</v>
      </c>
      <c r="J6" s="7" t="n">
        <v>0</v>
      </c>
      <c r="K6" s="8" t="n">
        <v>0</v>
      </c>
      <c r="L6" s="13" t="n">
        <f aca="false">+J6*K6</f>
        <v>0</v>
      </c>
      <c r="N6" s="7" t="n">
        <v>0</v>
      </c>
      <c r="O6" s="8" t="n">
        <v>0</v>
      </c>
      <c r="P6" s="13" t="n">
        <f aca="false">+N6*O6</f>
        <v>0</v>
      </c>
      <c r="R6" s="7" t="n">
        <v>0</v>
      </c>
      <c r="S6" s="8" t="n">
        <v>0</v>
      </c>
      <c r="T6" s="13" t="n">
        <f aca="false">+R6*S6</f>
        <v>0</v>
      </c>
      <c r="V6" s="7" t="n">
        <v>0</v>
      </c>
      <c r="W6" s="8" t="n">
        <v>0</v>
      </c>
      <c r="X6" s="13" t="n">
        <f aca="false">+V6*W6</f>
        <v>0</v>
      </c>
      <c r="Z6" s="7" t="n">
        <f aca="false">SUM(B6,F6,J6,N6,R6,V6)</f>
        <v>0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0</v>
      </c>
      <c r="C7" s="8" t="n">
        <f aca="false">+C6</f>
        <v>0</v>
      </c>
      <c r="D7" s="13" t="n">
        <f aca="false">+B7*C7</f>
        <v>0</v>
      </c>
      <c r="F7" s="7" t="n">
        <f aca="false">+F6</f>
        <v>0</v>
      </c>
      <c r="G7" s="8" t="n">
        <f aca="false">+G6</f>
        <v>0</v>
      </c>
      <c r="H7" s="13" t="n">
        <f aca="false">+F7*G7</f>
        <v>0</v>
      </c>
      <c r="J7" s="7" t="n">
        <f aca="false">+J6</f>
        <v>0</v>
      </c>
      <c r="K7" s="8" t="n">
        <f aca="false">+K6</f>
        <v>0</v>
      </c>
      <c r="L7" s="13" t="n">
        <f aca="false">+J7*K7</f>
        <v>0</v>
      </c>
      <c r="N7" s="7" t="n">
        <f aca="false">+N6</f>
        <v>0</v>
      </c>
      <c r="O7" s="8" t="n">
        <f aca="false">+O6</f>
        <v>0</v>
      </c>
      <c r="P7" s="13" t="n">
        <f aca="false">+N7*O7</f>
        <v>0</v>
      </c>
      <c r="R7" s="7" t="n">
        <f aca="false">+R6</f>
        <v>0</v>
      </c>
      <c r="S7" s="8" t="n">
        <f aca="false">+S6</f>
        <v>0</v>
      </c>
      <c r="T7" s="13" t="n">
        <f aca="false">+R7*S7</f>
        <v>0</v>
      </c>
      <c r="V7" s="7" t="n">
        <f aca="false">+V6</f>
        <v>0</v>
      </c>
      <c r="W7" s="8" t="n">
        <f aca="false">+W6</f>
        <v>0</v>
      </c>
      <c r="X7" s="13" t="n">
        <f aca="false">+V7*W7</f>
        <v>0</v>
      </c>
      <c r="Z7" s="7" t="n">
        <f aca="false">SUM(B7,F7,J7,N7,R7,V7)</f>
        <v>0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0</v>
      </c>
      <c r="C8" s="8" t="n">
        <f aca="false">+C7</f>
        <v>0</v>
      </c>
      <c r="D8" s="13" t="n">
        <f aca="false">+B8*C8</f>
        <v>0</v>
      </c>
      <c r="F8" s="7" t="n">
        <f aca="false">+F7</f>
        <v>0</v>
      </c>
      <c r="G8" s="8" t="n">
        <f aca="false">+G7</f>
        <v>0</v>
      </c>
      <c r="H8" s="13" t="n">
        <f aca="false">+F8*G8</f>
        <v>0</v>
      </c>
      <c r="J8" s="7" t="n">
        <f aca="false">+J7</f>
        <v>0</v>
      </c>
      <c r="K8" s="8" t="n">
        <f aca="false">+K7</f>
        <v>0</v>
      </c>
      <c r="L8" s="13" t="n">
        <f aca="false">+J8*K8</f>
        <v>0</v>
      </c>
      <c r="N8" s="7" t="n">
        <f aca="false">+N7</f>
        <v>0</v>
      </c>
      <c r="O8" s="8" t="n">
        <f aca="false">+O7</f>
        <v>0</v>
      </c>
      <c r="P8" s="13" t="n">
        <f aca="false">+N8*O8</f>
        <v>0</v>
      </c>
      <c r="R8" s="7" t="n">
        <f aca="false">+R7</f>
        <v>0</v>
      </c>
      <c r="S8" s="8" t="n">
        <f aca="false">+S7</f>
        <v>0</v>
      </c>
      <c r="T8" s="13" t="n">
        <f aca="false">+R8*S8</f>
        <v>0</v>
      </c>
      <c r="V8" s="7" t="n">
        <f aca="false">+V7</f>
        <v>0</v>
      </c>
      <c r="W8" s="8" t="n">
        <f aca="false">+W7</f>
        <v>0</v>
      </c>
      <c r="X8" s="13" t="n">
        <f aca="false">+V8*W8</f>
        <v>0</v>
      </c>
      <c r="Z8" s="7" t="n">
        <f aca="false">SUM(B8,F8,J8,N8,R8,V8)</f>
        <v>0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0</v>
      </c>
      <c r="C9" s="8" t="n">
        <f aca="false">+C8</f>
        <v>0</v>
      </c>
      <c r="D9" s="13" t="n">
        <f aca="false">+B9*C9</f>
        <v>0</v>
      </c>
      <c r="F9" s="7" t="n">
        <f aca="false">+F8</f>
        <v>0</v>
      </c>
      <c r="G9" s="8" t="n">
        <f aca="false">+G8</f>
        <v>0</v>
      </c>
      <c r="H9" s="13" t="n">
        <f aca="false">+F9*G9</f>
        <v>0</v>
      </c>
      <c r="J9" s="7" t="n">
        <f aca="false">+J8</f>
        <v>0</v>
      </c>
      <c r="K9" s="8" t="n">
        <f aca="false">+K8</f>
        <v>0</v>
      </c>
      <c r="L9" s="13" t="n">
        <f aca="false">+J9*K9</f>
        <v>0</v>
      </c>
      <c r="N9" s="7" t="n">
        <f aca="false">+N8</f>
        <v>0</v>
      </c>
      <c r="O9" s="8" t="n">
        <f aca="false">+O8</f>
        <v>0</v>
      </c>
      <c r="P9" s="13" t="n">
        <f aca="false">+N9*O9</f>
        <v>0</v>
      </c>
      <c r="R9" s="7" t="n">
        <f aca="false">+R8</f>
        <v>0</v>
      </c>
      <c r="S9" s="8" t="n">
        <f aca="false">+S8</f>
        <v>0</v>
      </c>
      <c r="T9" s="13" t="n">
        <f aca="false">+R9*S9</f>
        <v>0</v>
      </c>
      <c r="V9" s="7" t="n">
        <f aca="false">+V8</f>
        <v>0</v>
      </c>
      <c r="W9" s="8" t="n">
        <f aca="false">+W8</f>
        <v>0</v>
      </c>
      <c r="X9" s="13" t="n">
        <f aca="false">+V9*W9</f>
        <v>0</v>
      </c>
      <c r="Z9" s="7" t="n">
        <f aca="false">SUM(B9,F9,J9,N9,R9,V9)</f>
        <v>0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0</v>
      </c>
      <c r="C10" s="8" t="n">
        <f aca="false">+C9</f>
        <v>0</v>
      </c>
      <c r="D10" s="13" t="n">
        <f aca="false">+B10*C10</f>
        <v>0</v>
      </c>
      <c r="F10" s="7" t="n">
        <f aca="false">+F9</f>
        <v>0</v>
      </c>
      <c r="G10" s="8" t="n">
        <f aca="false">+G9</f>
        <v>0</v>
      </c>
      <c r="H10" s="13" t="n">
        <f aca="false">+F10*G10</f>
        <v>0</v>
      </c>
      <c r="J10" s="7" t="n">
        <f aca="false">+J9</f>
        <v>0</v>
      </c>
      <c r="K10" s="8" t="n">
        <f aca="false">+K9</f>
        <v>0</v>
      </c>
      <c r="L10" s="13" t="n">
        <f aca="false">+J10*K10</f>
        <v>0</v>
      </c>
      <c r="N10" s="7" t="n">
        <f aca="false">+N9</f>
        <v>0</v>
      </c>
      <c r="O10" s="8" t="n">
        <f aca="false">+O9</f>
        <v>0</v>
      </c>
      <c r="P10" s="13" t="n">
        <f aca="false">+N10*O10</f>
        <v>0</v>
      </c>
      <c r="R10" s="7" t="n">
        <f aca="false">+R9</f>
        <v>0</v>
      </c>
      <c r="S10" s="8" t="n">
        <f aca="false">+S9</f>
        <v>0</v>
      </c>
      <c r="T10" s="13" t="n">
        <f aca="false">+R10*S10</f>
        <v>0</v>
      </c>
      <c r="V10" s="7" t="n">
        <f aca="false">+V9</f>
        <v>0</v>
      </c>
      <c r="W10" s="8" t="n">
        <f aca="false">+W9</f>
        <v>0</v>
      </c>
      <c r="X10" s="13" t="n">
        <f aca="false">+V10*W10</f>
        <v>0</v>
      </c>
      <c r="Z10" s="7" t="n">
        <f aca="false">SUM(B10,F10,J10,N10,R10,V10)</f>
        <v>0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0</v>
      </c>
      <c r="C11" s="8" t="n">
        <f aca="false">+C10</f>
        <v>0</v>
      </c>
      <c r="D11" s="13" t="n">
        <f aca="false">+B11*C11</f>
        <v>0</v>
      </c>
      <c r="F11" s="7" t="n">
        <f aca="false">+F10</f>
        <v>0</v>
      </c>
      <c r="G11" s="8" t="n">
        <f aca="false">+G10</f>
        <v>0</v>
      </c>
      <c r="H11" s="13" t="n">
        <f aca="false">+F11*G11</f>
        <v>0</v>
      </c>
      <c r="J11" s="7" t="n">
        <f aca="false">+J10</f>
        <v>0</v>
      </c>
      <c r="K11" s="8" t="n">
        <f aca="false">+K10</f>
        <v>0</v>
      </c>
      <c r="L11" s="13" t="n">
        <f aca="false">+J11*K11</f>
        <v>0</v>
      </c>
      <c r="N11" s="7" t="n">
        <f aca="false">+N10</f>
        <v>0</v>
      </c>
      <c r="O11" s="8" t="n">
        <f aca="false">+O10</f>
        <v>0</v>
      </c>
      <c r="P11" s="13" t="n">
        <f aca="false">+N11*O11</f>
        <v>0</v>
      </c>
      <c r="R11" s="7" t="n">
        <f aca="false">+R10</f>
        <v>0</v>
      </c>
      <c r="S11" s="8" t="n">
        <f aca="false">+S10</f>
        <v>0</v>
      </c>
      <c r="T11" s="13" t="n">
        <f aca="false">+R11*S11</f>
        <v>0</v>
      </c>
      <c r="V11" s="7" t="n">
        <f aca="false">+V10</f>
        <v>0</v>
      </c>
      <c r="W11" s="8" t="n">
        <f aca="false">+W10</f>
        <v>0</v>
      </c>
      <c r="X11" s="13" t="n">
        <f aca="false">+V11*W11</f>
        <v>0</v>
      </c>
      <c r="Z11" s="7" t="n">
        <f aca="false">SUM(B11,F11,J11,N11,R11,V11)</f>
        <v>0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0</v>
      </c>
      <c r="C12" s="8" t="n">
        <f aca="false">+C11</f>
        <v>0</v>
      </c>
      <c r="D12" s="13" t="n">
        <f aca="false">+B12*C12</f>
        <v>0</v>
      </c>
      <c r="F12" s="7" t="n">
        <f aca="false">+F11</f>
        <v>0</v>
      </c>
      <c r="G12" s="8" t="n">
        <f aca="false">+G11</f>
        <v>0</v>
      </c>
      <c r="H12" s="13" t="n">
        <f aca="false">+F12*G12</f>
        <v>0</v>
      </c>
      <c r="J12" s="7" t="n">
        <f aca="false">+J11</f>
        <v>0</v>
      </c>
      <c r="K12" s="8" t="n">
        <f aca="false">+K11</f>
        <v>0</v>
      </c>
      <c r="L12" s="13" t="n">
        <f aca="false">+J12*K12</f>
        <v>0</v>
      </c>
      <c r="N12" s="7" t="n">
        <f aca="false">+N11</f>
        <v>0</v>
      </c>
      <c r="O12" s="8" t="n">
        <f aca="false">+O11</f>
        <v>0</v>
      </c>
      <c r="P12" s="13" t="n">
        <f aca="false">+N12*O12</f>
        <v>0</v>
      </c>
      <c r="R12" s="7" t="n">
        <f aca="false">+R11</f>
        <v>0</v>
      </c>
      <c r="S12" s="8" t="n">
        <f aca="false">+S11</f>
        <v>0</v>
      </c>
      <c r="T12" s="13" t="n">
        <f aca="false">+R12*S12</f>
        <v>0</v>
      </c>
      <c r="V12" s="7" t="n">
        <f aca="false">+V11</f>
        <v>0</v>
      </c>
      <c r="W12" s="8" t="n">
        <f aca="false">+W11</f>
        <v>0</v>
      </c>
      <c r="X12" s="13" t="n">
        <f aca="false">+V12*W12</f>
        <v>0</v>
      </c>
      <c r="Z12" s="7" t="n">
        <f aca="false">SUM(B12,F12,J12,N12,R12,V12)</f>
        <v>0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0</v>
      </c>
      <c r="C13" s="8" t="n">
        <f aca="false">+C12</f>
        <v>0</v>
      </c>
      <c r="D13" s="13" t="n">
        <f aca="false">+B13*C13</f>
        <v>0</v>
      </c>
      <c r="F13" s="7" t="n">
        <f aca="false">+F12</f>
        <v>0</v>
      </c>
      <c r="G13" s="8" t="n">
        <f aca="false">+G12</f>
        <v>0</v>
      </c>
      <c r="H13" s="13" t="n">
        <f aca="false">+F13*G13</f>
        <v>0</v>
      </c>
      <c r="J13" s="7" t="n">
        <f aca="false">+J12</f>
        <v>0</v>
      </c>
      <c r="K13" s="8" t="n">
        <f aca="false">+K12</f>
        <v>0</v>
      </c>
      <c r="L13" s="13" t="n">
        <f aca="false">+J13*K13</f>
        <v>0</v>
      </c>
      <c r="N13" s="7" t="n">
        <f aca="false">+N12</f>
        <v>0</v>
      </c>
      <c r="O13" s="8" t="n">
        <f aca="false">+O12</f>
        <v>0</v>
      </c>
      <c r="P13" s="13" t="n">
        <f aca="false">+N13*O13</f>
        <v>0</v>
      </c>
      <c r="R13" s="7" t="n">
        <f aca="false">+R12</f>
        <v>0</v>
      </c>
      <c r="S13" s="8" t="n">
        <f aca="false">+S12</f>
        <v>0</v>
      </c>
      <c r="T13" s="13" t="n">
        <f aca="false">+R13*S13</f>
        <v>0</v>
      </c>
      <c r="V13" s="7" t="n">
        <f aca="false">+V12</f>
        <v>0</v>
      </c>
      <c r="W13" s="8" t="n">
        <f aca="false">+W12</f>
        <v>0</v>
      </c>
      <c r="X13" s="13" t="n">
        <f aca="false">+V13*W13</f>
        <v>0</v>
      </c>
      <c r="Z13" s="7" t="n">
        <f aca="false">SUM(B13,F13,J13,N13,R13,V13)</f>
        <v>0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0</v>
      </c>
      <c r="C14" s="8" t="n">
        <f aca="false">+C13</f>
        <v>0</v>
      </c>
      <c r="D14" s="13" t="n">
        <f aca="false">+B14*C14</f>
        <v>0</v>
      </c>
      <c r="F14" s="7" t="n">
        <f aca="false">+F13</f>
        <v>0</v>
      </c>
      <c r="G14" s="8" t="n">
        <f aca="false">+G13</f>
        <v>0</v>
      </c>
      <c r="H14" s="13" t="n">
        <f aca="false">+F14*G14</f>
        <v>0</v>
      </c>
      <c r="J14" s="7" t="n">
        <f aca="false">+J13</f>
        <v>0</v>
      </c>
      <c r="K14" s="8" t="n">
        <f aca="false">+K13</f>
        <v>0</v>
      </c>
      <c r="L14" s="13" t="n">
        <f aca="false">+J14*K14</f>
        <v>0</v>
      </c>
      <c r="N14" s="7" t="n">
        <f aca="false">+N13</f>
        <v>0</v>
      </c>
      <c r="O14" s="8" t="n">
        <f aca="false">+O13</f>
        <v>0</v>
      </c>
      <c r="P14" s="13" t="n">
        <f aca="false">+N14*O14</f>
        <v>0</v>
      </c>
      <c r="R14" s="7" t="n">
        <f aca="false">+R13</f>
        <v>0</v>
      </c>
      <c r="S14" s="8" t="n">
        <f aca="false">+S13</f>
        <v>0</v>
      </c>
      <c r="T14" s="13" t="n">
        <f aca="false">+R14*S14</f>
        <v>0</v>
      </c>
      <c r="V14" s="7" t="n">
        <f aca="false">+V13</f>
        <v>0</v>
      </c>
      <c r="W14" s="8" t="n">
        <f aca="false">+W13</f>
        <v>0</v>
      </c>
      <c r="X14" s="13" t="n">
        <f aca="false">+V14*W14</f>
        <v>0</v>
      </c>
      <c r="Z14" s="7" t="n">
        <f aca="false">SUM(B14,F14,J14,N14,R14,V14)</f>
        <v>0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0</v>
      </c>
      <c r="C15" s="8" t="n">
        <f aca="false">+C14</f>
        <v>0</v>
      </c>
      <c r="D15" s="13" t="n">
        <f aca="false">+B15*C15</f>
        <v>0</v>
      </c>
      <c r="F15" s="7" t="n">
        <f aca="false">+F14</f>
        <v>0</v>
      </c>
      <c r="G15" s="8" t="n">
        <f aca="false">+G14</f>
        <v>0</v>
      </c>
      <c r="H15" s="13" t="n">
        <f aca="false">+F15*G15</f>
        <v>0</v>
      </c>
      <c r="J15" s="7" t="n">
        <f aca="false">+J14</f>
        <v>0</v>
      </c>
      <c r="K15" s="8" t="n">
        <f aca="false">+K14</f>
        <v>0</v>
      </c>
      <c r="L15" s="13" t="n">
        <f aca="false">+J15*K15</f>
        <v>0</v>
      </c>
      <c r="N15" s="7" t="n">
        <f aca="false">+N14</f>
        <v>0</v>
      </c>
      <c r="O15" s="8" t="n">
        <f aca="false">+O14</f>
        <v>0</v>
      </c>
      <c r="P15" s="13" t="n">
        <f aca="false">+N15*O15</f>
        <v>0</v>
      </c>
      <c r="R15" s="7" t="n">
        <f aca="false">+R14</f>
        <v>0</v>
      </c>
      <c r="S15" s="8" t="n">
        <f aca="false">+S14</f>
        <v>0</v>
      </c>
      <c r="T15" s="13" t="n">
        <f aca="false">+R15*S15</f>
        <v>0</v>
      </c>
      <c r="V15" s="7" t="n">
        <f aca="false">+V14</f>
        <v>0</v>
      </c>
      <c r="W15" s="8" t="n">
        <f aca="false">+W14</f>
        <v>0</v>
      </c>
      <c r="X15" s="13" t="n">
        <f aca="false">+V15*W15</f>
        <v>0</v>
      </c>
      <c r="Z15" s="7" t="n">
        <f aca="false">SUM(B15,F15,J15,N15,R15,V15)</f>
        <v>0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0</v>
      </c>
      <c r="C16" s="8" t="n">
        <f aca="false">+C15</f>
        <v>0</v>
      </c>
      <c r="D16" s="13" t="n">
        <f aca="false">+B16*C16</f>
        <v>0</v>
      </c>
      <c r="F16" s="7" t="n">
        <f aca="false">+F15</f>
        <v>0</v>
      </c>
      <c r="G16" s="8" t="n">
        <f aca="false">+G15</f>
        <v>0</v>
      </c>
      <c r="H16" s="13" t="n">
        <f aca="false">+F16*G16</f>
        <v>0</v>
      </c>
      <c r="J16" s="7" t="n">
        <f aca="false">+J15</f>
        <v>0</v>
      </c>
      <c r="K16" s="8" t="n">
        <f aca="false">+K15</f>
        <v>0</v>
      </c>
      <c r="L16" s="13" t="n">
        <f aca="false">+J16*K16</f>
        <v>0</v>
      </c>
      <c r="N16" s="7" t="n">
        <f aca="false">+N15</f>
        <v>0</v>
      </c>
      <c r="O16" s="8" t="n">
        <f aca="false">+O15</f>
        <v>0</v>
      </c>
      <c r="P16" s="13" t="n">
        <f aca="false">+N16*O16</f>
        <v>0</v>
      </c>
      <c r="R16" s="7" t="n">
        <f aca="false">+R15</f>
        <v>0</v>
      </c>
      <c r="S16" s="8" t="n">
        <f aca="false">+S15</f>
        <v>0</v>
      </c>
      <c r="T16" s="13" t="n">
        <f aca="false">+R16*S16</f>
        <v>0</v>
      </c>
      <c r="V16" s="7" t="n">
        <f aca="false">+V15</f>
        <v>0</v>
      </c>
      <c r="W16" s="8" t="n">
        <f aca="false">+W15</f>
        <v>0</v>
      </c>
      <c r="X16" s="13" t="n">
        <f aca="false">+V16*W16</f>
        <v>0</v>
      </c>
      <c r="Z16" s="7" t="n">
        <f aca="false">SUM(B16,F16,J16,N16,R16,V16)</f>
        <v>0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0</v>
      </c>
      <c r="C17" s="8" t="n">
        <f aca="false">+C16</f>
        <v>0</v>
      </c>
      <c r="D17" s="13" t="n">
        <f aca="false">+B17*C17</f>
        <v>0</v>
      </c>
      <c r="F17" s="7" t="n">
        <f aca="false">+F16</f>
        <v>0</v>
      </c>
      <c r="G17" s="8" t="n">
        <f aca="false">+G16</f>
        <v>0</v>
      </c>
      <c r="H17" s="13" t="n">
        <f aca="false">+F17*G17</f>
        <v>0</v>
      </c>
      <c r="J17" s="7" t="n">
        <f aca="false">+J16</f>
        <v>0</v>
      </c>
      <c r="K17" s="8" t="n">
        <f aca="false">+K16</f>
        <v>0</v>
      </c>
      <c r="L17" s="13" t="n">
        <f aca="false">+J17*K17</f>
        <v>0</v>
      </c>
      <c r="N17" s="7" t="n">
        <f aca="false">+N16</f>
        <v>0</v>
      </c>
      <c r="O17" s="8" t="n">
        <f aca="false">+O16</f>
        <v>0</v>
      </c>
      <c r="P17" s="13" t="n">
        <f aca="false">+N17*O17</f>
        <v>0</v>
      </c>
      <c r="R17" s="7" t="n">
        <f aca="false">+R16</f>
        <v>0</v>
      </c>
      <c r="S17" s="8" t="n">
        <f aca="false">+S16</f>
        <v>0</v>
      </c>
      <c r="T17" s="13" t="n">
        <f aca="false">+R17*S17</f>
        <v>0</v>
      </c>
      <c r="V17" s="7" t="n">
        <f aca="false">+V16</f>
        <v>0</v>
      </c>
      <c r="W17" s="8" t="n">
        <f aca="false">+W16</f>
        <v>0</v>
      </c>
      <c r="X17" s="13" t="n">
        <f aca="false">+V17*W17</f>
        <v>0</v>
      </c>
      <c r="Z17" s="7" t="n">
        <f aca="false">SUM(B17,F17,J17,N17,R17,V17)</f>
        <v>0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0</v>
      </c>
      <c r="C18" s="8" t="n">
        <f aca="false">+C17</f>
        <v>0</v>
      </c>
      <c r="D18" s="13" t="n">
        <f aca="false">+B18*C18</f>
        <v>0</v>
      </c>
      <c r="F18" s="7" t="n">
        <f aca="false">+F17</f>
        <v>0</v>
      </c>
      <c r="G18" s="8" t="n">
        <f aca="false">+G17</f>
        <v>0</v>
      </c>
      <c r="H18" s="13" t="n">
        <f aca="false">+F18*G18</f>
        <v>0</v>
      </c>
      <c r="J18" s="7" t="n">
        <f aca="false">+J17</f>
        <v>0</v>
      </c>
      <c r="K18" s="8" t="n">
        <f aca="false">+K17</f>
        <v>0</v>
      </c>
      <c r="L18" s="13" t="n">
        <f aca="false">+J18*K18</f>
        <v>0</v>
      </c>
      <c r="N18" s="7" t="n">
        <f aca="false">+N17</f>
        <v>0</v>
      </c>
      <c r="O18" s="8" t="n">
        <f aca="false">+O17</f>
        <v>0</v>
      </c>
      <c r="P18" s="13" t="n">
        <f aca="false">+N18*O18</f>
        <v>0</v>
      </c>
      <c r="R18" s="7" t="n">
        <f aca="false">+R17</f>
        <v>0</v>
      </c>
      <c r="S18" s="8" t="n">
        <f aca="false">+S17</f>
        <v>0</v>
      </c>
      <c r="T18" s="13" t="n">
        <f aca="false">+R18*S18</f>
        <v>0</v>
      </c>
      <c r="V18" s="7" t="n">
        <f aca="false">+V17</f>
        <v>0</v>
      </c>
      <c r="W18" s="8" t="n">
        <f aca="false">+W17</f>
        <v>0</v>
      </c>
      <c r="X18" s="13" t="n">
        <f aca="false">+V18*W18</f>
        <v>0</v>
      </c>
      <c r="Z18" s="7" t="n">
        <f aca="false">SUM(B18,F18,J18,N18,R18,V18)</f>
        <v>0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0</v>
      </c>
      <c r="C19" s="8" t="n">
        <f aca="false">+C18</f>
        <v>0</v>
      </c>
      <c r="D19" s="13" t="n">
        <f aca="false">+B19*C19</f>
        <v>0</v>
      </c>
      <c r="F19" s="7" t="n">
        <f aca="false">+F18</f>
        <v>0</v>
      </c>
      <c r="G19" s="8" t="n">
        <f aca="false">+G18</f>
        <v>0</v>
      </c>
      <c r="H19" s="13" t="n">
        <f aca="false">+F19*G19</f>
        <v>0</v>
      </c>
      <c r="J19" s="7" t="n">
        <f aca="false">+J18</f>
        <v>0</v>
      </c>
      <c r="K19" s="8" t="n">
        <f aca="false">+K18</f>
        <v>0</v>
      </c>
      <c r="L19" s="13" t="n">
        <f aca="false">+J19*K19</f>
        <v>0</v>
      </c>
      <c r="N19" s="7" t="n">
        <f aca="false">+N18</f>
        <v>0</v>
      </c>
      <c r="O19" s="8" t="n">
        <f aca="false">+O18</f>
        <v>0</v>
      </c>
      <c r="P19" s="13" t="n">
        <f aca="false">+N19*O19</f>
        <v>0</v>
      </c>
      <c r="R19" s="7" t="n">
        <f aca="false">+R18</f>
        <v>0</v>
      </c>
      <c r="S19" s="8" t="n">
        <f aca="false">+S18</f>
        <v>0</v>
      </c>
      <c r="T19" s="13" t="n">
        <f aca="false">+R19*S19</f>
        <v>0</v>
      </c>
      <c r="V19" s="7" t="n">
        <f aca="false">+V18</f>
        <v>0</v>
      </c>
      <c r="W19" s="8" t="n">
        <f aca="false">+W18</f>
        <v>0</v>
      </c>
      <c r="X19" s="13" t="n">
        <f aca="false">+V19*W19</f>
        <v>0</v>
      </c>
      <c r="Z19" s="7" t="n">
        <f aca="false">SUM(B19,F19,J19,N19,R19,V19)</f>
        <v>0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0</v>
      </c>
      <c r="C20" s="8" t="n">
        <f aca="false">+C19</f>
        <v>0</v>
      </c>
      <c r="D20" s="13" t="n">
        <f aca="false">+B20*C20</f>
        <v>0</v>
      </c>
      <c r="F20" s="7" t="n">
        <f aca="false">+F19</f>
        <v>0</v>
      </c>
      <c r="G20" s="8" t="n">
        <f aca="false">+G19</f>
        <v>0</v>
      </c>
      <c r="H20" s="13" t="n">
        <f aca="false">+F20*G20</f>
        <v>0</v>
      </c>
      <c r="J20" s="7" t="n">
        <f aca="false">+J19</f>
        <v>0</v>
      </c>
      <c r="K20" s="8" t="n">
        <f aca="false">+K19</f>
        <v>0</v>
      </c>
      <c r="L20" s="13" t="n">
        <f aca="false">+J20*K20</f>
        <v>0</v>
      </c>
      <c r="N20" s="7" t="n">
        <f aca="false">+N19</f>
        <v>0</v>
      </c>
      <c r="O20" s="8" t="n">
        <f aca="false">+O19</f>
        <v>0</v>
      </c>
      <c r="P20" s="13" t="n">
        <f aca="false">+N20*O20</f>
        <v>0</v>
      </c>
      <c r="R20" s="7" t="n">
        <f aca="false">+R19</f>
        <v>0</v>
      </c>
      <c r="S20" s="8" t="n">
        <f aca="false">+S19</f>
        <v>0</v>
      </c>
      <c r="T20" s="13" t="n">
        <f aca="false">+R20*S20</f>
        <v>0</v>
      </c>
      <c r="V20" s="7" t="n">
        <f aca="false">+V19</f>
        <v>0</v>
      </c>
      <c r="W20" s="8" t="n">
        <f aca="false">+W19</f>
        <v>0</v>
      </c>
      <c r="X20" s="13" t="n">
        <f aca="false">+V20*W20</f>
        <v>0</v>
      </c>
      <c r="Z20" s="7" t="n">
        <f aca="false">SUM(B20,F20,J20,N20,R20,V20)</f>
        <v>0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0</v>
      </c>
      <c r="C21" s="8" t="n">
        <f aca="false">+C20</f>
        <v>0</v>
      </c>
      <c r="D21" s="13" t="n">
        <f aca="false">+B21*C21</f>
        <v>0</v>
      </c>
      <c r="F21" s="7" t="n">
        <f aca="false">+F20</f>
        <v>0</v>
      </c>
      <c r="G21" s="8" t="n">
        <f aca="false">+G20</f>
        <v>0</v>
      </c>
      <c r="H21" s="13" t="n">
        <f aca="false">+F21*G21</f>
        <v>0</v>
      </c>
      <c r="J21" s="7" t="n">
        <f aca="false">+J20</f>
        <v>0</v>
      </c>
      <c r="K21" s="8" t="n">
        <f aca="false">+K20</f>
        <v>0</v>
      </c>
      <c r="L21" s="13" t="n">
        <f aca="false">+J21*K21</f>
        <v>0</v>
      </c>
      <c r="N21" s="7" t="n">
        <f aca="false">+N20</f>
        <v>0</v>
      </c>
      <c r="O21" s="8" t="n">
        <f aca="false">+O20</f>
        <v>0</v>
      </c>
      <c r="P21" s="13" t="n">
        <f aca="false">+N21*O21</f>
        <v>0</v>
      </c>
      <c r="R21" s="7" t="n">
        <f aca="false">+R20</f>
        <v>0</v>
      </c>
      <c r="S21" s="8" t="n">
        <f aca="false">+S20</f>
        <v>0</v>
      </c>
      <c r="T21" s="13" t="n">
        <f aca="false">+R21*S21</f>
        <v>0</v>
      </c>
      <c r="V21" s="7" t="n">
        <f aca="false">+V20</f>
        <v>0</v>
      </c>
      <c r="W21" s="8" t="n">
        <f aca="false">+W20</f>
        <v>0</v>
      </c>
      <c r="X21" s="13" t="n">
        <f aca="false">+V21*W21</f>
        <v>0</v>
      </c>
      <c r="Z21" s="7" t="n">
        <f aca="false">SUM(B21,F21,J21,N21,R21,V21)</f>
        <v>0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0</v>
      </c>
      <c r="C22" s="8" t="n">
        <f aca="false">+C21</f>
        <v>0</v>
      </c>
      <c r="D22" s="13" t="n">
        <f aca="false">+B22*C22</f>
        <v>0</v>
      </c>
      <c r="F22" s="7" t="n">
        <f aca="false">+F21</f>
        <v>0</v>
      </c>
      <c r="G22" s="8" t="n">
        <f aca="false">+G21</f>
        <v>0</v>
      </c>
      <c r="H22" s="13" t="n">
        <f aca="false">+F22*G22</f>
        <v>0</v>
      </c>
      <c r="J22" s="7" t="n">
        <f aca="false">+J21</f>
        <v>0</v>
      </c>
      <c r="K22" s="8" t="n">
        <f aca="false">+K21</f>
        <v>0</v>
      </c>
      <c r="L22" s="13" t="n">
        <f aca="false">+J22*K22</f>
        <v>0</v>
      </c>
      <c r="N22" s="7" t="n">
        <f aca="false">+N21</f>
        <v>0</v>
      </c>
      <c r="O22" s="8" t="n">
        <f aca="false">+O21</f>
        <v>0</v>
      </c>
      <c r="P22" s="13" t="n">
        <f aca="false">+N22*O22</f>
        <v>0</v>
      </c>
      <c r="R22" s="7" t="n">
        <f aca="false">+R21</f>
        <v>0</v>
      </c>
      <c r="S22" s="8" t="n">
        <f aca="false">+S21</f>
        <v>0</v>
      </c>
      <c r="T22" s="13" t="n">
        <f aca="false">+R22*S22</f>
        <v>0</v>
      </c>
      <c r="V22" s="7" t="n">
        <f aca="false">+V21</f>
        <v>0</v>
      </c>
      <c r="W22" s="8" t="n">
        <f aca="false">+W21</f>
        <v>0</v>
      </c>
      <c r="X22" s="13" t="n">
        <f aca="false">+V22*W22</f>
        <v>0</v>
      </c>
      <c r="Z22" s="7" t="n">
        <f aca="false">SUM(B22,F22,J22,N22,R22,V22)</f>
        <v>0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0</v>
      </c>
      <c r="C23" s="8" t="n">
        <f aca="false">+C22</f>
        <v>0</v>
      </c>
      <c r="D23" s="13" t="n">
        <f aca="false">+B23*C23</f>
        <v>0</v>
      </c>
      <c r="F23" s="7" t="n">
        <f aca="false">+F22</f>
        <v>0</v>
      </c>
      <c r="G23" s="8" t="n">
        <f aca="false">+G22</f>
        <v>0</v>
      </c>
      <c r="H23" s="13" t="n">
        <f aca="false">+F23*G23</f>
        <v>0</v>
      </c>
      <c r="J23" s="7" t="n">
        <f aca="false">+J22</f>
        <v>0</v>
      </c>
      <c r="K23" s="8" t="n">
        <f aca="false">+K22</f>
        <v>0</v>
      </c>
      <c r="L23" s="13" t="n">
        <f aca="false">+J23*K23</f>
        <v>0</v>
      </c>
      <c r="N23" s="7" t="n">
        <f aca="false">+N22</f>
        <v>0</v>
      </c>
      <c r="O23" s="8" t="n">
        <f aca="false">+O22</f>
        <v>0</v>
      </c>
      <c r="P23" s="13" t="n">
        <f aca="false">+N23*O23</f>
        <v>0</v>
      </c>
      <c r="R23" s="7" t="n">
        <f aca="false">+R22</f>
        <v>0</v>
      </c>
      <c r="S23" s="8" t="n">
        <f aca="false">+S22</f>
        <v>0</v>
      </c>
      <c r="T23" s="13" t="n">
        <f aca="false">+R23*S23</f>
        <v>0</v>
      </c>
      <c r="V23" s="7" t="n">
        <f aca="false">+V22</f>
        <v>0</v>
      </c>
      <c r="W23" s="8" t="n">
        <f aca="false">+W22</f>
        <v>0</v>
      </c>
      <c r="X23" s="13" t="n">
        <f aca="false">+V23*W23</f>
        <v>0</v>
      </c>
      <c r="Z23" s="7" t="n">
        <f aca="false">SUM(B23,F23,J23,N23,R23,V23)</f>
        <v>0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0</v>
      </c>
      <c r="C24" s="8" t="n">
        <f aca="false">+C23</f>
        <v>0</v>
      </c>
      <c r="D24" s="13" t="n">
        <f aca="false">+B24*C24</f>
        <v>0</v>
      </c>
      <c r="F24" s="7" t="n">
        <f aca="false">+F23</f>
        <v>0</v>
      </c>
      <c r="G24" s="8" t="n">
        <f aca="false">+G23</f>
        <v>0</v>
      </c>
      <c r="H24" s="13" t="n">
        <f aca="false">+F24*G24</f>
        <v>0</v>
      </c>
      <c r="J24" s="7" t="n">
        <f aca="false">+J23</f>
        <v>0</v>
      </c>
      <c r="K24" s="8" t="n">
        <f aca="false">+K23</f>
        <v>0</v>
      </c>
      <c r="L24" s="13" t="n">
        <f aca="false">+J24*K24</f>
        <v>0</v>
      </c>
      <c r="N24" s="7" t="n">
        <f aca="false">+N23</f>
        <v>0</v>
      </c>
      <c r="O24" s="8" t="n">
        <f aca="false">+O23</f>
        <v>0</v>
      </c>
      <c r="P24" s="13" t="n">
        <f aca="false">+N24*O24</f>
        <v>0</v>
      </c>
      <c r="R24" s="7" t="n">
        <f aca="false">+R23</f>
        <v>0</v>
      </c>
      <c r="S24" s="8" t="n">
        <f aca="false">+S23</f>
        <v>0</v>
      </c>
      <c r="T24" s="13" t="n">
        <f aca="false">+R24*S24</f>
        <v>0</v>
      </c>
      <c r="V24" s="7" t="n">
        <f aca="false">+V23</f>
        <v>0</v>
      </c>
      <c r="W24" s="8" t="n">
        <f aca="false">+W23</f>
        <v>0</v>
      </c>
      <c r="X24" s="13" t="n">
        <f aca="false">+V24*W24</f>
        <v>0</v>
      </c>
      <c r="Z24" s="7" t="n">
        <f aca="false">SUM(B24,F24,J24,N24,R24,V24)</f>
        <v>0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0</v>
      </c>
      <c r="C25" s="8" t="n">
        <f aca="false">+C24</f>
        <v>0</v>
      </c>
      <c r="D25" s="13" t="n">
        <f aca="false">+B25*C25</f>
        <v>0</v>
      </c>
      <c r="F25" s="7" t="n">
        <f aca="false">+F24</f>
        <v>0</v>
      </c>
      <c r="G25" s="8" t="n">
        <f aca="false">+G24</f>
        <v>0</v>
      </c>
      <c r="H25" s="13" t="n">
        <f aca="false">+F25*G25</f>
        <v>0</v>
      </c>
      <c r="J25" s="7" t="n">
        <f aca="false">+J24</f>
        <v>0</v>
      </c>
      <c r="K25" s="8" t="n">
        <f aca="false">+K24</f>
        <v>0</v>
      </c>
      <c r="L25" s="13" t="n">
        <f aca="false">+J25*K25</f>
        <v>0</v>
      </c>
      <c r="N25" s="7" t="n">
        <f aca="false">+N24</f>
        <v>0</v>
      </c>
      <c r="O25" s="8" t="n">
        <f aca="false">+O24</f>
        <v>0</v>
      </c>
      <c r="P25" s="13" t="n">
        <f aca="false">+N25*O25</f>
        <v>0</v>
      </c>
      <c r="R25" s="7" t="n">
        <f aca="false">+R24</f>
        <v>0</v>
      </c>
      <c r="S25" s="8" t="n">
        <f aca="false">+S24</f>
        <v>0</v>
      </c>
      <c r="T25" s="13" t="n">
        <f aca="false">+R25*S25</f>
        <v>0</v>
      </c>
      <c r="V25" s="7" t="n">
        <f aca="false">+V24</f>
        <v>0</v>
      </c>
      <c r="W25" s="8" t="n">
        <f aca="false">+W24</f>
        <v>0</v>
      </c>
      <c r="X25" s="13" t="n">
        <f aca="false">+V25*W25</f>
        <v>0</v>
      </c>
      <c r="Z25" s="7" t="n">
        <f aca="false">SUM(B25,F25,J25,N25,R25,V25)</f>
        <v>0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0</v>
      </c>
      <c r="C26" s="8" t="n">
        <f aca="false">+C25</f>
        <v>0</v>
      </c>
      <c r="D26" s="13" t="n">
        <f aca="false">+B26*C26</f>
        <v>0</v>
      </c>
      <c r="F26" s="7" t="n">
        <f aca="false">+F25</f>
        <v>0</v>
      </c>
      <c r="G26" s="8" t="n">
        <f aca="false">+G25</f>
        <v>0</v>
      </c>
      <c r="H26" s="13" t="n">
        <f aca="false">+F26*G26</f>
        <v>0</v>
      </c>
      <c r="J26" s="7" t="n">
        <f aca="false">+J25</f>
        <v>0</v>
      </c>
      <c r="K26" s="8" t="n">
        <f aca="false">+K25</f>
        <v>0</v>
      </c>
      <c r="L26" s="13" t="n">
        <f aca="false">+J26*K26</f>
        <v>0</v>
      </c>
      <c r="N26" s="7" t="n">
        <f aca="false">+N25</f>
        <v>0</v>
      </c>
      <c r="O26" s="8" t="n">
        <f aca="false">+O25</f>
        <v>0</v>
      </c>
      <c r="P26" s="13" t="n">
        <f aca="false">+N26*O26</f>
        <v>0</v>
      </c>
      <c r="R26" s="7" t="n">
        <f aca="false">+R25</f>
        <v>0</v>
      </c>
      <c r="S26" s="8" t="n">
        <f aca="false">+S25</f>
        <v>0</v>
      </c>
      <c r="T26" s="13" t="n">
        <f aca="false">+R26*S26</f>
        <v>0</v>
      </c>
      <c r="V26" s="7" t="n">
        <f aca="false">+V25</f>
        <v>0</v>
      </c>
      <c r="W26" s="8" t="n">
        <f aca="false">+W25</f>
        <v>0</v>
      </c>
      <c r="X26" s="13" t="n">
        <f aca="false">+V26*W26</f>
        <v>0</v>
      </c>
      <c r="Z26" s="7" t="n">
        <f aca="false">SUM(B26,F26,J26,N26,R26,V26)</f>
        <v>0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0</v>
      </c>
      <c r="C27" s="8" t="n">
        <f aca="false">+C26</f>
        <v>0</v>
      </c>
      <c r="D27" s="13" t="n">
        <f aca="false">+B27*C27</f>
        <v>0</v>
      </c>
      <c r="F27" s="7" t="n">
        <f aca="false">+F26</f>
        <v>0</v>
      </c>
      <c r="G27" s="8" t="n">
        <f aca="false">+G26</f>
        <v>0</v>
      </c>
      <c r="H27" s="13" t="n">
        <f aca="false">+F27*G27</f>
        <v>0</v>
      </c>
      <c r="J27" s="7" t="n">
        <f aca="false">+J26</f>
        <v>0</v>
      </c>
      <c r="K27" s="8" t="n">
        <f aca="false">+K26</f>
        <v>0</v>
      </c>
      <c r="L27" s="13" t="n">
        <f aca="false">+J27*K27</f>
        <v>0</v>
      </c>
      <c r="N27" s="7" t="n">
        <f aca="false">+N26</f>
        <v>0</v>
      </c>
      <c r="O27" s="8" t="n">
        <f aca="false">+O26</f>
        <v>0</v>
      </c>
      <c r="P27" s="13" t="n">
        <f aca="false">+N27*O27</f>
        <v>0</v>
      </c>
      <c r="R27" s="7" t="n">
        <f aca="false">+R26</f>
        <v>0</v>
      </c>
      <c r="S27" s="8" t="n">
        <f aca="false">+S26</f>
        <v>0</v>
      </c>
      <c r="T27" s="13" t="n">
        <f aca="false">+R27*S27</f>
        <v>0</v>
      </c>
      <c r="V27" s="7" t="n">
        <f aca="false">+V26</f>
        <v>0</v>
      </c>
      <c r="W27" s="8" t="n">
        <f aca="false">+W26</f>
        <v>0</v>
      </c>
      <c r="X27" s="13" t="n">
        <f aca="false">+V27*W27</f>
        <v>0</v>
      </c>
      <c r="Z27" s="7" t="n">
        <f aca="false">SUM(B27,F27,J27,N27,R27,V27)</f>
        <v>0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0</v>
      </c>
      <c r="C28" s="8" t="n">
        <f aca="false">+C27</f>
        <v>0</v>
      </c>
      <c r="D28" s="13" t="n">
        <f aca="false">+B28*C28</f>
        <v>0</v>
      </c>
      <c r="F28" s="7" t="n">
        <f aca="false">+F27</f>
        <v>0</v>
      </c>
      <c r="G28" s="8" t="n">
        <f aca="false">+G27</f>
        <v>0</v>
      </c>
      <c r="H28" s="13" t="n">
        <f aca="false">+F28*G28</f>
        <v>0</v>
      </c>
      <c r="J28" s="7" t="n">
        <f aca="false">+J27</f>
        <v>0</v>
      </c>
      <c r="K28" s="8" t="n">
        <f aca="false">+K27</f>
        <v>0</v>
      </c>
      <c r="L28" s="13" t="n">
        <f aca="false">+J28*K28</f>
        <v>0</v>
      </c>
      <c r="N28" s="7" t="n">
        <f aca="false">+N27</f>
        <v>0</v>
      </c>
      <c r="O28" s="8" t="n">
        <f aca="false">+O27</f>
        <v>0</v>
      </c>
      <c r="P28" s="13" t="n">
        <f aca="false">+N28*O28</f>
        <v>0</v>
      </c>
      <c r="R28" s="7" t="n">
        <f aca="false">+R27</f>
        <v>0</v>
      </c>
      <c r="S28" s="8" t="n">
        <f aca="false">+S27</f>
        <v>0</v>
      </c>
      <c r="T28" s="13" t="n">
        <f aca="false">+R28*S28</f>
        <v>0</v>
      </c>
      <c r="V28" s="7" t="n">
        <f aca="false">+V27</f>
        <v>0</v>
      </c>
      <c r="W28" s="8" t="n">
        <f aca="false">+W27</f>
        <v>0</v>
      </c>
      <c r="X28" s="13" t="n">
        <f aca="false">+V28*W28</f>
        <v>0</v>
      </c>
      <c r="Z28" s="7" t="n">
        <f aca="false">SUM(B28,F28,J28,N28,R28,V28)</f>
        <v>0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0</v>
      </c>
      <c r="C29" s="8" t="n">
        <f aca="false">+C28</f>
        <v>0</v>
      </c>
      <c r="D29" s="13" t="n">
        <f aca="false">+B29*C29</f>
        <v>0</v>
      </c>
      <c r="F29" s="7" t="n">
        <f aca="false">+F28</f>
        <v>0</v>
      </c>
      <c r="G29" s="8" t="n">
        <f aca="false">+G28</f>
        <v>0</v>
      </c>
      <c r="H29" s="13" t="n">
        <f aca="false">+F29*G29</f>
        <v>0</v>
      </c>
      <c r="J29" s="7" t="n">
        <f aca="false">+J28</f>
        <v>0</v>
      </c>
      <c r="K29" s="8" t="n">
        <f aca="false">+K28</f>
        <v>0</v>
      </c>
      <c r="L29" s="13" t="n">
        <f aca="false">+J29*K29</f>
        <v>0</v>
      </c>
      <c r="N29" s="7" t="n">
        <f aca="false">+N28</f>
        <v>0</v>
      </c>
      <c r="O29" s="8" t="n">
        <f aca="false">+O28</f>
        <v>0</v>
      </c>
      <c r="P29" s="13" t="n">
        <f aca="false">+N29*O29</f>
        <v>0</v>
      </c>
      <c r="R29" s="7" t="n">
        <f aca="false">+R28</f>
        <v>0</v>
      </c>
      <c r="S29" s="8" t="n">
        <f aca="false">+S28</f>
        <v>0</v>
      </c>
      <c r="T29" s="13" t="n">
        <f aca="false">+R29*S29</f>
        <v>0</v>
      </c>
      <c r="V29" s="7" t="n">
        <f aca="false">+V28</f>
        <v>0</v>
      </c>
      <c r="W29" s="8" t="n">
        <f aca="false">+W28</f>
        <v>0</v>
      </c>
      <c r="X29" s="13" t="n">
        <f aca="false">+V29*W29</f>
        <v>0</v>
      </c>
      <c r="Z29" s="7" t="n">
        <f aca="false">SUM(B29,F29,J29,N29,R29,V29)</f>
        <v>0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0</v>
      </c>
      <c r="C30" s="8" t="n">
        <f aca="false">+C29</f>
        <v>0</v>
      </c>
      <c r="D30" s="13" t="n">
        <f aca="false">+B30*C30</f>
        <v>0</v>
      </c>
      <c r="F30" s="7" t="n">
        <f aca="false">+F29</f>
        <v>0</v>
      </c>
      <c r="G30" s="8" t="n">
        <f aca="false">+G29</f>
        <v>0</v>
      </c>
      <c r="H30" s="13" t="n">
        <f aca="false">+F30*G30</f>
        <v>0</v>
      </c>
      <c r="J30" s="7" t="n">
        <f aca="false">+J29</f>
        <v>0</v>
      </c>
      <c r="K30" s="8" t="n">
        <f aca="false">+K29</f>
        <v>0</v>
      </c>
      <c r="L30" s="13" t="n">
        <f aca="false">+J30*K30</f>
        <v>0</v>
      </c>
      <c r="N30" s="7" t="n">
        <f aca="false">+N29</f>
        <v>0</v>
      </c>
      <c r="O30" s="8" t="n">
        <f aca="false">+O29</f>
        <v>0</v>
      </c>
      <c r="P30" s="13" t="n">
        <f aca="false">+N30*O30</f>
        <v>0</v>
      </c>
      <c r="R30" s="7" t="n">
        <f aca="false">+R29</f>
        <v>0</v>
      </c>
      <c r="S30" s="8" t="n">
        <f aca="false">+S29</f>
        <v>0</v>
      </c>
      <c r="T30" s="13" t="n">
        <f aca="false">+R30*S30</f>
        <v>0</v>
      </c>
      <c r="V30" s="7" t="n">
        <f aca="false">+V29</f>
        <v>0</v>
      </c>
      <c r="W30" s="8" t="n">
        <f aca="false">+W29</f>
        <v>0</v>
      </c>
      <c r="X30" s="13" t="n">
        <f aca="false">+V30*W30</f>
        <v>0</v>
      </c>
      <c r="Z30" s="7" t="n">
        <f aca="false">SUM(B30,F30,J30,N30,R30,V30)</f>
        <v>0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0</v>
      </c>
      <c r="C31" s="8" t="n">
        <f aca="false">+C30</f>
        <v>0</v>
      </c>
      <c r="D31" s="13" t="n">
        <f aca="false">+B31*C31</f>
        <v>0</v>
      </c>
      <c r="F31" s="7" t="n">
        <f aca="false">+F30</f>
        <v>0</v>
      </c>
      <c r="G31" s="8" t="n">
        <f aca="false">+G30</f>
        <v>0</v>
      </c>
      <c r="H31" s="13" t="n">
        <f aca="false">+F31*G31</f>
        <v>0</v>
      </c>
      <c r="J31" s="7" t="n">
        <f aca="false">+J30</f>
        <v>0</v>
      </c>
      <c r="K31" s="8" t="n">
        <f aca="false">+K30</f>
        <v>0</v>
      </c>
      <c r="L31" s="13" t="n">
        <f aca="false">+J31*K31</f>
        <v>0</v>
      </c>
      <c r="N31" s="7" t="n">
        <f aca="false">+N30</f>
        <v>0</v>
      </c>
      <c r="O31" s="8" t="n">
        <f aca="false">+O30</f>
        <v>0</v>
      </c>
      <c r="P31" s="13" t="n">
        <f aca="false">+N31*O31</f>
        <v>0</v>
      </c>
      <c r="R31" s="7" t="n">
        <f aca="false">+R30</f>
        <v>0</v>
      </c>
      <c r="S31" s="8" t="n">
        <f aca="false">+S30</f>
        <v>0</v>
      </c>
      <c r="T31" s="13" t="n">
        <f aca="false">+R31*S31</f>
        <v>0</v>
      </c>
      <c r="V31" s="7" t="n">
        <f aca="false">+V30</f>
        <v>0</v>
      </c>
      <c r="W31" s="8" t="n">
        <f aca="false">+W30</f>
        <v>0</v>
      </c>
      <c r="X31" s="13" t="n">
        <f aca="false">+V31*W31</f>
        <v>0</v>
      </c>
      <c r="Z31" s="7" t="n">
        <f aca="false">SUM(B31,F31,J31,N31,R31,V31)</f>
        <v>0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0</v>
      </c>
      <c r="C32" s="8" t="n">
        <f aca="false">+C31</f>
        <v>0</v>
      </c>
      <c r="D32" s="13" t="n">
        <f aca="false">+B32*C32</f>
        <v>0</v>
      </c>
      <c r="F32" s="7" t="n">
        <f aca="false">+F31</f>
        <v>0</v>
      </c>
      <c r="G32" s="8" t="n">
        <f aca="false">+G31</f>
        <v>0</v>
      </c>
      <c r="H32" s="13" t="n">
        <f aca="false">+F32*G32</f>
        <v>0</v>
      </c>
      <c r="J32" s="7" t="n">
        <f aca="false">+J31</f>
        <v>0</v>
      </c>
      <c r="K32" s="8" t="n">
        <f aca="false">+K31</f>
        <v>0</v>
      </c>
      <c r="L32" s="13" t="n">
        <f aca="false">+J32*K32</f>
        <v>0</v>
      </c>
      <c r="N32" s="7" t="n">
        <f aca="false">+N31</f>
        <v>0</v>
      </c>
      <c r="O32" s="8" t="n">
        <f aca="false">+O31</f>
        <v>0</v>
      </c>
      <c r="P32" s="13" t="n">
        <f aca="false">+N32*O32</f>
        <v>0</v>
      </c>
      <c r="R32" s="7" t="n">
        <f aca="false">+R31</f>
        <v>0</v>
      </c>
      <c r="S32" s="8" t="n">
        <f aca="false">+S31</f>
        <v>0</v>
      </c>
      <c r="T32" s="13" t="n">
        <f aca="false">+R32*S32</f>
        <v>0</v>
      </c>
      <c r="V32" s="7" t="n">
        <f aca="false">+V31</f>
        <v>0</v>
      </c>
      <c r="W32" s="8" t="n">
        <f aca="false">+W31</f>
        <v>0</v>
      </c>
      <c r="X32" s="13" t="n">
        <f aca="false">+V32*W32</f>
        <v>0</v>
      </c>
      <c r="Z32" s="7" t="n">
        <f aca="false">SUM(B32,F32,J32,N32,R32,V32)</f>
        <v>0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0</v>
      </c>
      <c r="C33" s="8" t="n">
        <f aca="false">+C32</f>
        <v>0</v>
      </c>
      <c r="D33" s="13" t="n">
        <f aca="false">+B33*C33</f>
        <v>0</v>
      </c>
      <c r="F33" s="7" t="n">
        <f aca="false">+F32</f>
        <v>0</v>
      </c>
      <c r="G33" s="8" t="n">
        <f aca="false">+G32</f>
        <v>0</v>
      </c>
      <c r="H33" s="13" t="n">
        <f aca="false">+F33*G33</f>
        <v>0</v>
      </c>
      <c r="J33" s="7" t="n">
        <f aca="false">+J32</f>
        <v>0</v>
      </c>
      <c r="K33" s="8" t="n">
        <f aca="false">+K32</f>
        <v>0</v>
      </c>
      <c r="L33" s="13" t="n">
        <f aca="false">+J33*K33</f>
        <v>0</v>
      </c>
      <c r="N33" s="7" t="n">
        <f aca="false">+N32</f>
        <v>0</v>
      </c>
      <c r="O33" s="8" t="n">
        <f aca="false">+O32</f>
        <v>0</v>
      </c>
      <c r="P33" s="13" t="n">
        <f aca="false">+N33*O33</f>
        <v>0</v>
      </c>
      <c r="R33" s="7" t="n">
        <f aca="false">+R32</f>
        <v>0</v>
      </c>
      <c r="S33" s="8" t="n">
        <f aca="false">+S32</f>
        <v>0</v>
      </c>
      <c r="T33" s="13" t="n">
        <f aca="false">+R33*S33</f>
        <v>0</v>
      </c>
      <c r="V33" s="7" t="n">
        <f aca="false">+V32</f>
        <v>0</v>
      </c>
      <c r="W33" s="8" t="n">
        <f aca="false">+W32</f>
        <v>0</v>
      </c>
      <c r="X33" s="13" t="n">
        <f aca="false">+V33*W33</f>
        <v>0</v>
      </c>
      <c r="Z33" s="7" t="n">
        <f aca="false">SUM(B33,F33,J33,N33,R33,V33)</f>
        <v>0</v>
      </c>
    </row>
    <row r="34" customFormat="false" ht="12.75" hidden="false" customHeight="false" outlineLevel="0" collapsed="false">
      <c r="A34" s="11" t="n">
        <f aca="false">+A33+1</f>
        <v>29</v>
      </c>
      <c r="B34" s="7" t="n">
        <f aca="false">+B33</f>
        <v>0</v>
      </c>
      <c r="C34" s="8" t="n">
        <f aca="false">+C33</f>
        <v>0</v>
      </c>
      <c r="D34" s="13" t="n">
        <f aca="false">+B34*C34</f>
        <v>0</v>
      </c>
      <c r="F34" s="7" t="n">
        <f aca="false">+F33</f>
        <v>0</v>
      </c>
      <c r="G34" s="8" t="n">
        <f aca="false">+G33</f>
        <v>0</v>
      </c>
      <c r="H34" s="13" t="n">
        <f aca="false">+F34*G34</f>
        <v>0</v>
      </c>
      <c r="J34" s="7" t="n">
        <f aca="false">+J33</f>
        <v>0</v>
      </c>
      <c r="K34" s="8" t="n">
        <f aca="false">+K33</f>
        <v>0</v>
      </c>
      <c r="L34" s="13" t="n">
        <f aca="false">+J34*K34</f>
        <v>0</v>
      </c>
      <c r="N34" s="7" t="n">
        <f aca="false">+N33</f>
        <v>0</v>
      </c>
      <c r="O34" s="8" t="n">
        <f aca="false">+O33</f>
        <v>0</v>
      </c>
      <c r="P34" s="13" t="n">
        <f aca="false">+N34*O34</f>
        <v>0</v>
      </c>
      <c r="R34" s="7" t="n">
        <f aca="false">+R33</f>
        <v>0</v>
      </c>
      <c r="S34" s="8" t="n">
        <f aca="false">+S33</f>
        <v>0</v>
      </c>
      <c r="T34" s="13" t="n">
        <f aca="false">+R34*S34</f>
        <v>0</v>
      </c>
      <c r="V34" s="7" t="n">
        <f aca="false">+V33</f>
        <v>0</v>
      </c>
      <c r="W34" s="8" t="n">
        <f aca="false">+W33</f>
        <v>0</v>
      </c>
      <c r="X34" s="13" t="n">
        <f aca="false">+V34*W34</f>
        <v>0</v>
      </c>
      <c r="Z34" s="7" t="n">
        <f aca="false">SUM(B34,F34,J34,N34,R34,V34)</f>
        <v>0</v>
      </c>
    </row>
    <row r="35" customFormat="false" ht="12.75" hidden="false" customHeight="false" outlineLevel="0" collapsed="false">
      <c r="A35" s="11" t="n">
        <f aca="false">+A34+1</f>
        <v>30</v>
      </c>
      <c r="B35" s="7" t="n">
        <f aca="false">+B34</f>
        <v>0</v>
      </c>
      <c r="C35" s="8" t="n">
        <f aca="false">+C34</f>
        <v>0</v>
      </c>
      <c r="D35" s="13" t="n">
        <f aca="false">+B35*C35</f>
        <v>0</v>
      </c>
      <c r="F35" s="7" t="n">
        <f aca="false">+F34</f>
        <v>0</v>
      </c>
      <c r="G35" s="8" t="n">
        <f aca="false">+G34</f>
        <v>0</v>
      </c>
      <c r="H35" s="13" t="n">
        <f aca="false">+F35*G35</f>
        <v>0</v>
      </c>
      <c r="J35" s="7" t="n">
        <f aca="false">+J34</f>
        <v>0</v>
      </c>
      <c r="K35" s="8" t="n">
        <f aca="false">+K34</f>
        <v>0</v>
      </c>
      <c r="L35" s="13" t="n">
        <f aca="false">+J35*K35</f>
        <v>0</v>
      </c>
      <c r="N35" s="7" t="n">
        <f aca="false">+N34</f>
        <v>0</v>
      </c>
      <c r="O35" s="8" t="n">
        <f aca="false">+O34</f>
        <v>0</v>
      </c>
      <c r="P35" s="13" t="n">
        <f aca="false">+N35*O35</f>
        <v>0</v>
      </c>
      <c r="R35" s="7" t="n">
        <f aca="false">+R34</f>
        <v>0</v>
      </c>
      <c r="S35" s="8" t="n">
        <f aca="false">+S34</f>
        <v>0</v>
      </c>
      <c r="T35" s="13" t="n">
        <f aca="false">+R35*S35</f>
        <v>0</v>
      </c>
      <c r="V35" s="7" t="n">
        <f aca="false">+V34</f>
        <v>0</v>
      </c>
      <c r="W35" s="8" t="n">
        <f aca="false">+W34</f>
        <v>0</v>
      </c>
      <c r="X35" s="13" t="n">
        <f aca="false">+V35*W35</f>
        <v>0</v>
      </c>
      <c r="Z35" s="7" t="n">
        <f aca="false">SUM(B35,F35,J35,N35,R35,V35)</f>
        <v>0</v>
      </c>
    </row>
    <row r="36" customFormat="false" ht="12.75" hidden="false" customHeight="false" outlineLevel="0" collapsed="false">
      <c r="A36" s="11" t="n">
        <v>31</v>
      </c>
      <c r="B36" s="7" t="n">
        <f aca="false">+B35</f>
        <v>0</v>
      </c>
      <c r="C36" s="8" t="n">
        <f aca="false">+C35</f>
        <v>0</v>
      </c>
      <c r="D36" s="13" t="n">
        <f aca="false">+B36*C36</f>
        <v>0</v>
      </c>
      <c r="F36" s="7" t="n">
        <f aca="false">+F35</f>
        <v>0</v>
      </c>
      <c r="G36" s="8" t="n">
        <f aca="false">+G35</f>
        <v>0</v>
      </c>
      <c r="H36" s="13" t="n">
        <f aca="false">+F36*G36</f>
        <v>0</v>
      </c>
      <c r="J36" s="7" t="n">
        <f aca="false">+J35</f>
        <v>0</v>
      </c>
      <c r="K36" s="8" t="n">
        <f aca="false">+K35</f>
        <v>0</v>
      </c>
      <c r="L36" s="13" t="n">
        <f aca="false">+J36*K36</f>
        <v>0</v>
      </c>
      <c r="N36" s="7" t="n">
        <f aca="false">+N35</f>
        <v>0</v>
      </c>
      <c r="O36" s="8" t="n">
        <f aca="false">+O35</f>
        <v>0</v>
      </c>
      <c r="P36" s="13" t="n">
        <f aca="false">+N36*O36</f>
        <v>0</v>
      </c>
      <c r="R36" s="7" t="n">
        <f aca="false">+R35</f>
        <v>0</v>
      </c>
      <c r="S36" s="8" t="n">
        <f aca="false">+S35</f>
        <v>0</v>
      </c>
      <c r="T36" s="13" t="n">
        <f aca="false">+R36*S36</f>
        <v>0</v>
      </c>
      <c r="V36" s="7" t="n">
        <f aca="false">+V35</f>
        <v>0</v>
      </c>
      <c r="W36" s="8" t="n">
        <f aca="false">+W35</f>
        <v>0</v>
      </c>
      <c r="X36" s="13" t="n">
        <f aca="false">+V36*W36</f>
        <v>0</v>
      </c>
      <c r="Z36" s="7" t="n">
        <f aca="false">SUM(B36,F36,J36,N36,R36,V36)</f>
        <v>0</v>
      </c>
    </row>
    <row r="37" customFormat="false" ht="12.75" hidden="false" customHeight="false" outlineLevel="0" collapsed="false">
      <c r="A37" s="11"/>
    </row>
    <row r="38" customFormat="false" ht="12.75" hidden="false" customHeight="false" outlineLevel="0" collapsed="false">
      <c r="A38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3" min="2" style="6" width="10.99"/>
    <col collapsed="false" customWidth="true" hidden="false" outlineLevel="0" max="4" min="4" style="6" width="4.7"/>
    <col collapsed="false" customWidth="true" hidden="false" outlineLevel="0" max="5" min="5" style="6" width="12.85"/>
    <col collapsed="false" customWidth="true" hidden="false" outlineLevel="0" max="9" min="6" style="6" width="10.41"/>
    <col collapsed="false" customWidth="true" hidden="false" outlineLevel="0" max="10" min="10" style="6" width="3.28"/>
    <col collapsed="false" customWidth="true" hidden="false" outlineLevel="0" max="11" min="11" style="6" width="12.85"/>
    <col collapsed="false" customWidth="false" hidden="false" outlineLevel="0" max="12" min="12" style="6" width="9.14"/>
    <col collapsed="false" customWidth="true" hidden="false" outlineLevel="0" max="13" min="13" style="6" width="10.99"/>
    <col collapsed="false" customWidth="true" hidden="false" outlineLevel="0" max="15" min="14" style="6" width="12.85"/>
    <col collapsed="false" customWidth="true" hidden="false" outlineLevel="0" max="16" min="16" style="6" width="10.28"/>
    <col collapsed="false" customWidth="true" hidden="false" outlineLevel="0" max="17" min="17" style="6" width="3.56"/>
    <col collapsed="false" customWidth="true" hidden="false" outlineLevel="0" max="18" min="18" style="6" width="10.28"/>
    <col collapsed="false" customWidth="true" hidden="false" outlineLevel="0" max="19" min="19" style="6" width="3.56"/>
    <col collapsed="false" customWidth="true" hidden="false" outlineLevel="0" max="20" min="20" style="6" width="12.99"/>
    <col collapsed="false" customWidth="true" hidden="false" outlineLevel="0" max="21" min="21" style="6" width="3.56"/>
    <col collapsed="false" customWidth="true" hidden="false" outlineLevel="0" max="22" min="22" style="6" width="14.41"/>
    <col collapsed="false" customWidth="true" hidden="false" outlineLevel="0" max="23" min="23" style="6" width="3.56"/>
    <col collapsed="false" customWidth="true" hidden="false" outlineLevel="0" max="24" min="24" style="14" width="13.85"/>
    <col collapsed="false" customWidth="false" hidden="false" outlineLevel="0" max="34" min="25" style="6" width="9.14"/>
    <col collapsed="false" customWidth="true" hidden="false" outlineLevel="0" max="35" min="35" style="6" width="11.85"/>
    <col collapsed="false" customWidth="false" hidden="false" outlineLevel="0" max="257" min="36" style="6" width="9.14"/>
  </cols>
  <sheetData>
    <row r="2" customFormat="false" ht="12.75" hidden="false" customHeight="false" outlineLevel="0" collapsed="false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5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2.75" hidden="false" customHeight="false" outlineLevel="0" collapsed="false">
      <c r="A3" s="11"/>
      <c r="B3" s="11" t="s">
        <v>48</v>
      </c>
      <c r="C3" s="11" t="s">
        <v>52</v>
      </c>
      <c r="D3" s="11"/>
      <c r="E3" s="16" t="n">
        <v>456379</v>
      </c>
      <c r="F3" s="11"/>
      <c r="G3" s="11"/>
      <c r="H3" s="11"/>
      <c r="I3" s="11"/>
      <c r="J3" s="11"/>
      <c r="K3" s="11" t="s">
        <v>53</v>
      </c>
      <c r="L3" s="11"/>
      <c r="M3" s="11"/>
      <c r="N3" s="11"/>
      <c r="O3" s="11"/>
      <c r="P3" s="11"/>
      <c r="Q3" s="11"/>
      <c r="R3" s="11" t="s">
        <v>54</v>
      </c>
      <c r="S3" s="11"/>
      <c r="T3" s="11"/>
      <c r="V3" s="11" t="s">
        <v>55</v>
      </c>
      <c r="X3" s="15"/>
      <c r="Y3" s="6" t="s">
        <v>56</v>
      </c>
    </row>
    <row r="4" customFormat="false" ht="12.75" hidden="false" customHeight="false" outlineLevel="0" collapsed="false">
      <c r="A4" s="11"/>
      <c r="B4" s="11" t="s">
        <v>57</v>
      </c>
      <c r="C4" s="11" t="s">
        <v>57</v>
      </c>
      <c r="D4" s="11"/>
      <c r="E4" s="17" t="s">
        <v>58</v>
      </c>
      <c r="F4" s="18" t="s">
        <v>58</v>
      </c>
      <c r="G4" s="11"/>
      <c r="H4" s="11" t="s">
        <v>59</v>
      </c>
      <c r="I4" s="11" t="s">
        <v>60</v>
      </c>
      <c r="J4" s="11"/>
      <c r="K4" s="11" t="s">
        <v>61</v>
      </c>
      <c r="L4" s="11"/>
      <c r="M4" s="11"/>
      <c r="N4" s="11"/>
      <c r="O4" s="11"/>
      <c r="P4" s="11" t="s">
        <v>62</v>
      </c>
      <c r="Q4" s="11"/>
      <c r="R4" s="11" t="s">
        <v>63</v>
      </c>
      <c r="S4" s="11"/>
      <c r="T4" s="11" t="s">
        <v>64</v>
      </c>
      <c r="V4" s="11" t="s">
        <v>65</v>
      </c>
      <c r="X4" s="15"/>
      <c r="Y4" s="6" t="s">
        <v>48</v>
      </c>
      <c r="AA4" s="6" t="s">
        <v>66</v>
      </c>
    </row>
    <row r="5" customFormat="false" ht="12.75" hidden="false" customHeight="false" outlineLevel="0" collapsed="false">
      <c r="A5" s="11"/>
      <c r="B5" s="16" t="n">
        <v>597193</v>
      </c>
      <c r="C5" s="16" t="n">
        <v>597332</v>
      </c>
      <c r="D5" s="11"/>
      <c r="E5" s="19" t="s">
        <v>67</v>
      </c>
      <c r="F5" s="20" t="s">
        <v>44</v>
      </c>
      <c r="G5" s="11"/>
      <c r="H5" s="11" t="s">
        <v>68</v>
      </c>
      <c r="I5" s="11" t="s">
        <v>68</v>
      </c>
      <c r="J5" s="11"/>
      <c r="K5" s="11" t="s">
        <v>69</v>
      </c>
      <c r="L5" s="11"/>
      <c r="M5" s="11" t="s">
        <v>70</v>
      </c>
      <c r="N5" s="11" t="s">
        <v>71</v>
      </c>
      <c r="O5" s="11" t="s">
        <v>72</v>
      </c>
      <c r="P5" s="21" t="s">
        <v>70</v>
      </c>
      <c r="Q5" s="11"/>
      <c r="R5" s="22" t="n">
        <f aca="false">+B5</f>
        <v>597193</v>
      </c>
      <c r="S5" s="11"/>
      <c r="T5" s="11" t="s">
        <v>73</v>
      </c>
      <c r="V5" s="11" t="s">
        <v>74</v>
      </c>
      <c r="X5" s="15" t="s">
        <v>75</v>
      </c>
      <c r="Y5" s="6" t="s">
        <v>45</v>
      </c>
      <c r="AA5" s="6" t="s">
        <v>76</v>
      </c>
      <c r="AB5" s="6" t="s">
        <v>32</v>
      </c>
      <c r="AC5" s="6" t="s">
        <v>77</v>
      </c>
    </row>
    <row r="6" customFormat="false" ht="12.75" hidden="false" customHeight="false" outlineLevel="0" collapsed="false">
      <c r="A6" s="23" t="n">
        <v>1</v>
      </c>
      <c r="B6" s="23" t="n">
        <v>72496</v>
      </c>
      <c r="C6" s="23" t="n">
        <v>21066</v>
      </c>
      <c r="D6" s="23"/>
      <c r="E6" s="23" t="n">
        <v>51899</v>
      </c>
      <c r="F6" s="23" t="n">
        <f aca="false">ROUND(+E6*(1-0.02184),0)</f>
        <v>50766</v>
      </c>
      <c r="G6" s="23"/>
      <c r="H6" s="23" t="n">
        <v>140099</v>
      </c>
      <c r="I6" s="23" t="n">
        <f aca="false">IF(B6-H6&gt;0,+B6-H6,0)</f>
        <v>0</v>
      </c>
      <c r="J6" s="23"/>
      <c r="K6" s="23" t="n">
        <f aca="false">+B6+C6-F6</f>
        <v>42796</v>
      </c>
      <c r="L6" s="23"/>
      <c r="M6" s="23" t="n">
        <v>25038</v>
      </c>
      <c r="N6" s="23" t="n">
        <f aca="false">SUM('3rd Party Deals'!S6)</f>
        <v>17222</v>
      </c>
      <c r="O6" s="23" t="n">
        <f aca="false">SUM('Spot wENA'!Z6)</f>
        <v>0</v>
      </c>
      <c r="P6" s="23" t="n">
        <f aca="false">SUM(M6:O6)</f>
        <v>42260</v>
      </c>
      <c r="Q6" s="23"/>
      <c r="R6" s="23" t="n">
        <f aca="false">IF(T6&gt;0,+B6-T6,0)</f>
        <v>71960</v>
      </c>
      <c r="S6" s="23"/>
      <c r="T6" s="23" t="n">
        <f aca="false">IF(K6-P6&gt;0,K6-P6,0)</f>
        <v>536</v>
      </c>
      <c r="U6" s="24"/>
      <c r="V6" s="23" t="n">
        <f aca="false">IF(P6-K6&gt;0,P6-K6,0)</f>
        <v>0</v>
      </c>
      <c r="W6" s="24"/>
      <c r="X6" s="25" t="n">
        <v>6.095</v>
      </c>
      <c r="Y6" s="25" t="n">
        <f aca="false">ROUND((+X6+0.01)/(1-0.02184)+0.0227,2)</f>
        <v>6.26</v>
      </c>
      <c r="Z6" s="24"/>
      <c r="AA6" s="24" t="n">
        <v>50765</v>
      </c>
      <c r="AB6" s="24" t="n">
        <v>7282</v>
      </c>
      <c r="AC6" s="24" t="s">
        <v>78</v>
      </c>
      <c r="AD6" s="24"/>
      <c r="AE6" s="24" t="n">
        <f aca="false">+F6-AA6</f>
        <v>1</v>
      </c>
      <c r="AF6" s="24" t="e">
        <f aca="false">+T6-AC6</f>
        <v>#VALUE!</v>
      </c>
      <c r="AG6" s="24"/>
      <c r="AH6" s="24" t="n">
        <f aca="false">10.8-Y6</f>
        <v>4.54</v>
      </c>
      <c r="AI6" s="26" t="n">
        <f aca="false">+AH6*T6</f>
        <v>2433.44</v>
      </c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3" t="n">
        <f aca="false">+A6+1</f>
        <v>2</v>
      </c>
      <c r="B7" s="23" t="n">
        <v>104663</v>
      </c>
      <c r="C7" s="23" t="n">
        <f aca="false">+C6</f>
        <v>21066</v>
      </c>
      <c r="D7" s="23"/>
      <c r="E7" s="23" t="n">
        <v>84751</v>
      </c>
      <c r="F7" s="23" t="n">
        <f aca="false">ROUND(+E7*(1-0.02184),0)</f>
        <v>82900</v>
      </c>
      <c r="G7" s="23"/>
      <c r="H7" s="23" t="n">
        <f aca="false">+H6</f>
        <v>140099</v>
      </c>
      <c r="I7" s="23" t="n">
        <f aca="false">IF(B7-H7&gt;0,+B7-H7,0)</f>
        <v>0</v>
      </c>
      <c r="J7" s="23"/>
      <c r="K7" s="23" t="n">
        <f aca="false">+B7+C7-F7</f>
        <v>42829</v>
      </c>
      <c r="L7" s="23"/>
      <c r="M7" s="23" t="n">
        <f aca="false">+M6</f>
        <v>25038</v>
      </c>
      <c r="N7" s="23" t="n">
        <f aca="false">SUM('3rd Party Deals'!S7)</f>
        <v>17222</v>
      </c>
      <c r="O7" s="23" t="n">
        <f aca="false">SUM('Spot wENA'!Z7)</f>
        <v>0</v>
      </c>
      <c r="P7" s="23" t="n">
        <f aca="false">SUM(M7:O7)</f>
        <v>42260</v>
      </c>
      <c r="Q7" s="23"/>
      <c r="R7" s="23" t="n">
        <f aca="false">IF(T7&gt;0,+B7-T7,0)</f>
        <v>104094</v>
      </c>
      <c r="S7" s="23"/>
      <c r="T7" s="23" t="n">
        <f aca="false">IF(K7-P7&gt;0,K7-P7,0)</f>
        <v>569</v>
      </c>
      <c r="U7" s="24"/>
      <c r="V7" s="23" t="n">
        <f aca="false">IF(P7-K7&gt;0,P7-K7,0)</f>
        <v>0</v>
      </c>
      <c r="W7" s="24"/>
      <c r="X7" s="25" t="n">
        <v>6.13</v>
      </c>
      <c r="Y7" s="25" t="n">
        <f aca="false">ROUND((+X7+0.01)/(1-0.02184)+0.0227,2)</f>
        <v>6.3</v>
      </c>
      <c r="Z7" s="24"/>
      <c r="AA7" s="24" t="n">
        <v>82932</v>
      </c>
      <c r="AB7" s="24" t="n">
        <v>7282</v>
      </c>
      <c r="AC7" s="24" t="n">
        <v>-566</v>
      </c>
      <c r="AD7" s="24"/>
      <c r="AE7" s="24" t="n">
        <f aca="false">+F7-AA7</f>
        <v>-32</v>
      </c>
      <c r="AF7" s="24" t="n">
        <f aca="false">+T7-AC7</f>
        <v>1135</v>
      </c>
      <c r="AG7" s="24"/>
      <c r="AH7" s="24" t="n">
        <f aca="false">10.8-Y7</f>
        <v>4.5</v>
      </c>
      <c r="AI7" s="26" t="n">
        <f aca="false">+AH7*T7</f>
        <v>2560.5</v>
      </c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3" t="n">
        <f aca="false">+A7+1</f>
        <v>3</v>
      </c>
      <c r="B8" s="23" t="n">
        <v>83817</v>
      </c>
      <c r="C8" s="23" t="n">
        <f aca="false">+C7</f>
        <v>21066</v>
      </c>
      <c r="D8" s="23"/>
      <c r="E8" s="23" t="n">
        <v>63472</v>
      </c>
      <c r="F8" s="23" t="n">
        <f aca="false">ROUND(+E8*(1-0.02184),0)</f>
        <v>62086</v>
      </c>
      <c r="G8" s="23"/>
      <c r="H8" s="23" t="n">
        <f aca="false">+H7</f>
        <v>140099</v>
      </c>
      <c r="I8" s="23" t="n">
        <f aca="false">IF(B8-H8&gt;0,+B8-H8,0)</f>
        <v>0</v>
      </c>
      <c r="J8" s="23"/>
      <c r="K8" s="23" t="n">
        <f aca="false">+B8+C8-F8</f>
        <v>42797</v>
      </c>
      <c r="L8" s="23"/>
      <c r="M8" s="23" t="n">
        <f aca="false">+M7</f>
        <v>25038</v>
      </c>
      <c r="N8" s="23" t="n">
        <f aca="false">SUM('3rd Party Deals'!S8)</f>
        <v>17222</v>
      </c>
      <c r="O8" s="23" t="n">
        <f aca="false">SUM('Spot wENA'!Z8)</f>
        <v>0</v>
      </c>
      <c r="P8" s="23" t="n">
        <f aca="false">SUM(M8:O8)</f>
        <v>42260</v>
      </c>
      <c r="Q8" s="23"/>
      <c r="R8" s="23" t="n">
        <f aca="false">IF(T8&gt;0,+B8-T8,0)</f>
        <v>83280</v>
      </c>
      <c r="S8" s="23"/>
      <c r="T8" s="23" t="n">
        <f aca="false">IF(K8-P8&gt;0,K8-P8,0)</f>
        <v>537</v>
      </c>
      <c r="U8" s="24"/>
      <c r="V8" s="23" t="n">
        <f aca="false">IF(P8-K8&gt;0,P8-K8,0)</f>
        <v>0</v>
      </c>
      <c r="W8" s="24"/>
      <c r="X8" s="25" t="n">
        <v>6.885</v>
      </c>
      <c r="Y8" s="25" t="n">
        <f aca="false">ROUND((+X8+0.01)/(1-0.02184)+0.0227,2)</f>
        <v>7.07</v>
      </c>
      <c r="Z8" s="24"/>
      <c r="AA8" s="24" t="n">
        <v>62086</v>
      </c>
      <c r="AB8" s="24" t="n">
        <v>7282</v>
      </c>
      <c r="AC8" s="24" t="n">
        <v>-566</v>
      </c>
      <c r="AD8" s="24"/>
      <c r="AE8" s="24" t="n">
        <f aca="false">+F8-AA8</f>
        <v>0</v>
      </c>
      <c r="AF8" s="24" t="n">
        <f aca="false">+T8-AC8</f>
        <v>1103</v>
      </c>
      <c r="AG8" s="24"/>
      <c r="AH8" s="24" t="n">
        <f aca="false">10.8-Y8</f>
        <v>3.73</v>
      </c>
      <c r="AI8" s="26" t="n">
        <f aca="false">+AH8*T8</f>
        <v>2003.01</v>
      </c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3" t="n">
        <f aca="false">+A8+1</f>
        <v>4</v>
      </c>
      <c r="B9" s="23" t="n">
        <v>59870</v>
      </c>
      <c r="C9" s="23" t="n">
        <f aca="false">+C8</f>
        <v>21066</v>
      </c>
      <c r="D9" s="23"/>
      <c r="E9" s="23" t="n">
        <v>38991</v>
      </c>
      <c r="F9" s="23" t="n">
        <f aca="false">ROUND(+E9*(1-0.02184),0)</f>
        <v>38139</v>
      </c>
      <c r="G9" s="23"/>
      <c r="H9" s="23" t="n">
        <f aca="false">+H8</f>
        <v>140099</v>
      </c>
      <c r="I9" s="23" t="n">
        <f aca="false">IF(B9-H9&gt;0,+B9-H9,0)</f>
        <v>0</v>
      </c>
      <c r="J9" s="23"/>
      <c r="K9" s="23" t="n">
        <f aca="false">+B9+C9-F9</f>
        <v>42797</v>
      </c>
      <c r="L9" s="23"/>
      <c r="M9" s="23" t="n">
        <f aca="false">+M8</f>
        <v>25038</v>
      </c>
      <c r="N9" s="23" t="n">
        <f aca="false">SUM('3rd Party Deals'!S9)</f>
        <v>17222</v>
      </c>
      <c r="O9" s="23" t="n">
        <f aca="false">SUM('Spot wENA'!Z9)</f>
        <v>0</v>
      </c>
      <c r="P9" s="23" t="n">
        <f aca="false">SUM(M9:O9)</f>
        <v>42260</v>
      </c>
      <c r="Q9" s="23"/>
      <c r="R9" s="23" t="n">
        <f aca="false">IF(T9&gt;0,+B9-T9,0)</f>
        <v>59333</v>
      </c>
      <c r="S9" s="23"/>
      <c r="T9" s="23" t="n">
        <f aca="false">IF(K9-P9&gt;0,K9-P9,0)</f>
        <v>537</v>
      </c>
      <c r="U9" s="24"/>
      <c r="V9" s="23" t="n">
        <f aca="false">IF(P9-K9&gt;0,P9-K9,0)</f>
        <v>0</v>
      </c>
      <c r="W9" s="24"/>
      <c r="X9" s="25" t="n">
        <v>6.885</v>
      </c>
      <c r="Y9" s="25" t="n">
        <f aca="false">ROUND((+X9+0.01)/(1-0.02184)+0.0227,2)</f>
        <v>7.07</v>
      </c>
      <c r="Z9" s="24"/>
      <c r="AA9" s="24" t="n">
        <v>38139</v>
      </c>
      <c r="AB9" s="24" t="n">
        <v>7282</v>
      </c>
      <c r="AC9" s="24" t="n">
        <v>-566</v>
      </c>
      <c r="AD9" s="24"/>
      <c r="AE9" s="24" t="n">
        <f aca="false">+F9-AA9</f>
        <v>0</v>
      </c>
      <c r="AF9" s="24" t="n">
        <f aca="false">+T9-AC9</f>
        <v>1103</v>
      </c>
      <c r="AG9" s="24"/>
      <c r="AH9" s="24" t="n">
        <f aca="false">10.8-Y9</f>
        <v>3.73</v>
      </c>
      <c r="AI9" s="26" t="n">
        <f aca="false">+AH9*T9</f>
        <v>2003.01</v>
      </c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3" t="n">
        <f aca="false">+A9+1</f>
        <v>5</v>
      </c>
      <c r="B10" s="23" t="n">
        <v>67399</v>
      </c>
      <c r="C10" s="23" t="n">
        <f aca="false">+C9</f>
        <v>21066</v>
      </c>
      <c r="D10" s="23"/>
      <c r="E10" s="23" t="n">
        <v>46688</v>
      </c>
      <c r="F10" s="23" t="n">
        <f aca="false">ROUND(+E10*(1-0.02184),0)</f>
        <v>45668</v>
      </c>
      <c r="G10" s="23"/>
      <c r="H10" s="23" t="n">
        <f aca="false">+H9</f>
        <v>140099</v>
      </c>
      <c r="I10" s="23" t="n">
        <f aca="false">IF(B10-H10&gt;0,+B10-H10,0)</f>
        <v>0</v>
      </c>
      <c r="J10" s="23"/>
      <c r="K10" s="23" t="n">
        <f aca="false">+B10+C10-F10</f>
        <v>42797</v>
      </c>
      <c r="L10" s="23"/>
      <c r="M10" s="23" t="n">
        <f aca="false">+M9</f>
        <v>25038</v>
      </c>
      <c r="N10" s="23" t="n">
        <f aca="false">SUM('3rd Party Deals'!S10)</f>
        <v>17222</v>
      </c>
      <c r="O10" s="23" t="n">
        <f aca="false">SUM('Spot wENA'!Z10)</f>
        <v>0</v>
      </c>
      <c r="P10" s="23" t="n">
        <f aca="false">SUM(M10:O10)</f>
        <v>42260</v>
      </c>
      <c r="Q10" s="23"/>
      <c r="R10" s="23" t="n">
        <f aca="false">IF(T10&gt;0,+B10-T10,0)</f>
        <v>66862</v>
      </c>
      <c r="S10" s="23"/>
      <c r="T10" s="23" t="n">
        <f aca="false">IF(K10-P10&gt;0,K10-P10,0)</f>
        <v>537</v>
      </c>
      <c r="U10" s="24"/>
      <c r="V10" s="23" t="n">
        <f aca="false">IF(P10-K10&gt;0,P10-K10,0)</f>
        <v>0</v>
      </c>
      <c r="W10" s="24"/>
      <c r="X10" s="25" t="n">
        <v>6.885</v>
      </c>
      <c r="Y10" s="25" t="n">
        <f aca="false">ROUND((+X10+0.01)/(1-0.02184)+0.0227,2)</f>
        <v>7.07</v>
      </c>
      <c r="Z10" s="24"/>
      <c r="AA10" s="24" t="n">
        <v>45668</v>
      </c>
      <c r="AB10" s="24" t="n">
        <v>7282</v>
      </c>
      <c r="AC10" s="24" t="n">
        <v>-566</v>
      </c>
      <c r="AD10" s="24"/>
      <c r="AE10" s="24" t="n">
        <f aca="false">+F10-AA10</f>
        <v>0</v>
      </c>
      <c r="AF10" s="24" t="n">
        <f aca="false">+T10-AC10</f>
        <v>1103</v>
      </c>
      <c r="AG10" s="24"/>
      <c r="AH10" s="24" t="n">
        <f aca="false">10.8-Y10</f>
        <v>3.73</v>
      </c>
      <c r="AI10" s="26" t="n">
        <f aca="false">+AH10*T10</f>
        <v>2003.01</v>
      </c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3" t="n">
        <f aca="false">+A10+1</f>
        <v>6</v>
      </c>
      <c r="B11" s="23" t="n">
        <v>76710</v>
      </c>
      <c r="C11" s="23" t="n">
        <f aca="false">+C10</f>
        <v>21066</v>
      </c>
      <c r="D11" s="23"/>
      <c r="E11" s="23" t="n">
        <v>56207</v>
      </c>
      <c r="F11" s="23" t="n">
        <f aca="false">ROUND(+E11*(1-0.02184),0)</f>
        <v>54979</v>
      </c>
      <c r="G11" s="23"/>
      <c r="H11" s="23" t="n">
        <f aca="false">+H10</f>
        <v>140099</v>
      </c>
      <c r="I11" s="23" t="n">
        <f aca="false">IF(B11-H11&gt;0,+B11-H11,0)</f>
        <v>0</v>
      </c>
      <c r="J11" s="23"/>
      <c r="K11" s="23" t="n">
        <f aca="false">+B11+C11-F11</f>
        <v>42797</v>
      </c>
      <c r="L11" s="23"/>
      <c r="M11" s="23" t="n">
        <f aca="false">+M10</f>
        <v>25038</v>
      </c>
      <c r="N11" s="23" t="n">
        <f aca="false">SUM('3rd Party Deals'!S11)</f>
        <v>17222</v>
      </c>
      <c r="O11" s="23" t="n">
        <f aca="false">SUM('Spot wENA'!Z11)</f>
        <v>0</v>
      </c>
      <c r="P11" s="23" t="n">
        <f aca="false">SUM(M11:O11)</f>
        <v>42260</v>
      </c>
      <c r="Q11" s="23"/>
      <c r="R11" s="23" t="n">
        <f aca="false">IF(T11&gt;0,+B11-T11,0)</f>
        <v>76173</v>
      </c>
      <c r="S11" s="23"/>
      <c r="T11" s="23" t="n">
        <f aca="false">IF(K11-P11&gt;0,K11-P11,0)</f>
        <v>537</v>
      </c>
      <c r="U11" s="24"/>
      <c r="V11" s="23" t="n">
        <f aca="false">IF(P11-K11&gt;0,P11-K11,0)</f>
        <v>0</v>
      </c>
      <c r="W11" s="24"/>
      <c r="X11" s="25" t="n">
        <v>6.1</v>
      </c>
      <c r="Y11" s="25" t="n">
        <f aca="false">ROUND((+X11+0.01)/(1-0.02184)+0.0227,2)</f>
        <v>6.27</v>
      </c>
      <c r="Z11" s="24"/>
      <c r="AA11" s="24" t="n">
        <v>54979</v>
      </c>
      <c r="AB11" s="24" t="n">
        <v>7282</v>
      </c>
      <c r="AC11" s="24" t="n">
        <v>-566</v>
      </c>
      <c r="AD11" s="24"/>
      <c r="AE11" s="24" t="n">
        <f aca="false">+F11-AA11</f>
        <v>0</v>
      </c>
      <c r="AF11" s="24" t="n">
        <f aca="false">+T11-AC11</f>
        <v>1103</v>
      </c>
      <c r="AG11" s="24"/>
      <c r="AH11" s="24" t="n">
        <f aca="false">10.8-Y11</f>
        <v>4.53</v>
      </c>
      <c r="AI11" s="26" t="n">
        <f aca="false">+AH11*T11</f>
        <v>2432.61</v>
      </c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11" t="n">
        <f aca="false">+A11+1</f>
        <v>7</v>
      </c>
      <c r="B12" s="11" t="n">
        <v>79906</v>
      </c>
      <c r="C12" s="11" t="n">
        <f aca="false">+C11</f>
        <v>21066</v>
      </c>
      <c r="D12" s="11"/>
      <c r="E12" s="11" t="n">
        <v>59476</v>
      </c>
      <c r="F12" s="11" t="n">
        <f aca="false">ROUND(+E12*(1-0.02184),0)</f>
        <v>58177</v>
      </c>
      <c r="G12" s="11"/>
      <c r="H12" s="11" t="n">
        <f aca="false">+H11</f>
        <v>140099</v>
      </c>
      <c r="I12" s="11" t="n">
        <f aca="false">IF(B12-H12&gt;0,+B12-H12,0)</f>
        <v>0</v>
      </c>
      <c r="J12" s="11"/>
      <c r="K12" s="11" t="n">
        <f aca="false">+B12+C12-F12</f>
        <v>42795</v>
      </c>
      <c r="L12" s="11"/>
      <c r="M12" s="11" t="n">
        <f aca="false">+M11</f>
        <v>25038</v>
      </c>
      <c r="N12" s="11" t="n">
        <f aca="false">SUM('3rd Party Deals'!S12)</f>
        <v>17222</v>
      </c>
      <c r="O12" s="11" t="n">
        <f aca="false">SUM('Spot wENA'!Z12)</f>
        <v>0</v>
      </c>
      <c r="P12" s="11" t="n">
        <f aca="false">SUM(M12:O12)</f>
        <v>42260</v>
      </c>
      <c r="Q12" s="11"/>
      <c r="R12" s="11" t="n">
        <f aca="false">IF(T12&gt;0,+B12-T12,0)</f>
        <v>79371</v>
      </c>
      <c r="S12" s="11"/>
      <c r="T12" s="11" t="n">
        <f aca="false">IF(K12-P12&gt;0,K12-P12,0)</f>
        <v>535</v>
      </c>
      <c r="V12" s="11" t="n">
        <f aca="false">IF(P12-K12&gt;0,P12-K12,0)</f>
        <v>0</v>
      </c>
      <c r="X12" s="27" t="n">
        <v>5.855</v>
      </c>
      <c r="Y12" s="27" t="n">
        <f aca="false">ROUND((+X12+0.01)/(1-0.02184)+0.0227,2)</f>
        <v>6.02</v>
      </c>
      <c r="AE12" s="6" t="n">
        <f aca="false">+F12-AA12</f>
        <v>58177</v>
      </c>
      <c r="AF12" s="6" t="n">
        <f aca="false">+T12-AC12</f>
        <v>535</v>
      </c>
      <c r="AH12" s="6" t="n">
        <f aca="false">10.8-Y12</f>
        <v>4.78</v>
      </c>
      <c r="AI12" s="28" t="n">
        <f aca="false">+AH12*T12</f>
        <v>2557.3</v>
      </c>
    </row>
    <row r="13" customFormat="false" ht="12.75" hidden="false" customHeight="false" outlineLevel="0" collapsed="false">
      <c r="A13" s="11" t="n">
        <f aca="false">+A12+1</f>
        <v>8</v>
      </c>
      <c r="B13" s="11" t="n">
        <f aca="false">+B12</f>
        <v>79906</v>
      </c>
      <c r="C13" s="11" t="n">
        <f aca="false">+C12</f>
        <v>21066</v>
      </c>
      <c r="D13" s="11"/>
      <c r="E13" s="11" t="n">
        <f aca="false">+E12</f>
        <v>59476</v>
      </c>
      <c r="F13" s="11" t="n">
        <f aca="false">ROUND(+E13*(1-0.02184),0)</f>
        <v>58177</v>
      </c>
      <c r="G13" s="11"/>
      <c r="H13" s="11" t="n">
        <f aca="false">+H12</f>
        <v>140099</v>
      </c>
      <c r="I13" s="11" t="n">
        <f aca="false">IF(B13-H13&gt;0,+B13-H13,0)</f>
        <v>0</v>
      </c>
      <c r="J13" s="11"/>
      <c r="K13" s="11" t="n">
        <f aca="false">+B13+C13-F13</f>
        <v>42795</v>
      </c>
      <c r="L13" s="11"/>
      <c r="M13" s="11" t="n">
        <f aca="false">+M12</f>
        <v>25038</v>
      </c>
      <c r="N13" s="11" t="n">
        <f aca="false">SUM('3rd Party Deals'!S13)</f>
        <v>17222</v>
      </c>
      <c r="O13" s="11" t="n">
        <f aca="false">SUM('Spot wENA'!Z13)</f>
        <v>0</v>
      </c>
      <c r="P13" s="11" t="n">
        <f aca="false">SUM(M13:O13)</f>
        <v>42260</v>
      </c>
      <c r="Q13" s="11"/>
      <c r="R13" s="11" t="n">
        <f aca="false">IF(T13&gt;0,+B13-T13,0)</f>
        <v>79371</v>
      </c>
      <c r="S13" s="11"/>
      <c r="T13" s="11" t="n">
        <f aca="false">IF(K13-P13&gt;0,K13-P13,0)</f>
        <v>535</v>
      </c>
      <c r="V13" s="11" t="n">
        <f aca="false">IF(P13-K13&gt;0,P13-K13,0)</f>
        <v>0</v>
      </c>
      <c r="X13" s="27"/>
      <c r="Y13" s="27" t="n">
        <f aca="false">ROUND((+X13+0.01)/(1-0.02184)+0.0227,2)</f>
        <v>0.03</v>
      </c>
      <c r="AE13" s="6" t="n">
        <f aca="false">+F13-AA13</f>
        <v>58177</v>
      </c>
      <c r="AF13" s="6" t="n">
        <f aca="false">+T13-AC13</f>
        <v>535</v>
      </c>
      <c r="AH13" s="6" t="n">
        <f aca="false">10.8-Y13</f>
        <v>10.77</v>
      </c>
      <c r="AI13" s="28" t="n">
        <f aca="false">+AH13*T13</f>
        <v>5761.95</v>
      </c>
    </row>
    <row r="14" customFormat="false" ht="12.75" hidden="false" customHeight="false" outlineLevel="0" collapsed="false">
      <c r="A14" s="11" t="n">
        <f aca="false">+A13+1</f>
        <v>9</v>
      </c>
      <c r="B14" s="11" t="n">
        <f aca="false">+B13</f>
        <v>79906</v>
      </c>
      <c r="C14" s="11" t="n">
        <f aca="false">+C13</f>
        <v>21066</v>
      </c>
      <c r="D14" s="11"/>
      <c r="E14" s="11" t="n">
        <f aca="false">+E13</f>
        <v>59476</v>
      </c>
      <c r="F14" s="11" t="n">
        <f aca="false">ROUND(+E14*(1-0.02184),0)</f>
        <v>58177</v>
      </c>
      <c r="G14" s="11"/>
      <c r="H14" s="11" t="n">
        <f aca="false">+H13</f>
        <v>140099</v>
      </c>
      <c r="I14" s="11" t="n">
        <f aca="false">IF(B14-H14&gt;0,+B14-H14,0)</f>
        <v>0</v>
      </c>
      <c r="J14" s="11"/>
      <c r="K14" s="11" t="n">
        <f aca="false">+B14+C14-F14</f>
        <v>42795</v>
      </c>
      <c r="L14" s="11"/>
      <c r="M14" s="11" t="n">
        <f aca="false">+M13</f>
        <v>25038</v>
      </c>
      <c r="N14" s="11" t="n">
        <f aca="false">SUM('3rd Party Deals'!S14)</f>
        <v>17222</v>
      </c>
      <c r="O14" s="11" t="n">
        <f aca="false">SUM('Spot wENA'!Z14)</f>
        <v>0</v>
      </c>
      <c r="P14" s="11" t="n">
        <f aca="false">SUM(M14:O14)</f>
        <v>42260</v>
      </c>
      <c r="Q14" s="11"/>
      <c r="R14" s="11" t="n">
        <f aca="false">IF(T14&gt;0,+B14-T14,0)</f>
        <v>79371</v>
      </c>
      <c r="S14" s="11"/>
      <c r="T14" s="11" t="n">
        <f aca="false">IF(K14-P14&gt;0,K14-P14,0)</f>
        <v>535</v>
      </c>
      <c r="V14" s="11" t="n">
        <f aca="false">IF(P14-K14&gt;0,P14-K14,0)</f>
        <v>0</v>
      </c>
      <c r="X14" s="27"/>
      <c r="Y14" s="27" t="n">
        <f aca="false">ROUND((+X14+0.01)/(1-0.02184)+0.0227,2)</f>
        <v>0.03</v>
      </c>
      <c r="AE14" s="6" t="n">
        <f aca="false">+F14-AA14</f>
        <v>58177</v>
      </c>
      <c r="AF14" s="6" t="n">
        <f aca="false">+T14-AC14</f>
        <v>535</v>
      </c>
      <c r="AH14" s="6" t="n">
        <f aca="false">10.8-Y14</f>
        <v>10.77</v>
      </c>
      <c r="AI14" s="28" t="n">
        <f aca="false">+AH14*T14</f>
        <v>5761.95</v>
      </c>
    </row>
    <row r="15" customFormat="false" ht="12.75" hidden="false" customHeight="false" outlineLevel="0" collapsed="false">
      <c r="A15" s="11" t="n">
        <f aca="false">+A14+1</f>
        <v>10</v>
      </c>
      <c r="B15" s="11" t="n">
        <f aca="false">+B14</f>
        <v>79906</v>
      </c>
      <c r="C15" s="11" t="n">
        <f aca="false">+C14</f>
        <v>21066</v>
      </c>
      <c r="D15" s="11"/>
      <c r="E15" s="11" t="n">
        <f aca="false">+E14</f>
        <v>59476</v>
      </c>
      <c r="F15" s="11" t="n">
        <f aca="false">ROUND(+E15*(1-0.02184),0)</f>
        <v>58177</v>
      </c>
      <c r="G15" s="11"/>
      <c r="H15" s="11" t="n">
        <f aca="false">+H14</f>
        <v>140099</v>
      </c>
      <c r="I15" s="11" t="n">
        <f aca="false">IF(B15-H15&gt;0,+B15-H15,0)</f>
        <v>0</v>
      </c>
      <c r="J15" s="11"/>
      <c r="K15" s="11" t="n">
        <f aca="false">+B15+C15-F15</f>
        <v>42795</v>
      </c>
      <c r="L15" s="11"/>
      <c r="M15" s="11" t="n">
        <f aca="false">+M14</f>
        <v>25038</v>
      </c>
      <c r="N15" s="11" t="n">
        <f aca="false">SUM('3rd Party Deals'!S15)</f>
        <v>17222</v>
      </c>
      <c r="O15" s="11" t="n">
        <f aca="false">SUM('Spot wENA'!Z15)</f>
        <v>0</v>
      </c>
      <c r="P15" s="11" t="n">
        <f aca="false">SUM(M15:O15)</f>
        <v>42260</v>
      </c>
      <c r="Q15" s="11"/>
      <c r="R15" s="11" t="n">
        <f aca="false">IF(T15&gt;0,+B15-T15,0)</f>
        <v>79371</v>
      </c>
      <c r="S15" s="11"/>
      <c r="T15" s="11" t="n">
        <f aca="false">IF(K15-P15&gt;0,K15-P15,0)</f>
        <v>535</v>
      </c>
      <c r="V15" s="11" t="n">
        <f aca="false">IF(P15-K15&gt;0,P15-K15,0)</f>
        <v>0</v>
      </c>
      <c r="X15" s="27"/>
      <c r="Y15" s="27" t="n">
        <f aca="false">ROUND((+X15+0.01)/(1-0.02184)+0.0227,2)</f>
        <v>0.03</v>
      </c>
      <c r="AE15" s="6" t="n">
        <f aca="false">+F15-AA15</f>
        <v>58177</v>
      </c>
      <c r="AF15" s="6" t="n">
        <f aca="false">+T15-AC15</f>
        <v>535</v>
      </c>
      <c r="AH15" s="6" t="n">
        <f aca="false">10.8-Y15</f>
        <v>10.77</v>
      </c>
      <c r="AI15" s="28" t="n">
        <f aca="false">+AH15*T15</f>
        <v>5761.95</v>
      </c>
    </row>
    <row r="16" customFormat="false" ht="12.75" hidden="false" customHeight="false" outlineLevel="0" collapsed="false">
      <c r="A16" s="11" t="n">
        <f aca="false">+A15+1</f>
        <v>11</v>
      </c>
      <c r="B16" s="11" t="n">
        <f aca="false">+B15</f>
        <v>79906</v>
      </c>
      <c r="C16" s="11" t="n">
        <f aca="false">+C15</f>
        <v>21066</v>
      </c>
      <c r="D16" s="11"/>
      <c r="E16" s="11" t="n">
        <f aca="false">+E15</f>
        <v>59476</v>
      </c>
      <c r="F16" s="11" t="n">
        <f aca="false">ROUND(+E16*(1-0.02184),0)</f>
        <v>58177</v>
      </c>
      <c r="G16" s="11"/>
      <c r="H16" s="11" t="n">
        <f aca="false">+H15</f>
        <v>140099</v>
      </c>
      <c r="I16" s="11" t="n">
        <f aca="false">IF(B16-H16&gt;0,+B16-H16,0)</f>
        <v>0</v>
      </c>
      <c r="J16" s="11"/>
      <c r="K16" s="11" t="n">
        <f aca="false">+B16+C16-F16</f>
        <v>42795</v>
      </c>
      <c r="L16" s="11"/>
      <c r="M16" s="11" t="n">
        <f aca="false">+M15</f>
        <v>25038</v>
      </c>
      <c r="N16" s="11" t="n">
        <f aca="false">SUM('3rd Party Deals'!S16)</f>
        <v>17222</v>
      </c>
      <c r="O16" s="11" t="n">
        <f aca="false">SUM('Spot wENA'!Z16)</f>
        <v>0</v>
      </c>
      <c r="P16" s="11" t="n">
        <f aca="false">SUM(M16:O16)</f>
        <v>42260</v>
      </c>
      <c r="Q16" s="11"/>
      <c r="R16" s="11" t="n">
        <f aca="false">IF(T16&gt;0,+B16-T16,0)</f>
        <v>79371</v>
      </c>
      <c r="S16" s="11"/>
      <c r="T16" s="11" t="n">
        <f aca="false">IF(K16-P16&gt;0,K16-P16,0)</f>
        <v>535</v>
      </c>
      <c r="V16" s="11" t="n">
        <f aca="false">IF(P16-K16&gt;0,P16-K16,0)</f>
        <v>0</v>
      </c>
      <c r="X16" s="27"/>
      <c r="Y16" s="27" t="n">
        <f aca="false">ROUND((+X16+0.01)/(1-0.02184)+0.0227,2)</f>
        <v>0.03</v>
      </c>
      <c r="AE16" s="6" t="n">
        <f aca="false">+F16-AA16</f>
        <v>58177</v>
      </c>
      <c r="AF16" s="6" t="n">
        <f aca="false">+T16-AC16</f>
        <v>535</v>
      </c>
      <c r="AH16" s="6" t="n">
        <f aca="false">10.8-Y16</f>
        <v>10.77</v>
      </c>
      <c r="AI16" s="28" t="n">
        <f aca="false">+AH16*T16</f>
        <v>5761.95</v>
      </c>
    </row>
    <row r="17" customFormat="false" ht="12.75" hidden="false" customHeight="false" outlineLevel="0" collapsed="false">
      <c r="A17" s="11" t="n">
        <f aca="false">+A16+1</f>
        <v>12</v>
      </c>
      <c r="B17" s="11" t="n">
        <f aca="false">+B16</f>
        <v>79906</v>
      </c>
      <c r="C17" s="11" t="n">
        <f aca="false">+C16</f>
        <v>21066</v>
      </c>
      <c r="D17" s="11"/>
      <c r="E17" s="11" t="n">
        <f aca="false">+E16</f>
        <v>59476</v>
      </c>
      <c r="F17" s="11" t="n">
        <f aca="false">ROUND(+E17*(1-0.02184),0)</f>
        <v>58177</v>
      </c>
      <c r="G17" s="11"/>
      <c r="H17" s="11" t="n">
        <f aca="false">+H16</f>
        <v>140099</v>
      </c>
      <c r="I17" s="11" t="n">
        <f aca="false">IF(B17-H17&gt;0,+B17-H17,0)</f>
        <v>0</v>
      </c>
      <c r="J17" s="11"/>
      <c r="K17" s="11" t="n">
        <f aca="false">+B17+C17-F17</f>
        <v>42795</v>
      </c>
      <c r="L17" s="11"/>
      <c r="M17" s="11" t="n">
        <f aca="false">+M16</f>
        <v>25038</v>
      </c>
      <c r="N17" s="11" t="n">
        <f aca="false">SUM('3rd Party Deals'!S17)</f>
        <v>17222</v>
      </c>
      <c r="O17" s="11" t="n">
        <f aca="false">SUM('Spot wENA'!Z17)</f>
        <v>0</v>
      </c>
      <c r="P17" s="11" t="n">
        <f aca="false">SUM(M17:O17)</f>
        <v>42260</v>
      </c>
      <c r="Q17" s="11"/>
      <c r="R17" s="11" t="n">
        <f aca="false">IF(T17&gt;0,+B17-T17,0)</f>
        <v>79371</v>
      </c>
      <c r="S17" s="11"/>
      <c r="T17" s="11" t="n">
        <f aca="false">IF(K17-P17&gt;0,K17-P17,0)</f>
        <v>535</v>
      </c>
      <c r="V17" s="11" t="n">
        <f aca="false">IF(P17-K17&gt;0,P17-K17,0)</f>
        <v>0</v>
      </c>
      <c r="X17" s="27"/>
      <c r="Y17" s="27" t="n">
        <f aca="false">ROUND((+X17+0.01)/(1-0.02184)+0.0227,2)</f>
        <v>0.03</v>
      </c>
      <c r="AE17" s="6" t="n">
        <f aca="false">+F17-AA17</f>
        <v>58177</v>
      </c>
      <c r="AF17" s="6" t="n">
        <f aca="false">+T17-AC17</f>
        <v>535</v>
      </c>
    </row>
    <row r="18" customFormat="false" ht="12.75" hidden="false" customHeight="false" outlineLevel="0" collapsed="false">
      <c r="A18" s="11" t="n">
        <f aca="false">+A17+1</f>
        <v>13</v>
      </c>
      <c r="B18" s="11" t="n">
        <f aca="false">+B17</f>
        <v>79906</v>
      </c>
      <c r="C18" s="11" t="n">
        <f aca="false">+C17</f>
        <v>21066</v>
      </c>
      <c r="D18" s="11"/>
      <c r="E18" s="11" t="n">
        <f aca="false">+E17</f>
        <v>59476</v>
      </c>
      <c r="F18" s="11" t="n">
        <f aca="false">ROUND(+E18*(1-0.02184),0)</f>
        <v>58177</v>
      </c>
      <c r="G18" s="11"/>
      <c r="H18" s="11" t="n">
        <f aca="false">+H17</f>
        <v>140099</v>
      </c>
      <c r="I18" s="11" t="n">
        <f aca="false">IF(B18-H18&gt;0,+B18-H18,0)</f>
        <v>0</v>
      </c>
      <c r="J18" s="11"/>
      <c r="K18" s="11" t="n">
        <f aca="false">+B18+C18-F18</f>
        <v>42795</v>
      </c>
      <c r="L18" s="11"/>
      <c r="M18" s="11" t="n">
        <f aca="false">+M17</f>
        <v>25038</v>
      </c>
      <c r="N18" s="11" t="n">
        <f aca="false">SUM('3rd Party Deals'!S18)</f>
        <v>17222</v>
      </c>
      <c r="O18" s="11" t="n">
        <f aca="false">SUM('Spot wENA'!Z18)</f>
        <v>0</v>
      </c>
      <c r="P18" s="11" t="n">
        <f aca="false">SUM(M18:O18)</f>
        <v>42260</v>
      </c>
      <c r="Q18" s="11"/>
      <c r="R18" s="11" t="n">
        <f aca="false">IF(T18&gt;0,+B18-T18,0)</f>
        <v>79371</v>
      </c>
      <c r="S18" s="11"/>
      <c r="T18" s="11" t="n">
        <f aca="false">IF(K18-P18&gt;0,K18-P18,0)</f>
        <v>535</v>
      </c>
      <c r="V18" s="11" t="n">
        <f aca="false">IF(P18-K18&gt;0,P18-K18,0)</f>
        <v>0</v>
      </c>
      <c r="X18" s="27"/>
      <c r="Y18" s="27" t="n">
        <f aca="false">ROUND((+X18+0.01)/(1-0.02184)+0.0227,2)</f>
        <v>0.03</v>
      </c>
      <c r="AE18" s="6" t="n">
        <f aca="false">+F18-AA18</f>
        <v>58177</v>
      </c>
      <c r="AF18" s="6" t="n">
        <f aca="false">+T18-AC18</f>
        <v>535</v>
      </c>
      <c r="AI18" s="6" t="n">
        <f aca="false">SUM(AI6:AI17)</f>
        <v>39040.68</v>
      </c>
    </row>
    <row r="19" customFormat="false" ht="12.75" hidden="false" customHeight="false" outlineLevel="0" collapsed="false">
      <c r="A19" s="11" t="n">
        <f aca="false">+A18+1</f>
        <v>14</v>
      </c>
      <c r="B19" s="11" t="n">
        <f aca="false">+B18</f>
        <v>79906</v>
      </c>
      <c r="C19" s="11" t="n">
        <f aca="false">+C18</f>
        <v>21066</v>
      </c>
      <c r="D19" s="11"/>
      <c r="E19" s="11" t="n">
        <f aca="false">+E18</f>
        <v>59476</v>
      </c>
      <c r="F19" s="11" t="n">
        <f aca="false">ROUND(+E19*(1-0.02184),0)</f>
        <v>58177</v>
      </c>
      <c r="G19" s="11"/>
      <c r="H19" s="11" t="n">
        <f aca="false">+H18</f>
        <v>140099</v>
      </c>
      <c r="I19" s="11" t="n">
        <f aca="false">IF(B19-H19&gt;0,+B19-H19,0)</f>
        <v>0</v>
      </c>
      <c r="J19" s="11"/>
      <c r="K19" s="11" t="n">
        <f aca="false">+B19+C19-F19</f>
        <v>42795</v>
      </c>
      <c r="L19" s="11"/>
      <c r="M19" s="11" t="n">
        <f aca="false">+M18</f>
        <v>25038</v>
      </c>
      <c r="N19" s="11" t="n">
        <f aca="false">SUM('3rd Party Deals'!S19)</f>
        <v>17222</v>
      </c>
      <c r="O19" s="11" t="n">
        <f aca="false">SUM('Spot wENA'!Z19)</f>
        <v>0</v>
      </c>
      <c r="P19" s="11" t="n">
        <f aca="false">SUM(M19:O19)</f>
        <v>42260</v>
      </c>
      <c r="Q19" s="11"/>
      <c r="R19" s="11" t="n">
        <f aca="false">IF(T19&gt;0,+B19-T19,0)</f>
        <v>79371</v>
      </c>
      <c r="S19" s="11"/>
      <c r="T19" s="11" t="n">
        <f aca="false">IF(K19-P19&gt;0,K19-P19,0)</f>
        <v>535</v>
      </c>
      <c r="V19" s="11" t="n">
        <f aca="false">IF(P19-K19&gt;0,P19-K19,0)</f>
        <v>0</v>
      </c>
      <c r="X19" s="27"/>
      <c r="Y19" s="27" t="n">
        <f aca="false">ROUND((+X19+0.01)/(1-0.02184)+0.0227,2)</f>
        <v>0.03</v>
      </c>
      <c r="AE19" s="6" t="n">
        <f aca="false">+F19-AA19</f>
        <v>58177</v>
      </c>
      <c r="AF19" s="6" t="n">
        <f aca="false">+T19-AC19</f>
        <v>535</v>
      </c>
    </row>
    <row r="20" customFormat="false" ht="12.75" hidden="false" customHeight="false" outlineLevel="0" collapsed="false">
      <c r="A20" s="11" t="n">
        <f aca="false">+A19+1</f>
        <v>15</v>
      </c>
      <c r="B20" s="11" t="n">
        <f aca="false">+B19</f>
        <v>79906</v>
      </c>
      <c r="C20" s="11" t="n">
        <f aca="false">+C19</f>
        <v>21066</v>
      </c>
      <c r="D20" s="11"/>
      <c r="E20" s="11" t="n">
        <f aca="false">+E19</f>
        <v>59476</v>
      </c>
      <c r="F20" s="11" t="n">
        <f aca="false">ROUND(+E20*(1-0.02184),0)</f>
        <v>58177</v>
      </c>
      <c r="G20" s="11"/>
      <c r="H20" s="11" t="n">
        <f aca="false">+H19</f>
        <v>140099</v>
      </c>
      <c r="I20" s="11" t="n">
        <f aca="false">IF(B20-H20&gt;0,+B20-H20,0)</f>
        <v>0</v>
      </c>
      <c r="J20" s="11"/>
      <c r="K20" s="11" t="n">
        <f aca="false">+B20+C20-F20</f>
        <v>42795</v>
      </c>
      <c r="L20" s="11"/>
      <c r="M20" s="11" t="n">
        <f aca="false">+M19</f>
        <v>25038</v>
      </c>
      <c r="N20" s="11" t="n">
        <f aca="false">SUM('3rd Party Deals'!S20)</f>
        <v>17222</v>
      </c>
      <c r="O20" s="11" t="n">
        <f aca="false">SUM('Spot wENA'!Z20)</f>
        <v>0</v>
      </c>
      <c r="P20" s="11" t="n">
        <f aca="false">SUM(M20:O20)</f>
        <v>42260</v>
      </c>
      <c r="Q20" s="11"/>
      <c r="R20" s="11" t="n">
        <f aca="false">IF(T20&gt;0,+B20-T20,0)</f>
        <v>79371</v>
      </c>
      <c r="S20" s="11"/>
      <c r="T20" s="11" t="n">
        <f aca="false">IF(K20-P20&gt;0,K20-P20,0)</f>
        <v>535</v>
      </c>
      <c r="V20" s="11" t="n">
        <f aca="false">IF(P20-K20&gt;0,P20-K20,0)</f>
        <v>0</v>
      </c>
      <c r="X20" s="27"/>
      <c r="Y20" s="27" t="n">
        <f aca="false">ROUND((+X20+0.01)/(1-0.02184)+0.0227,2)</f>
        <v>0.03</v>
      </c>
      <c r="AE20" s="6" t="n">
        <f aca="false">+F20-AA20</f>
        <v>58177</v>
      </c>
      <c r="AF20" s="6" t="n">
        <f aca="false">+T20-AC20</f>
        <v>535</v>
      </c>
    </row>
    <row r="21" customFormat="false" ht="12.75" hidden="false" customHeight="false" outlineLevel="0" collapsed="false">
      <c r="A21" s="11" t="n">
        <f aca="false">+A20+1</f>
        <v>16</v>
      </c>
      <c r="B21" s="11" t="n">
        <f aca="false">+B20</f>
        <v>79906</v>
      </c>
      <c r="C21" s="11" t="n">
        <f aca="false">+C20</f>
        <v>21066</v>
      </c>
      <c r="D21" s="11"/>
      <c r="E21" s="11" t="n">
        <f aca="false">+E20</f>
        <v>59476</v>
      </c>
      <c r="F21" s="11" t="n">
        <f aca="false">ROUND(+E21*(1-0.02184),0)</f>
        <v>58177</v>
      </c>
      <c r="G21" s="11"/>
      <c r="H21" s="11" t="n">
        <f aca="false">+H20</f>
        <v>140099</v>
      </c>
      <c r="I21" s="11" t="n">
        <f aca="false">IF(B21-H21&gt;0,+B21-H21,0)</f>
        <v>0</v>
      </c>
      <c r="J21" s="11"/>
      <c r="K21" s="11" t="n">
        <f aca="false">+B21+C21-F21</f>
        <v>42795</v>
      </c>
      <c r="L21" s="11"/>
      <c r="M21" s="11" t="n">
        <f aca="false">+M20</f>
        <v>25038</v>
      </c>
      <c r="N21" s="11" t="n">
        <f aca="false">SUM('3rd Party Deals'!S21)</f>
        <v>17222</v>
      </c>
      <c r="O21" s="11" t="n">
        <f aca="false">SUM('Spot wENA'!Z21)</f>
        <v>0</v>
      </c>
      <c r="P21" s="11" t="n">
        <f aca="false">SUM(M21:O21)</f>
        <v>42260</v>
      </c>
      <c r="Q21" s="11"/>
      <c r="R21" s="11" t="n">
        <f aca="false">IF(T21&gt;0,+B21-T21,0)</f>
        <v>79371</v>
      </c>
      <c r="S21" s="11"/>
      <c r="T21" s="11" t="n">
        <f aca="false">IF(K21-P21&gt;0,K21-P21,0)</f>
        <v>535</v>
      </c>
      <c r="V21" s="11" t="n">
        <f aca="false">IF(P21-K21&gt;0,P21-K21,0)</f>
        <v>0</v>
      </c>
      <c r="X21" s="27"/>
      <c r="Y21" s="27" t="n">
        <f aca="false">ROUND((+X21+0.01)/(1-0.02184)+0.0227,2)</f>
        <v>0.03</v>
      </c>
      <c r="AE21" s="6" t="n">
        <f aca="false">+F21-AA21</f>
        <v>58177</v>
      </c>
      <c r="AF21" s="6" t="n">
        <f aca="false">+T21-AC21</f>
        <v>535</v>
      </c>
    </row>
    <row r="22" customFormat="false" ht="12.75" hidden="false" customHeight="false" outlineLevel="0" collapsed="false">
      <c r="A22" s="11" t="n">
        <f aca="false">+A21+1</f>
        <v>17</v>
      </c>
      <c r="B22" s="11" t="n">
        <f aca="false">+B21</f>
        <v>79906</v>
      </c>
      <c r="C22" s="11" t="n">
        <f aca="false">+C21</f>
        <v>21066</v>
      </c>
      <c r="D22" s="11"/>
      <c r="E22" s="11" t="n">
        <f aca="false">+E21</f>
        <v>59476</v>
      </c>
      <c r="F22" s="11" t="n">
        <f aca="false">ROUND(+E22*(1-0.02184),0)</f>
        <v>58177</v>
      </c>
      <c r="G22" s="11"/>
      <c r="H22" s="11" t="n">
        <f aca="false">+H21</f>
        <v>140099</v>
      </c>
      <c r="I22" s="11" t="n">
        <f aca="false">IF(B22-H22&gt;0,+B22-H22,0)</f>
        <v>0</v>
      </c>
      <c r="J22" s="11"/>
      <c r="K22" s="11" t="n">
        <f aca="false">+B22+C22-F22</f>
        <v>42795</v>
      </c>
      <c r="L22" s="11"/>
      <c r="M22" s="11" t="n">
        <f aca="false">+M21</f>
        <v>25038</v>
      </c>
      <c r="N22" s="11" t="n">
        <f aca="false">SUM('3rd Party Deals'!S22)</f>
        <v>17222</v>
      </c>
      <c r="O22" s="11" t="n">
        <f aca="false">SUM('Spot wENA'!Z22)</f>
        <v>0</v>
      </c>
      <c r="P22" s="11" t="n">
        <f aca="false">SUM(M22:O22)</f>
        <v>42260</v>
      </c>
      <c r="Q22" s="11"/>
      <c r="R22" s="11" t="n">
        <f aca="false">IF(T22&gt;0,+B22-T22,0)</f>
        <v>79371</v>
      </c>
      <c r="S22" s="11"/>
      <c r="T22" s="11" t="n">
        <f aca="false">IF(K22-P22&gt;0,K22-P22,0)</f>
        <v>535</v>
      </c>
      <c r="V22" s="11" t="n">
        <f aca="false">IF(P22-K22&gt;0,P22-K22,0)</f>
        <v>0</v>
      </c>
      <c r="X22" s="27"/>
      <c r="Y22" s="27" t="n">
        <f aca="false">ROUND((+X22+0.01)/(1-0.02184)+0.0227,2)</f>
        <v>0.03</v>
      </c>
      <c r="AE22" s="6" t="n">
        <f aca="false">+F22-AA22</f>
        <v>58177</v>
      </c>
      <c r="AF22" s="6" t="n">
        <f aca="false">+T22-AC22</f>
        <v>535</v>
      </c>
    </row>
    <row r="23" customFormat="false" ht="12.75" hidden="false" customHeight="false" outlineLevel="0" collapsed="false">
      <c r="A23" s="11" t="n">
        <f aca="false">+A22+1</f>
        <v>18</v>
      </c>
      <c r="B23" s="11" t="n">
        <f aca="false">+B22</f>
        <v>79906</v>
      </c>
      <c r="C23" s="11" t="n">
        <f aca="false">+C22</f>
        <v>21066</v>
      </c>
      <c r="D23" s="11"/>
      <c r="E23" s="11" t="n">
        <f aca="false">+E22</f>
        <v>59476</v>
      </c>
      <c r="F23" s="11" t="n">
        <f aca="false">ROUND(+E23*(1-0.02184),0)</f>
        <v>58177</v>
      </c>
      <c r="G23" s="11"/>
      <c r="H23" s="11" t="n">
        <f aca="false">+H22</f>
        <v>140099</v>
      </c>
      <c r="I23" s="11" t="n">
        <f aca="false">IF(B23-H23&gt;0,+B23-H23,0)</f>
        <v>0</v>
      </c>
      <c r="J23" s="11"/>
      <c r="K23" s="11" t="n">
        <f aca="false">+B23+C23-F23</f>
        <v>42795</v>
      </c>
      <c r="L23" s="11"/>
      <c r="M23" s="11" t="n">
        <f aca="false">+M22</f>
        <v>25038</v>
      </c>
      <c r="N23" s="11" t="n">
        <f aca="false">SUM('3rd Party Deals'!S23)</f>
        <v>17222</v>
      </c>
      <c r="O23" s="11" t="n">
        <f aca="false">SUM('Spot wENA'!Z23)</f>
        <v>0</v>
      </c>
      <c r="P23" s="11" t="n">
        <f aca="false">SUM(M23:O23)</f>
        <v>42260</v>
      </c>
      <c r="Q23" s="11"/>
      <c r="R23" s="11" t="n">
        <f aca="false">IF(T23&gt;0,+B23-T23,0)</f>
        <v>79371</v>
      </c>
      <c r="S23" s="11"/>
      <c r="T23" s="11" t="n">
        <f aca="false">IF(K23-P23&gt;0,K23-P23,0)</f>
        <v>535</v>
      </c>
      <c r="V23" s="11" t="n">
        <f aca="false">IF(P23-K23&gt;0,P23-K23,0)</f>
        <v>0</v>
      </c>
      <c r="X23" s="27"/>
      <c r="Y23" s="27" t="n">
        <f aca="false">ROUND((+X23+0.01)/(1-0.02184)+0.0227,2)</f>
        <v>0.03</v>
      </c>
      <c r="AE23" s="6" t="n">
        <f aca="false">+F23-AA23</f>
        <v>58177</v>
      </c>
      <c r="AF23" s="6" t="n">
        <f aca="false">+T23-AC23</f>
        <v>535</v>
      </c>
    </row>
    <row r="24" customFormat="false" ht="12.75" hidden="false" customHeight="false" outlineLevel="0" collapsed="false">
      <c r="A24" s="11" t="n">
        <f aca="false">+A23+1</f>
        <v>19</v>
      </c>
      <c r="B24" s="11" t="n">
        <f aca="false">+B23</f>
        <v>79906</v>
      </c>
      <c r="C24" s="11" t="n">
        <f aca="false">+C23</f>
        <v>21066</v>
      </c>
      <c r="D24" s="11"/>
      <c r="E24" s="11" t="n">
        <f aca="false">+E23</f>
        <v>59476</v>
      </c>
      <c r="F24" s="11" t="n">
        <f aca="false">ROUND(+E24*(1-0.02184),0)</f>
        <v>58177</v>
      </c>
      <c r="G24" s="11"/>
      <c r="H24" s="11" t="n">
        <f aca="false">+H23</f>
        <v>140099</v>
      </c>
      <c r="I24" s="11" t="n">
        <f aca="false">IF(B24-H24&gt;0,+B24-H24,0)</f>
        <v>0</v>
      </c>
      <c r="J24" s="11"/>
      <c r="K24" s="11" t="n">
        <f aca="false">+B24+C24-F24</f>
        <v>42795</v>
      </c>
      <c r="L24" s="11"/>
      <c r="M24" s="11" t="n">
        <f aca="false">+M23</f>
        <v>25038</v>
      </c>
      <c r="N24" s="11" t="n">
        <f aca="false">SUM('3rd Party Deals'!S24)</f>
        <v>17222</v>
      </c>
      <c r="O24" s="11" t="n">
        <f aca="false">SUM('Spot wENA'!Z24)</f>
        <v>0</v>
      </c>
      <c r="P24" s="11" t="n">
        <f aca="false">SUM(M24:O24)</f>
        <v>42260</v>
      </c>
      <c r="Q24" s="11"/>
      <c r="R24" s="11" t="n">
        <f aca="false">IF(T24&gt;0,+B24-T24,0)</f>
        <v>79371</v>
      </c>
      <c r="S24" s="11"/>
      <c r="T24" s="11" t="n">
        <f aca="false">IF(K24-P24&gt;0,K24-P24,0)</f>
        <v>535</v>
      </c>
      <c r="V24" s="11" t="n">
        <f aca="false">IF(P24-K24&gt;0,P24-K24,0)</f>
        <v>0</v>
      </c>
      <c r="X24" s="27"/>
      <c r="Y24" s="27" t="n">
        <f aca="false">ROUND((+X24+0.01)/(1-0.02184)+0.0227,2)</f>
        <v>0.03</v>
      </c>
      <c r="AE24" s="6" t="n">
        <f aca="false">+F24-AA24</f>
        <v>58177</v>
      </c>
      <c r="AF24" s="6" t="n">
        <f aca="false">+T24-AC24</f>
        <v>535</v>
      </c>
    </row>
    <row r="25" customFormat="false" ht="12.75" hidden="false" customHeight="false" outlineLevel="0" collapsed="false">
      <c r="A25" s="11" t="n">
        <f aca="false">+A24+1</f>
        <v>20</v>
      </c>
      <c r="B25" s="11" t="n">
        <f aca="false">+B24</f>
        <v>79906</v>
      </c>
      <c r="C25" s="11" t="n">
        <f aca="false">+C24</f>
        <v>21066</v>
      </c>
      <c r="D25" s="11"/>
      <c r="E25" s="11" t="n">
        <f aca="false">+E24</f>
        <v>59476</v>
      </c>
      <c r="F25" s="11" t="n">
        <f aca="false">ROUND(+E25*(1-0.02184),0)</f>
        <v>58177</v>
      </c>
      <c r="G25" s="11"/>
      <c r="H25" s="11" t="n">
        <f aca="false">+H24</f>
        <v>140099</v>
      </c>
      <c r="I25" s="11" t="n">
        <f aca="false">IF(B25-H25&gt;0,+B25-H25,0)</f>
        <v>0</v>
      </c>
      <c r="J25" s="11"/>
      <c r="K25" s="11" t="n">
        <f aca="false">+B25+C25-F25</f>
        <v>42795</v>
      </c>
      <c r="L25" s="11"/>
      <c r="M25" s="11" t="n">
        <f aca="false">+M24</f>
        <v>25038</v>
      </c>
      <c r="N25" s="11" t="n">
        <f aca="false">SUM('3rd Party Deals'!S25)</f>
        <v>17222</v>
      </c>
      <c r="O25" s="11" t="n">
        <f aca="false">SUM('Spot wENA'!Z25)</f>
        <v>0</v>
      </c>
      <c r="P25" s="11" t="n">
        <f aca="false">SUM(M25:O25)</f>
        <v>42260</v>
      </c>
      <c r="Q25" s="11"/>
      <c r="R25" s="11" t="n">
        <f aca="false">IF(T25&gt;0,+B25-T25,0)</f>
        <v>79371</v>
      </c>
      <c r="S25" s="11"/>
      <c r="T25" s="11" t="n">
        <f aca="false">IF(K25-P25&gt;0,K25-P25,0)</f>
        <v>535</v>
      </c>
      <c r="V25" s="11" t="n">
        <f aca="false">IF(P25-K25&gt;0,P25-K25,0)</f>
        <v>0</v>
      </c>
      <c r="X25" s="27"/>
      <c r="Y25" s="27" t="n">
        <f aca="false">ROUND((+X25+0.01)/(1-0.02184)+0.0227,2)</f>
        <v>0.03</v>
      </c>
      <c r="AE25" s="6" t="n">
        <f aca="false">+F25-AA25</f>
        <v>58177</v>
      </c>
      <c r="AF25" s="6" t="n">
        <f aca="false">+T25-AC25</f>
        <v>535</v>
      </c>
    </row>
    <row r="26" customFormat="false" ht="12.75" hidden="false" customHeight="false" outlineLevel="0" collapsed="false">
      <c r="A26" s="11" t="n">
        <f aca="false">+A25+1</f>
        <v>21</v>
      </c>
      <c r="B26" s="11" t="n">
        <f aca="false">+B25</f>
        <v>79906</v>
      </c>
      <c r="C26" s="11" t="n">
        <f aca="false">+C25</f>
        <v>21066</v>
      </c>
      <c r="D26" s="11"/>
      <c r="E26" s="11" t="n">
        <f aca="false">+E25</f>
        <v>59476</v>
      </c>
      <c r="F26" s="11" t="n">
        <f aca="false">ROUND(+E26*(1-0.02184),0)</f>
        <v>58177</v>
      </c>
      <c r="G26" s="11"/>
      <c r="H26" s="11" t="n">
        <f aca="false">+H25</f>
        <v>140099</v>
      </c>
      <c r="I26" s="11" t="n">
        <f aca="false">IF(B26-H26&gt;0,+B26-H26,0)</f>
        <v>0</v>
      </c>
      <c r="J26" s="11"/>
      <c r="K26" s="11" t="n">
        <f aca="false">+B26+C26-F26</f>
        <v>42795</v>
      </c>
      <c r="L26" s="11"/>
      <c r="M26" s="11" t="n">
        <f aca="false">+M25</f>
        <v>25038</v>
      </c>
      <c r="N26" s="11" t="n">
        <f aca="false">SUM('3rd Party Deals'!S26)</f>
        <v>17222</v>
      </c>
      <c r="O26" s="11" t="n">
        <f aca="false">SUM('Spot wENA'!Z26)</f>
        <v>0</v>
      </c>
      <c r="P26" s="11" t="n">
        <f aca="false">SUM(M26:O26)</f>
        <v>42260</v>
      </c>
      <c r="Q26" s="11"/>
      <c r="R26" s="11" t="n">
        <f aca="false">IF(T26&gt;0,+B26-T26,0)</f>
        <v>79371</v>
      </c>
      <c r="S26" s="11"/>
      <c r="T26" s="11" t="n">
        <f aca="false">IF(K26-P26&gt;0,K26-P26,0)</f>
        <v>535</v>
      </c>
      <c r="V26" s="11" t="n">
        <f aca="false">IF(P26-K26&gt;0,P26-K26,0)</f>
        <v>0</v>
      </c>
      <c r="X26" s="27"/>
      <c r="Y26" s="27" t="n">
        <f aca="false">ROUND((+X26+0.01)/(1-0.02184)+0.0227,2)</f>
        <v>0.03</v>
      </c>
      <c r="AE26" s="6" t="n">
        <f aca="false">+F26-AA26</f>
        <v>58177</v>
      </c>
      <c r="AF26" s="6" t="n">
        <f aca="false">+T26-AC26</f>
        <v>535</v>
      </c>
    </row>
    <row r="27" customFormat="false" ht="12.75" hidden="false" customHeight="false" outlineLevel="0" collapsed="false">
      <c r="A27" s="11" t="n">
        <f aca="false">+A26+1</f>
        <v>22</v>
      </c>
      <c r="B27" s="11" t="n">
        <f aca="false">+B26</f>
        <v>79906</v>
      </c>
      <c r="C27" s="11" t="n">
        <f aca="false">+C26</f>
        <v>21066</v>
      </c>
      <c r="D27" s="11"/>
      <c r="E27" s="11" t="n">
        <f aca="false">+E26</f>
        <v>59476</v>
      </c>
      <c r="F27" s="11" t="n">
        <f aca="false">ROUND(+E27*(1-0.02184),0)</f>
        <v>58177</v>
      </c>
      <c r="G27" s="11"/>
      <c r="H27" s="11" t="n">
        <f aca="false">+H26</f>
        <v>140099</v>
      </c>
      <c r="I27" s="11" t="n">
        <f aca="false">IF(B27-H27&gt;0,+B27-H27,0)</f>
        <v>0</v>
      </c>
      <c r="J27" s="11"/>
      <c r="K27" s="11" t="n">
        <f aca="false">+B27+C27-F27</f>
        <v>42795</v>
      </c>
      <c r="L27" s="11"/>
      <c r="M27" s="11" t="n">
        <f aca="false">+M26</f>
        <v>25038</v>
      </c>
      <c r="N27" s="11" t="n">
        <f aca="false">SUM('3rd Party Deals'!S27)</f>
        <v>17222</v>
      </c>
      <c r="O27" s="11" t="n">
        <f aca="false">SUM('Spot wENA'!Z27)</f>
        <v>0</v>
      </c>
      <c r="P27" s="11" t="n">
        <f aca="false">SUM(M27:O27)</f>
        <v>42260</v>
      </c>
      <c r="Q27" s="11"/>
      <c r="R27" s="11" t="n">
        <f aca="false">IF(T27&gt;0,+B27-T27,0)</f>
        <v>79371</v>
      </c>
      <c r="S27" s="11"/>
      <c r="T27" s="11" t="n">
        <f aca="false">IF(K27-P27&gt;0,K27-P27,0)</f>
        <v>535</v>
      </c>
      <c r="V27" s="11" t="n">
        <f aca="false">IF(P27-K27&gt;0,P27-K27,0)</f>
        <v>0</v>
      </c>
      <c r="X27" s="27"/>
      <c r="Y27" s="27" t="n">
        <f aca="false">ROUND((+X27+0.01)/(1-0.02184)+0.0227,2)</f>
        <v>0.03</v>
      </c>
      <c r="AE27" s="6" t="n">
        <f aca="false">+F27-AA27</f>
        <v>58177</v>
      </c>
      <c r="AF27" s="6" t="n">
        <f aca="false">+T27-AC27</f>
        <v>535</v>
      </c>
    </row>
    <row r="28" customFormat="false" ht="12.75" hidden="false" customHeight="false" outlineLevel="0" collapsed="false">
      <c r="A28" s="11" t="n">
        <f aca="false">+A27+1</f>
        <v>23</v>
      </c>
      <c r="B28" s="11" t="n">
        <f aca="false">+B27</f>
        <v>79906</v>
      </c>
      <c r="C28" s="11" t="n">
        <f aca="false">+C27</f>
        <v>21066</v>
      </c>
      <c r="D28" s="11"/>
      <c r="E28" s="11" t="n">
        <f aca="false">+E27</f>
        <v>59476</v>
      </c>
      <c r="F28" s="11" t="n">
        <f aca="false">ROUND(+E28*(1-0.02184),0)</f>
        <v>58177</v>
      </c>
      <c r="G28" s="11"/>
      <c r="H28" s="11" t="n">
        <f aca="false">+H27</f>
        <v>140099</v>
      </c>
      <c r="I28" s="11" t="n">
        <f aca="false">IF(B28-H28&gt;0,+B28-H28,0)</f>
        <v>0</v>
      </c>
      <c r="J28" s="11"/>
      <c r="K28" s="11" t="n">
        <f aca="false">+B28+C28-F28</f>
        <v>42795</v>
      </c>
      <c r="L28" s="11"/>
      <c r="M28" s="11" t="n">
        <f aca="false">+M27</f>
        <v>25038</v>
      </c>
      <c r="N28" s="11" t="n">
        <f aca="false">SUM('3rd Party Deals'!S28)</f>
        <v>17222</v>
      </c>
      <c r="O28" s="11" t="n">
        <f aca="false">SUM('Spot wENA'!Z28)</f>
        <v>0</v>
      </c>
      <c r="P28" s="11" t="n">
        <f aca="false">SUM(M28:O28)</f>
        <v>42260</v>
      </c>
      <c r="Q28" s="11"/>
      <c r="R28" s="11" t="n">
        <f aca="false">IF(T28&gt;0,+B28-T28,0)</f>
        <v>79371</v>
      </c>
      <c r="S28" s="11"/>
      <c r="T28" s="11" t="n">
        <f aca="false">IF(K28-P28&gt;0,K28-P28,0)</f>
        <v>535</v>
      </c>
      <c r="V28" s="11" t="n">
        <f aca="false">IF(P28-K28&gt;0,P28-K28,0)</f>
        <v>0</v>
      </c>
      <c r="X28" s="27"/>
      <c r="Y28" s="27" t="n">
        <f aca="false">ROUND((+X28+0.01)/(1-0.02184)+0.0227,2)</f>
        <v>0.03</v>
      </c>
      <c r="AE28" s="6" t="n">
        <f aca="false">+F28-AA28</f>
        <v>58177</v>
      </c>
      <c r="AF28" s="6" t="n">
        <f aca="false">+T28-AC28</f>
        <v>535</v>
      </c>
    </row>
    <row r="29" customFormat="false" ht="12.75" hidden="false" customHeight="false" outlineLevel="0" collapsed="false">
      <c r="A29" s="11" t="n">
        <f aca="false">+A28+1</f>
        <v>24</v>
      </c>
      <c r="B29" s="11" t="n">
        <f aca="false">+B28</f>
        <v>79906</v>
      </c>
      <c r="C29" s="11" t="n">
        <f aca="false">+C28</f>
        <v>21066</v>
      </c>
      <c r="D29" s="11"/>
      <c r="E29" s="11" t="n">
        <f aca="false">+E28</f>
        <v>59476</v>
      </c>
      <c r="F29" s="11" t="n">
        <f aca="false">ROUND(+E29*(1-0.02184),0)</f>
        <v>58177</v>
      </c>
      <c r="G29" s="11"/>
      <c r="H29" s="11" t="n">
        <f aca="false">+H28</f>
        <v>140099</v>
      </c>
      <c r="I29" s="11" t="n">
        <f aca="false">IF(B29-H29&gt;0,+B29-H29,0)</f>
        <v>0</v>
      </c>
      <c r="J29" s="11"/>
      <c r="K29" s="11" t="n">
        <f aca="false">+B29+C29-F29</f>
        <v>42795</v>
      </c>
      <c r="L29" s="11"/>
      <c r="M29" s="11" t="n">
        <f aca="false">+M28</f>
        <v>25038</v>
      </c>
      <c r="N29" s="11" t="n">
        <f aca="false">SUM('3rd Party Deals'!S29)</f>
        <v>17222</v>
      </c>
      <c r="O29" s="11" t="n">
        <f aca="false">SUM('Spot wENA'!Z29)</f>
        <v>0</v>
      </c>
      <c r="P29" s="11" t="n">
        <f aca="false">SUM(M29:O29)</f>
        <v>42260</v>
      </c>
      <c r="Q29" s="11"/>
      <c r="R29" s="11" t="n">
        <f aca="false">IF(T29&gt;0,+B29-T29,0)</f>
        <v>79371</v>
      </c>
      <c r="S29" s="11"/>
      <c r="T29" s="11" t="n">
        <f aca="false">IF(K29-P29&gt;0,K29-P29,0)</f>
        <v>535</v>
      </c>
      <c r="V29" s="11" t="n">
        <f aca="false">IF(P29-K29&gt;0,P29-K29,0)</f>
        <v>0</v>
      </c>
      <c r="X29" s="27"/>
      <c r="Y29" s="27" t="n">
        <f aca="false">ROUND((+X29+0.01)/(1-0.02184)+0.0227,2)</f>
        <v>0.03</v>
      </c>
      <c r="AE29" s="6" t="n">
        <f aca="false">+F29-AA29</f>
        <v>58177</v>
      </c>
      <c r="AF29" s="6" t="n">
        <f aca="false">+T29-AC29</f>
        <v>535</v>
      </c>
    </row>
    <row r="30" customFormat="false" ht="12.75" hidden="false" customHeight="false" outlineLevel="0" collapsed="false">
      <c r="A30" s="11" t="n">
        <f aca="false">+A29+1</f>
        <v>25</v>
      </c>
      <c r="B30" s="11" t="n">
        <f aca="false">+B29</f>
        <v>79906</v>
      </c>
      <c r="C30" s="11" t="n">
        <f aca="false">+C29</f>
        <v>21066</v>
      </c>
      <c r="D30" s="11"/>
      <c r="E30" s="11" t="n">
        <f aca="false">+E29</f>
        <v>59476</v>
      </c>
      <c r="F30" s="11" t="n">
        <f aca="false">ROUND(+E30*(1-0.02184),0)</f>
        <v>58177</v>
      </c>
      <c r="G30" s="11"/>
      <c r="H30" s="11" t="n">
        <f aca="false">+H29</f>
        <v>140099</v>
      </c>
      <c r="I30" s="11" t="n">
        <f aca="false">IF(B30-H30&gt;0,+B30-H30,0)</f>
        <v>0</v>
      </c>
      <c r="J30" s="11"/>
      <c r="K30" s="11" t="n">
        <f aca="false">+B30+C30-F30</f>
        <v>42795</v>
      </c>
      <c r="L30" s="11"/>
      <c r="M30" s="11" t="n">
        <f aca="false">+M29</f>
        <v>25038</v>
      </c>
      <c r="N30" s="11" t="n">
        <f aca="false">SUM('3rd Party Deals'!S30)</f>
        <v>17222</v>
      </c>
      <c r="O30" s="11" t="n">
        <f aca="false">SUM('Spot wENA'!Z30)</f>
        <v>0</v>
      </c>
      <c r="P30" s="11" t="n">
        <f aca="false">SUM(M30:O30)</f>
        <v>42260</v>
      </c>
      <c r="Q30" s="11"/>
      <c r="R30" s="11" t="n">
        <f aca="false">IF(T30&gt;0,+B30-T30,0)</f>
        <v>79371</v>
      </c>
      <c r="S30" s="11"/>
      <c r="T30" s="11" t="n">
        <f aca="false">IF(K30-P30&gt;0,K30-P30,0)</f>
        <v>535</v>
      </c>
      <c r="V30" s="11" t="n">
        <f aca="false">IF(P30-K30&gt;0,P30-K30,0)</f>
        <v>0</v>
      </c>
      <c r="X30" s="27"/>
      <c r="Y30" s="27" t="n">
        <f aca="false">ROUND((+X30+0.01)/(1-0.02184)+0.0227,2)</f>
        <v>0.03</v>
      </c>
      <c r="AE30" s="6" t="n">
        <f aca="false">+F30-AA30</f>
        <v>58177</v>
      </c>
      <c r="AF30" s="6" t="n">
        <f aca="false">+T30-AC30</f>
        <v>535</v>
      </c>
    </row>
    <row r="31" customFormat="false" ht="12.75" hidden="false" customHeight="false" outlineLevel="0" collapsed="false">
      <c r="A31" s="11" t="n">
        <f aca="false">+A30+1</f>
        <v>26</v>
      </c>
      <c r="B31" s="11" t="n">
        <f aca="false">+B30</f>
        <v>79906</v>
      </c>
      <c r="C31" s="11" t="n">
        <f aca="false">+C30</f>
        <v>21066</v>
      </c>
      <c r="D31" s="11"/>
      <c r="E31" s="11" t="n">
        <f aca="false">+E30</f>
        <v>59476</v>
      </c>
      <c r="F31" s="11" t="n">
        <f aca="false">ROUND(+E31*(1-0.02184),0)</f>
        <v>58177</v>
      </c>
      <c r="G31" s="11"/>
      <c r="H31" s="11" t="n">
        <f aca="false">+H30</f>
        <v>140099</v>
      </c>
      <c r="I31" s="11" t="n">
        <f aca="false">IF(B31-H31&gt;0,+B31-H31,0)</f>
        <v>0</v>
      </c>
      <c r="J31" s="11"/>
      <c r="K31" s="11" t="n">
        <f aca="false">+B31+C31-F31</f>
        <v>42795</v>
      </c>
      <c r="L31" s="11"/>
      <c r="M31" s="11" t="n">
        <f aca="false">+M30</f>
        <v>25038</v>
      </c>
      <c r="N31" s="11" t="n">
        <f aca="false">SUM('3rd Party Deals'!S31)</f>
        <v>17222</v>
      </c>
      <c r="O31" s="11" t="n">
        <f aca="false">SUM('Spot wENA'!Z31)</f>
        <v>0</v>
      </c>
      <c r="P31" s="11" t="n">
        <f aca="false">SUM(M31:O31)</f>
        <v>42260</v>
      </c>
      <c r="Q31" s="11"/>
      <c r="R31" s="11" t="n">
        <f aca="false">IF(T31&gt;0,+B31-T31,0)</f>
        <v>79371</v>
      </c>
      <c r="S31" s="11"/>
      <c r="T31" s="11" t="n">
        <f aca="false">IF(K31-P31&gt;0,K31-P31,0)</f>
        <v>535</v>
      </c>
      <c r="V31" s="11" t="n">
        <f aca="false">IF(P31-K31&gt;0,P31-K31,0)</f>
        <v>0</v>
      </c>
      <c r="X31" s="27"/>
      <c r="Y31" s="27" t="n">
        <f aca="false">ROUND((+X31+0.01)/(1-0.02184)+0.0227,2)</f>
        <v>0.03</v>
      </c>
    </row>
    <row r="32" customFormat="false" ht="12.75" hidden="false" customHeight="false" outlineLevel="0" collapsed="false">
      <c r="A32" s="11" t="n">
        <f aca="false">+A31+1</f>
        <v>27</v>
      </c>
      <c r="B32" s="11" t="n">
        <f aca="false">+B31</f>
        <v>79906</v>
      </c>
      <c r="C32" s="11" t="n">
        <f aca="false">+C31</f>
        <v>21066</v>
      </c>
      <c r="D32" s="11"/>
      <c r="E32" s="11" t="n">
        <f aca="false">+E31</f>
        <v>59476</v>
      </c>
      <c r="F32" s="11" t="n">
        <f aca="false">ROUND(+E32*(1-0.02184),0)</f>
        <v>58177</v>
      </c>
      <c r="G32" s="11"/>
      <c r="H32" s="11" t="n">
        <f aca="false">+H31</f>
        <v>140099</v>
      </c>
      <c r="I32" s="11" t="n">
        <f aca="false">IF(B32-H32&gt;0,+B32-H32,0)</f>
        <v>0</v>
      </c>
      <c r="J32" s="11"/>
      <c r="K32" s="11" t="n">
        <f aca="false">+B32+C32-F32</f>
        <v>42795</v>
      </c>
      <c r="L32" s="11"/>
      <c r="M32" s="11" t="n">
        <f aca="false">+M31</f>
        <v>25038</v>
      </c>
      <c r="N32" s="11" t="n">
        <f aca="false">SUM('3rd Party Deals'!S32)</f>
        <v>17222</v>
      </c>
      <c r="O32" s="11" t="n">
        <f aca="false">SUM('Spot wENA'!Z32)</f>
        <v>0</v>
      </c>
      <c r="P32" s="11" t="n">
        <f aca="false">SUM(M32:O32)</f>
        <v>42260</v>
      </c>
      <c r="Q32" s="11"/>
      <c r="R32" s="11" t="n">
        <f aca="false">IF(T32&gt;0,+B32-T32,0)</f>
        <v>79371</v>
      </c>
      <c r="S32" s="11"/>
      <c r="T32" s="11" t="n">
        <f aca="false">IF(K32-P32&gt;0,K32-P32,0)</f>
        <v>535</v>
      </c>
      <c r="V32" s="11" t="n">
        <f aca="false">IF(P32-K32&gt;0,P32-K32,0)</f>
        <v>0</v>
      </c>
      <c r="X32" s="27"/>
      <c r="Y32" s="27" t="n">
        <f aca="false">ROUND((+X32+0.01)/(1-0.02184)+0.0227,2)</f>
        <v>0.03</v>
      </c>
    </row>
    <row r="33" customFormat="false" ht="12.75" hidden="false" customHeight="false" outlineLevel="0" collapsed="false">
      <c r="A33" s="11" t="n">
        <f aca="false">+A32+1</f>
        <v>28</v>
      </c>
      <c r="B33" s="11" t="n">
        <f aca="false">+B32</f>
        <v>79906</v>
      </c>
      <c r="C33" s="11" t="n">
        <f aca="false">+C32</f>
        <v>21066</v>
      </c>
      <c r="D33" s="11"/>
      <c r="E33" s="11" t="n">
        <f aca="false">+E32</f>
        <v>59476</v>
      </c>
      <c r="F33" s="11" t="n">
        <f aca="false">ROUND(+E33*(1-0.02184),0)</f>
        <v>58177</v>
      </c>
      <c r="G33" s="11"/>
      <c r="H33" s="11" t="n">
        <f aca="false">+H32</f>
        <v>140099</v>
      </c>
      <c r="I33" s="11" t="n">
        <f aca="false">IF(B33-H33&gt;0,+B33-H33,0)</f>
        <v>0</v>
      </c>
      <c r="J33" s="11"/>
      <c r="K33" s="11" t="n">
        <f aca="false">+B33+C33-F33</f>
        <v>42795</v>
      </c>
      <c r="L33" s="11"/>
      <c r="M33" s="11" t="n">
        <f aca="false">+M32</f>
        <v>25038</v>
      </c>
      <c r="N33" s="11" t="n">
        <f aca="false">SUM('3rd Party Deals'!S33)</f>
        <v>17222</v>
      </c>
      <c r="O33" s="11" t="n">
        <f aca="false">SUM('Spot wENA'!Z33)</f>
        <v>0</v>
      </c>
      <c r="P33" s="11" t="n">
        <f aca="false">SUM(M33:O33)</f>
        <v>42260</v>
      </c>
      <c r="Q33" s="11"/>
      <c r="R33" s="11" t="n">
        <f aca="false">IF(T33&gt;0,+B33-T33,0)</f>
        <v>79371</v>
      </c>
      <c r="S33" s="11"/>
      <c r="T33" s="11" t="n">
        <f aca="false">IF(K33-P33&gt;0,K33-P33,0)</f>
        <v>535</v>
      </c>
      <c r="V33" s="11" t="n">
        <f aca="false">IF(P33-K33&gt;0,P33-K33,0)</f>
        <v>0</v>
      </c>
      <c r="X33" s="27"/>
      <c r="Y33" s="27" t="n">
        <f aca="false">ROUND((+X33+0.01)/(1-0.02184)+0.0227,2)</f>
        <v>0.03</v>
      </c>
    </row>
    <row r="34" customFormat="false" ht="12.7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V34" s="11"/>
      <c r="X34" s="27"/>
      <c r="Y34" s="27"/>
    </row>
    <row r="35" customFormat="false" ht="12.7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V35" s="11"/>
      <c r="X35" s="27"/>
      <c r="Y35" s="27"/>
    </row>
    <row r="36" customFormat="false" ht="12.7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V36" s="11"/>
      <c r="X36" s="27"/>
      <c r="Y36" s="27"/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V37" s="11"/>
      <c r="X37" s="15"/>
    </row>
    <row r="38" customFormat="false" ht="12.75" hidden="false" customHeight="false" outlineLevel="0" collapsed="false">
      <c r="A38" s="11"/>
      <c r="B38" s="11" t="n">
        <f aca="false">SUM(B6:B37)</f>
        <v>2222887</v>
      </c>
      <c r="C38" s="11" t="n">
        <f aca="false">SUM(C6:C37)</f>
        <v>589848</v>
      </c>
      <c r="D38" s="11"/>
      <c r="E38" s="11" t="n">
        <f aca="false">SUM(E6:E37)</f>
        <v>1650480</v>
      </c>
      <c r="F38" s="11" t="n">
        <f aca="false">SUM(F6:F37)</f>
        <v>1614432</v>
      </c>
      <c r="G38" s="11"/>
      <c r="H38" s="11"/>
      <c r="I38" s="11"/>
      <c r="J38" s="11"/>
      <c r="K38" s="11" t="n">
        <f aca="false">SUM(K6:K37)</f>
        <v>1198303</v>
      </c>
      <c r="L38" s="11"/>
      <c r="M38" s="11" t="n">
        <f aca="false">SUM(M6:M37)</f>
        <v>701064</v>
      </c>
      <c r="N38" s="11" t="n">
        <f aca="false">SUM(N6:N37)</f>
        <v>482216</v>
      </c>
      <c r="O38" s="11" t="n">
        <f aca="false">SUM(O6:O37)</f>
        <v>0</v>
      </c>
      <c r="P38" s="11" t="n">
        <f aca="false">SUM(P6:P37)</f>
        <v>1183280</v>
      </c>
      <c r="Q38" s="11"/>
      <c r="R38" s="11" t="n">
        <f aca="false">SUM(R6:R37)</f>
        <v>2207864</v>
      </c>
      <c r="S38" s="11"/>
      <c r="T38" s="11" t="n">
        <f aca="false">SUM(T6:T37)</f>
        <v>15023</v>
      </c>
      <c r="V38" s="11" t="n">
        <f aca="false">SUM(V6:V37)</f>
        <v>0</v>
      </c>
      <c r="X38" s="27"/>
    </row>
    <row r="40" customFormat="false" ht="12.75" hidden="false" customHeight="false" outlineLevel="0" collapsed="false">
      <c r="E40" s="6" t="n">
        <v>1448997</v>
      </c>
    </row>
    <row r="41" customFormat="false" ht="12.75" hidden="false" customHeight="false" outlineLevel="0" collapsed="false">
      <c r="E41" s="6" t="n">
        <f aca="false">+E40-E38</f>
        <v>-201483</v>
      </c>
    </row>
    <row r="48" customFormat="false" ht="12.75" hidden="false" customHeight="false" outlineLevel="0" collapsed="false">
      <c r="V48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F23" activeCellId="0" sqref="F2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9" width="15.56"/>
    <col collapsed="false" customWidth="false" hidden="false" outlineLevel="0" max="2" min="2" style="29" width="9.14"/>
    <col collapsed="false" customWidth="true" hidden="false" outlineLevel="0" max="3" min="3" style="29" width="12.42"/>
    <col collapsed="false" customWidth="true" hidden="false" outlineLevel="0" max="4" min="4" style="29" width="12.14"/>
    <col collapsed="false" customWidth="true" hidden="false" outlineLevel="0" max="5" min="5" style="29" width="10.99"/>
    <col collapsed="false" customWidth="false" hidden="false" outlineLevel="0" max="6" min="6" style="29" width="9.14"/>
    <col collapsed="false" customWidth="true" hidden="false" outlineLevel="0" max="7" min="7" style="29" width="14.99"/>
    <col collapsed="false" customWidth="false" hidden="false" outlineLevel="0" max="8" min="8" style="29" width="9.14"/>
    <col collapsed="false" customWidth="true" hidden="false" outlineLevel="0" max="9" min="9" style="29" width="12.42"/>
    <col collapsed="false" customWidth="false" hidden="false" outlineLevel="0" max="11" min="10" style="29" width="9.14"/>
    <col collapsed="false" customWidth="true" hidden="false" outlineLevel="0" max="12" min="12" style="29" width="14.7"/>
    <col collapsed="false" customWidth="false" hidden="false" outlineLevel="0" max="257" min="13" style="29" width="9.14"/>
  </cols>
  <sheetData>
    <row r="1" customFormat="false" ht="12.75" hidden="false" customHeight="false" outlineLevel="0" collapsed="false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Format="false" ht="12.75" hidden="false" customHeight="false" outlineLevel="0" collapsed="false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customFormat="false" ht="12.75" hidden="false" customHeight="false" outlineLevel="0" collapsed="false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customFormat="false" ht="12.75" hidden="false" customHeight="false" outlineLevel="0" collapsed="false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customFormat="false" ht="12.75" hidden="false" customHeight="false" outlineLevel="0" collapsed="false">
      <c r="A5" s="31" t="s">
        <v>79</v>
      </c>
      <c r="C5" s="29" t="s">
        <v>80</v>
      </c>
      <c r="E5" s="29" t="s">
        <v>81</v>
      </c>
      <c r="F5" s="30"/>
      <c r="G5" s="30"/>
      <c r="H5" s="30"/>
      <c r="I5" s="30"/>
      <c r="J5" s="30"/>
      <c r="K5" s="30"/>
      <c r="L5" s="30"/>
      <c r="M5" s="30"/>
      <c r="N5" s="30"/>
    </row>
    <row r="6" customFormat="false" ht="12.75" hidden="false" customHeight="false" outlineLevel="0" collapsed="false">
      <c r="A6" s="29" t="s">
        <v>82</v>
      </c>
      <c r="B6" s="29" t="s">
        <v>79</v>
      </c>
      <c r="C6" s="32" t="n">
        <v>6.44</v>
      </c>
      <c r="E6" s="32" t="n">
        <v>6.44</v>
      </c>
      <c r="F6" s="30"/>
      <c r="G6" s="30" t="s">
        <v>83</v>
      </c>
      <c r="H6" s="30"/>
      <c r="I6" s="32" t="n">
        <v>6.44</v>
      </c>
      <c r="J6" s="30"/>
      <c r="K6" s="30"/>
      <c r="L6" s="30"/>
      <c r="M6" s="30"/>
      <c r="N6" s="30"/>
    </row>
    <row r="7" customFormat="false" ht="12.75" hidden="false" customHeight="false" outlineLevel="0" collapsed="false">
      <c r="A7" s="29" t="s">
        <v>84</v>
      </c>
      <c r="C7" s="33" t="n">
        <v>0.0125</v>
      </c>
      <c r="E7" s="33" t="n">
        <v>0.0125</v>
      </c>
      <c r="F7" s="30"/>
      <c r="G7" s="30" t="s">
        <v>70</v>
      </c>
      <c r="H7" s="30"/>
      <c r="I7" s="33" t="n">
        <v>0.0125</v>
      </c>
      <c r="J7" s="30"/>
      <c r="K7" s="30"/>
      <c r="L7" s="30"/>
      <c r="M7" s="30"/>
      <c r="N7" s="30"/>
    </row>
    <row r="8" customFormat="false" ht="12.75" hidden="false" customHeight="false" outlineLevel="0" collapsed="false">
      <c r="A8" s="29" t="s">
        <v>85</v>
      </c>
      <c r="C8" s="33" t="n">
        <v>0.0133</v>
      </c>
      <c r="E8" s="33" t="n">
        <v>0.0133</v>
      </c>
      <c r="F8" s="30"/>
      <c r="G8" s="30" t="s">
        <v>86</v>
      </c>
      <c r="H8" s="30"/>
      <c r="I8" s="33" t="n">
        <v>-0.0153</v>
      </c>
      <c r="J8" s="30"/>
      <c r="K8" s="30"/>
      <c r="L8" s="30"/>
      <c r="M8" s="30"/>
      <c r="N8" s="30"/>
    </row>
    <row r="9" customFormat="false" ht="12.75" hidden="false" customHeight="false" outlineLevel="0" collapsed="false">
      <c r="A9" s="29" t="s">
        <v>87</v>
      </c>
      <c r="C9" s="33" t="n">
        <v>0.0092</v>
      </c>
      <c r="E9" s="33" t="n">
        <f aca="false">0.0072+0.0022</f>
        <v>0.0094</v>
      </c>
      <c r="F9" s="30"/>
      <c r="G9" s="30" t="s">
        <v>88</v>
      </c>
      <c r="H9" s="30"/>
      <c r="I9" s="33" t="n">
        <v>0.0092</v>
      </c>
      <c r="J9" s="30"/>
      <c r="K9" s="30"/>
      <c r="L9" s="30"/>
      <c r="M9" s="30"/>
      <c r="N9" s="30"/>
    </row>
    <row r="10" customFormat="false" ht="12.75" hidden="false" customHeight="false" outlineLevel="0" collapsed="false">
      <c r="A10" s="29" t="s">
        <v>89</v>
      </c>
      <c r="C10" s="34" t="n">
        <v>0.02184</v>
      </c>
      <c r="E10" s="34" t="n">
        <v>0.02184</v>
      </c>
      <c r="F10" s="30"/>
      <c r="G10" s="30"/>
      <c r="H10" s="30"/>
      <c r="I10" s="35" t="n">
        <f aca="false">SUM(I7:I9)</f>
        <v>0.0064</v>
      </c>
      <c r="J10" s="30"/>
      <c r="K10" s="30"/>
      <c r="L10" s="30"/>
      <c r="M10" s="30"/>
      <c r="N10" s="30"/>
    </row>
    <row r="11" customFormat="false" ht="13.5" hidden="false" customHeight="false" outlineLevel="0" collapsed="false">
      <c r="A11" s="29" t="s">
        <v>68</v>
      </c>
      <c r="C11" s="35" t="n">
        <f aca="false">ROUND(+C6/(1-C10)+(C8+C9),4)-C6</f>
        <v>0.1663</v>
      </c>
      <c r="E11" s="35" t="n">
        <f aca="false">ROUND(+E6/(1-E10)+(E8+E9),4)-E6</f>
        <v>0.166499999999999</v>
      </c>
      <c r="F11" s="30"/>
      <c r="G11" s="30"/>
      <c r="H11" s="30"/>
      <c r="I11" s="36" t="n">
        <f aca="false">I6+I10</f>
        <v>6.4464</v>
      </c>
      <c r="J11" s="30"/>
      <c r="K11" s="30"/>
      <c r="L11" s="37"/>
      <c r="M11" s="30"/>
      <c r="N11" s="30"/>
    </row>
    <row r="12" customFormat="false" ht="14.25" hidden="false" customHeight="false" outlineLevel="0" collapsed="false">
      <c r="C12" s="36" t="n">
        <f aca="false">SUM(C6,C7,C11)</f>
        <v>6.6188</v>
      </c>
      <c r="D12" s="29" t="s">
        <v>90</v>
      </c>
      <c r="E12" s="35" t="n">
        <v>0.11</v>
      </c>
      <c r="F12" s="30"/>
      <c r="G12" s="30"/>
      <c r="H12" s="30"/>
      <c r="I12" s="38"/>
      <c r="J12" s="30"/>
      <c r="K12" s="30"/>
      <c r="L12" s="37"/>
      <c r="M12" s="30"/>
      <c r="N12" s="30"/>
    </row>
    <row r="13" customFormat="false" ht="14.25" hidden="false" customHeight="false" outlineLevel="0" collapsed="false">
      <c r="E13" s="36" t="n">
        <f aca="false">+E12+E11+E6</f>
        <v>6.7165</v>
      </c>
      <c r="H13" s="30"/>
      <c r="I13" s="39"/>
      <c r="J13" s="30"/>
      <c r="K13" s="30"/>
      <c r="L13" s="37"/>
      <c r="M13" s="30"/>
      <c r="N13" s="30"/>
    </row>
    <row r="14" customFormat="false" ht="13.5" hidden="false" customHeight="false" outlineLevel="0" collapsed="false">
      <c r="C14" s="40"/>
      <c r="E14" s="40"/>
      <c r="H14" s="30"/>
      <c r="I14" s="39"/>
      <c r="J14" s="30"/>
      <c r="K14" s="30"/>
      <c r="L14" s="37"/>
      <c r="M14" s="30"/>
      <c r="N14" s="30"/>
    </row>
    <row r="15" customFormat="false" ht="12.75" hidden="false" customHeight="false" outlineLevel="0" collapsed="false">
      <c r="C15" s="41"/>
      <c r="E15" s="41"/>
      <c r="H15" s="30"/>
      <c r="I15" s="30"/>
      <c r="J15" s="30"/>
      <c r="K15" s="30"/>
      <c r="L15" s="37"/>
      <c r="M15" s="30"/>
      <c r="N15" s="30"/>
    </row>
    <row r="16" customFormat="false" ht="12.75" hidden="false" customHeight="false" outlineLevel="0" collapsed="false">
      <c r="C16" s="41"/>
      <c r="E16" s="41"/>
      <c r="H16" s="30"/>
      <c r="I16" s="30" t="s">
        <v>91</v>
      </c>
      <c r="J16" s="30"/>
      <c r="K16" s="30"/>
      <c r="L16" s="37"/>
      <c r="M16" s="30"/>
      <c r="N16" s="30"/>
    </row>
    <row r="17" customFormat="false" ht="12.75" hidden="false" customHeight="false" outlineLevel="0" collapsed="false">
      <c r="A17" s="31" t="s">
        <v>92</v>
      </c>
      <c r="C17" s="29" t="s">
        <v>93</v>
      </c>
      <c r="D17" s="42" t="s">
        <v>94</v>
      </c>
      <c r="E17" s="42"/>
      <c r="F17" s="43"/>
      <c r="G17" s="43"/>
      <c r="H17" s="43"/>
      <c r="I17" s="43" t="s">
        <v>95</v>
      </c>
      <c r="J17" s="30" t="s">
        <v>96</v>
      </c>
      <c r="K17" s="30"/>
      <c r="L17" s="30"/>
      <c r="M17" s="30"/>
      <c r="N17" s="30"/>
    </row>
    <row r="18" customFormat="false" ht="12.75" hidden="false" customHeight="false" outlineLevel="0" collapsed="false">
      <c r="A18" s="29" t="s">
        <v>82</v>
      </c>
      <c r="B18" s="29" t="s">
        <v>92</v>
      </c>
      <c r="C18" s="32" t="n">
        <v>6.25</v>
      </c>
      <c r="D18" s="44" t="n">
        <v>1338</v>
      </c>
      <c r="E18" s="42" t="s">
        <v>97</v>
      </c>
      <c r="F18" s="43"/>
      <c r="G18" s="43"/>
      <c r="H18" s="45" t="n">
        <v>36892</v>
      </c>
      <c r="I18" s="46" t="n">
        <v>41486</v>
      </c>
      <c r="J18" s="46" t="n">
        <f aca="false">+I18/31</f>
        <v>1338.25806451613</v>
      </c>
      <c r="K18" s="30"/>
      <c r="L18" s="30"/>
      <c r="M18" s="30"/>
      <c r="N18" s="30"/>
    </row>
    <row r="19" customFormat="false" ht="12.75" hidden="false" customHeight="false" outlineLevel="0" collapsed="false">
      <c r="A19" s="29" t="s">
        <v>84</v>
      </c>
      <c r="C19" s="33" t="n">
        <v>0.1</v>
      </c>
      <c r="D19" s="42"/>
      <c r="E19" s="38"/>
      <c r="F19" s="43"/>
      <c r="G19" s="43"/>
      <c r="H19" s="45" t="n">
        <v>36923</v>
      </c>
      <c r="I19" s="46" t="n">
        <v>36508</v>
      </c>
      <c r="J19" s="46" t="n">
        <f aca="false">+I19/28</f>
        <v>1303.85714285714</v>
      </c>
      <c r="K19" s="30"/>
      <c r="L19" s="30"/>
      <c r="M19" s="30"/>
      <c r="N19" s="30"/>
    </row>
    <row r="20" customFormat="false" ht="12.75" hidden="false" customHeight="false" outlineLevel="0" collapsed="false">
      <c r="A20" s="29" t="s">
        <v>85</v>
      </c>
      <c r="C20" s="33" t="n">
        <v>0.017</v>
      </c>
      <c r="D20" s="42"/>
      <c r="E20" s="38"/>
      <c r="F20" s="43"/>
      <c r="G20" s="43"/>
      <c r="H20" s="45" t="n">
        <v>36951</v>
      </c>
      <c r="I20" s="46" t="n">
        <v>26671</v>
      </c>
      <c r="J20" s="46" t="n">
        <f aca="false">+I20/31</f>
        <v>860.354838709677</v>
      </c>
      <c r="K20" s="30"/>
      <c r="L20" s="30"/>
      <c r="M20" s="30"/>
      <c r="N20" s="30"/>
    </row>
    <row r="21" customFormat="false" ht="12.75" hidden="false" customHeight="false" outlineLevel="0" collapsed="false">
      <c r="A21" s="29" t="s">
        <v>87</v>
      </c>
      <c r="C21" s="33" t="n">
        <v>0.0022</v>
      </c>
      <c r="D21" s="42"/>
      <c r="E21" s="38"/>
      <c r="F21" s="43"/>
      <c r="G21" s="43"/>
      <c r="H21" s="43"/>
      <c r="I21" s="34"/>
      <c r="J21" s="30"/>
      <c r="K21" s="30"/>
      <c r="L21" s="30"/>
      <c r="M21" s="30"/>
      <c r="N21" s="30"/>
    </row>
    <row r="22" customFormat="false" ht="12.75" hidden="false" customHeight="false" outlineLevel="0" collapsed="false">
      <c r="A22" s="29" t="s">
        <v>89</v>
      </c>
      <c r="C22" s="34" t="n">
        <v>0.0282</v>
      </c>
      <c r="D22" s="42" t="n">
        <f aca="false">ROUND(+D18*(1-C22),0)</f>
        <v>1300</v>
      </c>
      <c r="E22" s="34" t="s">
        <v>98</v>
      </c>
      <c r="F22" s="43"/>
      <c r="G22" s="43"/>
      <c r="H22" s="43"/>
      <c r="I22" s="38"/>
      <c r="J22" s="30"/>
      <c r="K22" s="30"/>
      <c r="L22" s="30"/>
      <c r="M22" s="30"/>
      <c r="N22" s="30"/>
    </row>
    <row r="23" customFormat="false" ht="12.75" hidden="false" customHeight="false" outlineLevel="0" collapsed="false">
      <c r="A23" s="29" t="s">
        <v>68</v>
      </c>
      <c r="C23" s="35" t="n">
        <f aca="false">ROUND((+C18+C19)/(1-C22)+(C20+C21),4)-C18-C19</f>
        <v>0.2035</v>
      </c>
      <c r="D23" s="42"/>
      <c r="E23" s="38"/>
      <c r="F23" s="43"/>
      <c r="G23" s="43"/>
      <c r="H23" s="43"/>
      <c r="I23" s="38"/>
      <c r="J23" s="30"/>
      <c r="K23" s="30"/>
      <c r="L23" s="37"/>
      <c r="M23" s="30"/>
      <c r="N23" s="30"/>
    </row>
    <row r="24" customFormat="false" ht="13.5" hidden="false" customHeight="false" outlineLevel="0" collapsed="false">
      <c r="C24" s="36" t="n">
        <f aca="false">SUM(C18,C19,C23)</f>
        <v>6.5535</v>
      </c>
      <c r="D24" s="42"/>
      <c r="E24" s="38"/>
      <c r="F24" s="43"/>
      <c r="G24" s="43"/>
      <c r="H24" s="43"/>
      <c r="I24" s="38"/>
      <c r="J24" s="30"/>
      <c r="K24" s="30"/>
      <c r="L24" s="37"/>
      <c r="M24" s="30"/>
      <c r="N24" s="30"/>
    </row>
    <row r="25" customFormat="false" ht="13.5" hidden="false" customHeight="false" outlineLevel="0" collapsed="false">
      <c r="A25" s="29" t="s">
        <v>99</v>
      </c>
      <c r="D25" s="42"/>
      <c r="E25" s="38"/>
      <c r="F25" s="42"/>
      <c r="G25" s="42"/>
      <c r="H25" s="43"/>
      <c r="I25" s="43"/>
      <c r="J25" s="30"/>
      <c r="K25" s="30"/>
      <c r="L25" s="37"/>
      <c r="M25" s="30"/>
      <c r="N25" s="30"/>
    </row>
    <row r="26" customFormat="false" ht="12.75" hidden="false" customHeight="false" outlineLevel="0" collapsed="false">
      <c r="C26" s="40"/>
      <c r="E26" s="40"/>
      <c r="H26" s="30"/>
      <c r="I26" s="30"/>
      <c r="J26" s="30"/>
      <c r="K26" s="30"/>
      <c r="L26" s="37"/>
      <c r="M26" s="30"/>
      <c r="N26" s="30"/>
    </row>
    <row r="27" customFormat="false" ht="12.75" hidden="false" customHeight="false" outlineLevel="0" collapsed="false">
      <c r="A27" s="47" t="s">
        <v>100</v>
      </c>
      <c r="C27" s="41"/>
      <c r="E27" s="41"/>
      <c r="H27" s="30"/>
      <c r="I27" s="30"/>
      <c r="J27" s="30"/>
      <c r="K27" s="30"/>
      <c r="L27" s="37"/>
      <c r="M27" s="30"/>
      <c r="N27" s="30"/>
    </row>
    <row r="28" customFormat="false" ht="12.75" hidden="false" customHeight="false" outlineLevel="0" collapsed="false">
      <c r="B28" s="29" t="s">
        <v>101</v>
      </c>
      <c r="C28" s="33"/>
      <c r="H28" s="30"/>
      <c r="I28" s="30"/>
      <c r="J28" s="30"/>
      <c r="K28" s="30"/>
      <c r="L28" s="37"/>
      <c r="M28" s="30"/>
      <c r="N28" s="30"/>
    </row>
    <row r="29" customFormat="false" ht="12.75" hidden="false" customHeight="false" outlineLevel="0" collapsed="false">
      <c r="A29" s="30"/>
      <c r="B29" s="30" t="s">
        <v>102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customFormat="false" ht="12.75" hidden="false" customHeight="false" outlineLevel="0" collapsed="false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customFormat="false" ht="12.75" hidden="false" customHeight="false" outlineLevel="0" collapsed="false">
      <c r="A31" s="30"/>
      <c r="B31" s="48" t="s">
        <v>103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customFormat="false" ht="12.75" hidden="false" customHeight="false" outlineLevel="0" collapsed="false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customFormat="false" ht="12.75" hidden="false" customHeight="false" outlineLevel="0" collapsed="false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customFormat="false" ht="12.75" hidden="false" customHeight="false" outlineLevel="0" collapsed="false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customFormat="false" ht="12.75" hidden="false" customHeight="false" outlineLevel="0" collapsed="false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customFormat="false" ht="12.75" hidden="false" customHeight="false" outlineLevel="0" collapsed="false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customFormat="false" ht="12.75" hidden="false" customHeight="false" outlineLevel="0" collapsed="false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V16" activeCellId="0" sqref="V1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49" width="12.42"/>
    <col collapsed="false" customWidth="true" hidden="false" outlineLevel="0" max="8" min="8" style="49" width="13.99"/>
    <col collapsed="false" customWidth="true" hidden="false" outlineLevel="0" max="9" min="9" style="9" width="10.71"/>
    <col collapsed="false" customWidth="true" hidden="false" outlineLevel="0" max="10" min="10" style="9" width="7.7"/>
    <col collapsed="false" customWidth="true" hidden="true" outlineLevel="0" max="14" min="11" style="9" width="9.06"/>
    <col collapsed="false" customWidth="true" hidden="true" outlineLevel="0" max="15" min="15" style="50" width="9.06"/>
    <col collapsed="false" customWidth="true" hidden="true" outlineLevel="0" max="16" min="16" style="9" width="9.06"/>
    <col collapsed="false" customWidth="true" hidden="false" outlineLevel="0" max="17" min="17" style="9" width="11.7"/>
    <col collapsed="false" customWidth="true" hidden="false" outlineLevel="0" max="18" min="18" style="9" width="9.41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9" width="11.85"/>
    <col collapsed="false" customWidth="true" hidden="false" outlineLevel="0" max="22" min="22" style="12" width="14.85"/>
    <col collapsed="false" customWidth="true" hidden="false" outlineLevel="0" max="23" min="23" style="49" width="42.28"/>
    <col collapsed="false" customWidth="false" hidden="false" outlineLevel="0" max="25" min="24" style="12" width="9.14"/>
    <col collapsed="false" customWidth="true" hidden="false" outlineLevel="0" max="26" min="26" style="9" width="12.42"/>
    <col collapsed="false" customWidth="false" hidden="false" outlineLevel="0" max="257" min="27" style="9" width="9.14"/>
  </cols>
  <sheetData>
    <row r="1" customFormat="false" ht="12.75" hidden="false" customHeight="false" outlineLevel="0" collapsed="false">
      <c r="B1" s="51" t="s">
        <v>104</v>
      </c>
      <c r="C1" s="52"/>
      <c r="D1" s="52"/>
      <c r="E1" s="53"/>
      <c r="F1" s="53"/>
      <c r="G1" s="54"/>
      <c r="H1" s="54"/>
      <c r="I1" s="52" t="s">
        <v>105</v>
      </c>
      <c r="J1" s="55" t="n">
        <v>31</v>
      </c>
      <c r="K1" s="56" t="s">
        <v>106</v>
      </c>
      <c r="L1" s="57"/>
      <c r="M1" s="57"/>
      <c r="N1" s="57"/>
      <c r="O1" s="58"/>
      <c r="P1" s="57"/>
      <c r="Q1" s="59"/>
      <c r="R1" s="60"/>
      <c r="S1" s="61"/>
      <c r="T1" s="61"/>
      <c r="U1" s="61"/>
      <c r="V1" s="62"/>
      <c r="W1" s="63"/>
      <c r="X1" s="64"/>
      <c r="Y1" s="64"/>
    </row>
    <row r="2" customFormat="false" ht="12.75" hidden="false" customHeight="false" outlineLevel="0" collapsed="false">
      <c r="B2" s="54" t="s">
        <v>107</v>
      </c>
      <c r="C2" s="54"/>
      <c r="D2" s="54"/>
      <c r="E2" s="53"/>
      <c r="F2" s="53"/>
      <c r="G2" s="54"/>
      <c r="H2" s="54"/>
      <c r="I2" s="52"/>
      <c r="J2" s="55"/>
      <c r="K2" s="56" t="s">
        <v>108</v>
      </c>
      <c r="L2" s="57"/>
      <c r="M2" s="57"/>
      <c r="N2" s="57"/>
      <c r="O2" s="58"/>
      <c r="P2" s="57"/>
      <c r="Q2" s="59"/>
      <c r="R2" s="60"/>
      <c r="S2" s="61"/>
      <c r="T2" s="61"/>
      <c r="U2" s="61"/>
      <c r="V2" s="62"/>
      <c r="W2" s="63"/>
      <c r="X2" s="64"/>
      <c r="Y2" s="64"/>
    </row>
    <row r="3" customFormat="false" ht="12.75" hidden="false" customHeight="false" outlineLevel="0" collapsed="false">
      <c r="B3" s="54" t="s">
        <v>109</v>
      </c>
      <c r="C3" s="54"/>
      <c r="D3" s="54"/>
      <c r="E3" s="53"/>
      <c r="F3" s="53"/>
      <c r="G3" s="65" t="s">
        <v>110</v>
      </c>
      <c r="H3" s="54" t="s">
        <v>110</v>
      </c>
      <c r="I3" s="60" t="s">
        <v>110</v>
      </c>
      <c r="J3" s="66"/>
      <c r="K3" s="67" t="s">
        <v>110</v>
      </c>
      <c r="L3" s="57"/>
      <c r="M3" s="67" t="s">
        <v>110</v>
      </c>
      <c r="N3" s="57"/>
      <c r="O3" s="58"/>
      <c r="P3" s="67" t="s">
        <v>110</v>
      </c>
      <c r="Q3" s="59"/>
      <c r="R3" s="60"/>
      <c r="S3" s="61"/>
      <c r="T3" s="61"/>
      <c r="U3" s="61"/>
      <c r="V3" s="62"/>
      <c r="W3" s="63"/>
      <c r="X3" s="64"/>
      <c r="Y3" s="64"/>
    </row>
    <row r="4" customFormat="false" ht="12.75" hidden="false" customHeight="false" outlineLevel="0" collapsed="false">
      <c r="B4" s="54"/>
      <c r="C4" s="52"/>
      <c r="D4" s="52"/>
      <c r="E4" s="53"/>
      <c r="F4" s="53"/>
      <c r="G4" s="68"/>
      <c r="H4" s="54"/>
      <c r="I4" s="68"/>
      <c r="J4" s="66"/>
      <c r="K4" s="68"/>
      <c r="L4" s="57"/>
      <c r="M4" s="68"/>
      <c r="N4" s="60"/>
      <c r="O4" s="58"/>
      <c r="P4" s="60"/>
      <c r="Q4" s="59"/>
      <c r="R4" s="60"/>
      <c r="S4" s="61"/>
      <c r="T4" s="69"/>
      <c r="U4" s="69"/>
      <c r="V4" s="70"/>
      <c r="W4" s="63"/>
      <c r="X4" s="64"/>
      <c r="Y4" s="64"/>
    </row>
    <row r="5" customFormat="false" ht="12.75" hidden="false" customHeight="false" outlineLevel="0" collapsed="false">
      <c r="B5" s="54" t="s">
        <v>111</v>
      </c>
      <c r="C5" s="52"/>
      <c r="D5" s="54"/>
      <c r="E5" s="53"/>
      <c r="F5" s="53"/>
      <c r="G5" s="68"/>
      <c r="H5" s="54"/>
      <c r="I5" s="68"/>
      <c r="J5" s="66"/>
      <c r="K5" s="68"/>
      <c r="L5" s="57"/>
      <c r="M5" s="68"/>
      <c r="N5" s="60"/>
      <c r="O5" s="58"/>
      <c r="P5" s="60"/>
      <c r="Q5" s="59"/>
      <c r="R5" s="60"/>
      <c r="S5" s="61"/>
      <c r="T5" s="69"/>
      <c r="U5" s="69"/>
      <c r="V5" s="70"/>
      <c r="W5" s="63"/>
      <c r="X5" s="64"/>
      <c r="Y5" s="64"/>
    </row>
    <row r="6" customFormat="false" ht="12.75" hidden="false" customHeight="false" outlineLevel="0" collapsed="false">
      <c r="B6" s="54"/>
      <c r="C6" s="52" t="s">
        <v>112</v>
      </c>
      <c r="D6" s="52"/>
      <c r="E6" s="53"/>
      <c r="F6" s="53"/>
      <c r="G6" s="68"/>
      <c r="H6" s="54"/>
      <c r="I6" s="68"/>
      <c r="J6" s="66"/>
      <c r="K6" s="68"/>
      <c r="L6" s="57"/>
      <c r="M6" s="68"/>
      <c r="N6" s="60"/>
      <c r="O6" s="58"/>
      <c r="P6" s="60"/>
      <c r="Q6" s="59"/>
      <c r="R6" s="60"/>
      <c r="S6" s="61"/>
      <c r="T6" s="69"/>
      <c r="U6" s="69"/>
      <c r="V6" s="70"/>
      <c r="W6" s="63"/>
      <c r="X6" s="64"/>
      <c r="Y6" s="64"/>
    </row>
    <row r="7" customFormat="false" ht="12.75" hidden="false" customHeight="false" outlineLevel="0" collapsed="false">
      <c r="B7" s="54"/>
      <c r="C7" s="52"/>
      <c r="D7" s="52"/>
      <c r="E7" s="53"/>
      <c r="F7" s="53"/>
      <c r="G7" s="68"/>
      <c r="H7" s="54"/>
      <c r="I7" s="68"/>
      <c r="J7" s="66"/>
      <c r="K7" s="68"/>
      <c r="L7" s="57"/>
      <c r="M7" s="68"/>
      <c r="N7" s="60"/>
      <c r="O7" s="58"/>
      <c r="P7" s="60"/>
      <c r="Q7" s="59"/>
      <c r="R7" s="60"/>
      <c r="S7" s="61"/>
      <c r="T7" s="69"/>
      <c r="U7" s="69"/>
      <c r="V7" s="70"/>
      <c r="W7" s="63"/>
      <c r="X7" s="64"/>
      <c r="Y7" s="64"/>
    </row>
    <row r="8" customFormat="false" ht="12.75" hidden="false" customHeight="false" outlineLevel="0" collapsed="false">
      <c r="B8" s="54"/>
      <c r="C8" s="52"/>
      <c r="D8" s="52"/>
      <c r="E8" s="53"/>
      <c r="F8" s="53"/>
      <c r="G8" s="68"/>
      <c r="H8" s="54"/>
      <c r="I8" s="68"/>
      <c r="J8" s="66"/>
      <c r="K8" s="68"/>
      <c r="L8" s="57"/>
      <c r="M8" s="68"/>
      <c r="N8" s="60"/>
      <c r="O8" s="58"/>
      <c r="P8" s="60"/>
      <c r="Q8" s="59"/>
      <c r="R8" s="60"/>
      <c r="S8" s="61"/>
      <c r="T8" s="69"/>
      <c r="U8" s="69"/>
      <c r="V8" s="70"/>
      <c r="W8" s="63"/>
      <c r="X8" s="64"/>
      <c r="Y8" s="64"/>
    </row>
    <row r="9" customFormat="false" ht="12.75" hidden="false" customHeight="false" outlineLevel="0" collapsed="false">
      <c r="B9" s="54"/>
      <c r="C9" s="52"/>
      <c r="D9" s="52"/>
      <c r="E9" s="53"/>
      <c r="F9" s="53"/>
      <c r="G9" s="68"/>
      <c r="H9" s="54"/>
      <c r="I9" s="68"/>
      <c r="J9" s="66"/>
      <c r="K9" s="68"/>
      <c r="L9" s="57"/>
      <c r="M9" s="68"/>
      <c r="N9" s="60"/>
      <c r="O9" s="58"/>
      <c r="P9" s="60"/>
      <c r="Q9" s="59"/>
      <c r="R9" s="60"/>
      <c r="S9" s="61"/>
      <c r="T9" s="69"/>
      <c r="U9" s="69"/>
      <c r="V9" s="70"/>
      <c r="W9" s="63"/>
      <c r="X9" s="64"/>
      <c r="Y9" s="64"/>
    </row>
    <row r="10" customFormat="false" ht="12.75" hidden="false" customHeight="false" outlineLevel="0" collapsed="false">
      <c r="B10" s="54"/>
      <c r="C10" s="52"/>
      <c r="D10" s="52"/>
      <c r="E10" s="53"/>
      <c r="F10" s="53"/>
      <c r="G10" s="68"/>
      <c r="H10" s="54"/>
      <c r="I10" s="68"/>
      <c r="J10" s="66"/>
      <c r="K10" s="68"/>
      <c r="L10" s="57"/>
      <c r="M10" s="68"/>
      <c r="N10" s="60"/>
      <c r="O10" s="58"/>
      <c r="P10" s="60"/>
      <c r="Q10" s="59"/>
      <c r="R10" s="60"/>
      <c r="S10" s="61"/>
      <c r="T10" s="69"/>
      <c r="U10" s="69"/>
      <c r="V10" s="70"/>
      <c r="W10" s="63"/>
      <c r="X10" s="64"/>
      <c r="Y10" s="64"/>
    </row>
    <row r="11" customFormat="false" ht="12.75" hidden="false" customHeight="false" outlineLevel="0" collapsed="false">
      <c r="B11" s="71" t="s">
        <v>113</v>
      </c>
      <c r="C11" s="72" t="s">
        <v>114</v>
      </c>
      <c r="D11" s="72" t="s">
        <v>115</v>
      </c>
      <c r="E11" s="73" t="s">
        <v>116</v>
      </c>
      <c r="F11" s="73"/>
      <c r="G11" s="71" t="s">
        <v>117</v>
      </c>
      <c r="H11" s="71" t="s">
        <v>118</v>
      </c>
      <c r="I11" s="72" t="s">
        <v>119</v>
      </c>
      <c r="J11" s="74" t="s">
        <v>120</v>
      </c>
      <c r="K11" s="72" t="s">
        <v>121</v>
      </c>
      <c r="L11" s="72" t="s">
        <v>122</v>
      </c>
      <c r="M11" s="72" t="s">
        <v>123</v>
      </c>
      <c r="N11" s="72" t="s">
        <v>124</v>
      </c>
      <c r="O11" s="75" t="s">
        <v>125</v>
      </c>
      <c r="P11" s="72" t="s">
        <v>126</v>
      </c>
      <c r="Q11" s="76" t="s">
        <v>127</v>
      </c>
      <c r="R11" s="72" t="s">
        <v>128</v>
      </c>
      <c r="S11" s="71" t="s">
        <v>129</v>
      </c>
      <c r="T11" s="77" t="s">
        <v>130</v>
      </c>
      <c r="U11" s="77" t="s">
        <v>131</v>
      </c>
      <c r="V11" s="78" t="s">
        <v>132</v>
      </c>
      <c r="W11" s="79" t="e">
        <f aca="false">+#REF!</f>
        <v>#REF!</v>
      </c>
      <c r="X11" s="80"/>
      <c r="Y11" s="80"/>
    </row>
    <row r="12" customFormat="false" ht="12.75" hidden="false" customHeight="false" outlineLevel="0" collapsed="false">
      <c r="A12" s="81"/>
      <c r="B12" s="82" t="s">
        <v>60</v>
      </c>
      <c r="C12" s="83" t="s">
        <v>133</v>
      </c>
      <c r="D12" s="83" t="s">
        <v>31</v>
      </c>
      <c r="E12" s="84" t="n">
        <v>36923</v>
      </c>
      <c r="F12" s="84" t="n">
        <v>36922</v>
      </c>
      <c r="G12" s="82" t="s">
        <v>134</v>
      </c>
      <c r="H12" s="82" t="s">
        <v>135</v>
      </c>
      <c r="I12" s="83" t="s">
        <v>136</v>
      </c>
      <c r="J12" s="85" t="n">
        <f aca="false">3.145/J$1</f>
        <v>0.101451612903226</v>
      </c>
      <c r="K12" s="86"/>
      <c r="L12" s="86"/>
      <c r="M12" s="86"/>
      <c r="N12" s="86"/>
      <c r="O12" s="87"/>
      <c r="P12" s="86"/>
      <c r="Q12" s="88" t="n">
        <v>70358</v>
      </c>
      <c r="R12" s="83" t="n">
        <v>5</v>
      </c>
      <c r="S12" s="82" t="s">
        <v>137</v>
      </c>
      <c r="T12" s="89" t="n">
        <f aca="false">+J12*R12*31</f>
        <v>15.725</v>
      </c>
      <c r="U12" s="90"/>
      <c r="V12" s="91" t="n">
        <v>575395</v>
      </c>
      <c r="W12" s="82"/>
      <c r="X12" s="92"/>
      <c r="Y12" s="92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customFormat="false" ht="12.75" hidden="false" customHeight="false" outlineLevel="0" collapsed="false">
      <c r="A13" s="93"/>
      <c r="B13" s="94" t="s">
        <v>60</v>
      </c>
      <c r="C13" s="95" t="s">
        <v>133</v>
      </c>
      <c r="D13" s="95" t="s">
        <v>31</v>
      </c>
      <c r="E13" s="96" t="n">
        <v>36617</v>
      </c>
      <c r="F13" s="96" t="n">
        <v>36981</v>
      </c>
      <c r="G13" s="94" t="s">
        <v>134</v>
      </c>
      <c r="H13" s="94" t="s">
        <v>135</v>
      </c>
      <c r="I13" s="95" t="s">
        <v>136</v>
      </c>
      <c r="J13" s="97" t="n">
        <f aca="false">3.145/J$1</f>
        <v>0.101451612903226</v>
      </c>
      <c r="K13" s="98"/>
      <c r="L13" s="98"/>
      <c r="M13" s="98"/>
      <c r="N13" s="98"/>
      <c r="O13" s="99"/>
      <c r="P13" s="98"/>
      <c r="Q13" s="100" t="n">
        <v>66941</v>
      </c>
      <c r="R13" s="95" t="n">
        <v>53</v>
      </c>
      <c r="S13" s="94"/>
      <c r="T13" s="101" t="n">
        <f aca="false">+J13*R13*31</f>
        <v>166.685</v>
      </c>
      <c r="U13" s="102"/>
      <c r="V13" s="103" t="n">
        <v>228122</v>
      </c>
      <c r="W13" s="94"/>
      <c r="X13" s="104"/>
      <c r="Y13" s="104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customFormat="false" ht="12.75" hidden="false" customHeight="false" outlineLevel="0" collapsed="false">
      <c r="A14" s="93"/>
      <c r="B14" s="94" t="s">
        <v>60</v>
      </c>
      <c r="C14" s="95" t="s">
        <v>133</v>
      </c>
      <c r="D14" s="95" t="s">
        <v>34</v>
      </c>
      <c r="E14" s="96" t="n">
        <v>36647</v>
      </c>
      <c r="F14" s="96" t="n">
        <v>37011</v>
      </c>
      <c r="G14" s="94" t="s">
        <v>134</v>
      </c>
      <c r="H14" s="94" t="s">
        <v>135</v>
      </c>
      <c r="I14" s="95" t="s">
        <v>136</v>
      </c>
      <c r="J14" s="97" t="n">
        <f aca="false">3.145/J$1</f>
        <v>0.101451612903226</v>
      </c>
      <c r="K14" s="98"/>
      <c r="L14" s="98"/>
      <c r="M14" s="98"/>
      <c r="N14" s="98"/>
      <c r="O14" s="99"/>
      <c r="P14" s="98"/>
      <c r="Q14" s="100" t="n">
        <v>68281</v>
      </c>
      <c r="R14" s="95" t="n">
        <v>21</v>
      </c>
      <c r="S14" s="94" t="s">
        <v>138</v>
      </c>
      <c r="T14" s="102" t="n">
        <f aca="false">+R14*J14*$J$1</f>
        <v>66.045</v>
      </c>
      <c r="U14" s="102"/>
      <c r="V14" s="103" t="n">
        <v>256413</v>
      </c>
      <c r="W14" s="94"/>
      <c r="X14" s="104"/>
      <c r="Y14" s="104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customFormat="false" ht="12.75" hidden="false" customHeight="false" outlineLevel="0" collapsed="false">
      <c r="A15" s="93"/>
      <c r="B15" s="94" t="s">
        <v>60</v>
      </c>
      <c r="C15" s="95" t="s">
        <v>133</v>
      </c>
      <c r="D15" s="95" t="s">
        <v>31</v>
      </c>
      <c r="E15" s="96" t="n">
        <v>36656</v>
      </c>
      <c r="F15" s="96" t="n">
        <v>36950</v>
      </c>
      <c r="G15" s="94" t="s">
        <v>134</v>
      </c>
      <c r="H15" s="94" t="s">
        <v>135</v>
      </c>
      <c r="I15" s="95" t="s">
        <v>136</v>
      </c>
      <c r="J15" s="97" t="n">
        <f aca="false">3.145/J$1</f>
        <v>0.101451612903226</v>
      </c>
      <c r="K15" s="98"/>
      <c r="L15" s="98"/>
      <c r="M15" s="98"/>
      <c r="N15" s="98"/>
      <c r="O15" s="99"/>
      <c r="P15" s="98"/>
      <c r="Q15" s="100" t="n">
        <v>68309</v>
      </c>
      <c r="R15" s="95" t="n">
        <v>9</v>
      </c>
      <c r="S15" s="94"/>
      <c r="T15" s="102" t="n">
        <f aca="false">+R15*J15*$J$1</f>
        <v>28.305</v>
      </c>
      <c r="U15" s="102"/>
      <c r="V15" s="103" t="n">
        <v>262090</v>
      </c>
      <c r="W15" s="94" t="s">
        <v>139</v>
      </c>
      <c r="X15" s="104"/>
      <c r="Y15" s="104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customFormat="false" ht="12.75" hidden="false" customHeight="false" outlineLevel="0" collapsed="false">
      <c r="A16" s="93"/>
      <c r="B16" s="94" t="s">
        <v>60</v>
      </c>
      <c r="C16" s="95" t="s">
        <v>133</v>
      </c>
      <c r="D16" s="95" t="s">
        <v>34</v>
      </c>
      <c r="E16" s="96" t="n">
        <v>36678</v>
      </c>
      <c r="F16" s="96" t="n">
        <v>37042</v>
      </c>
      <c r="G16" s="94" t="s">
        <v>134</v>
      </c>
      <c r="H16" s="94" t="s">
        <v>135</v>
      </c>
      <c r="I16" s="95" t="s">
        <v>136</v>
      </c>
      <c r="J16" s="97" t="n">
        <f aca="false">3.145/J$1</f>
        <v>0.101451612903226</v>
      </c>
      <c r="K16" s="98" t="n">
        <v>0.0132</v>
      </c>
      <c r="L16" s="98" t="n">
        <v>0.0022</v>
      </c>
      <c r="M16" s="98" t="n">
        <v>0</v>
      </c>
      <c r="N16" s="98" t="n">
        <v>0</v>
      </c>
      <c r="O16" s="99" t="n">
        <v>0.02116</v>
      </c>
      <c r="P16" s="98" t="n">
        <f aca="false">SUM(J16:N16)</f>
        <v>0.116851612903226</v>
      </c>
      <c r="Q16" s="100" t="n">
        <v>68360</v>
      </c>
      <c r="R16" s="95" t="n">
        <v>291</v>
      </c>
      <c r="S16" s="94"/>
      <c r="T16" s="102" t="n">
        <f aca="false">J16*J$1*R16</f>
        <v>915.195</v>
      </c>
      <c r="U16" s="102"/>
      <c r="V16" s="103" t="n">
        <v>271311</v>
      </c>
      <c r="W16" s="94"/>
      <c r="X16" s="104"/>
      <c r="Y16" s="104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customFormat="false" ht="12.75" hidden="false" customHeight="false" outlineLevel="0" collapsed="false">
      <c r="A17" s="93"/>
      <c r="B17" s="94" t="s">
        <v>60</v>
      </c>
      <c r="C17" s="95" t="s">
        <v>133</v>
      </c>
      <c r="D17" s="95" t="s">
        <v>31</v>
      </c>
      <c r="E17" s="96" t="n">
        <v>36678</v>
      </c>
      <c r="F17" s="96" t="n">
        <v>37042</v>
      </c>
      <c r="G17" s="94" t="s">
        <v>134</v>
      </c>
      <c r="H17" s="94" t="s">
        <v>135</v>
      </c>
      <c r="I17" s="95" t="s">
        <v>136</v>
      </c>
      <c r="J17" s="97" t="n">
        <f aca="false">3.145/J$1</f>
        <v>0.101451612903226</v>
      </c>
      <c r="K17" s="98" t="n">
        <v>0.0132</v>
      </c>
      <c r="L17" s="98" t="n">
        <v>0.0022</v>
      </c>
      <c r="M17" s="98" t="n">
        <v>0</v>
      </c>
      <c r="N17" s="98" t="n">
        <v>0</v>
      </c>
      <c r="O17" s="99" t="n">
        <v>0.02116</v>
      </c>
      <c r="P17" s="98" t="n">
        <f aca="false">SUM(J17:N17)</f>
        <v>0.116851612903226</v>
      </c>
      <c r="Q17" s="100" t="n">
        <v>68385</v>
      </c>
      <c r="R17" s="95" t="n">
        <v>223</v>
      </c>
      <c r="S17" s="94"/>
      <c r="T17" s="102" t="n">
        <f aca="false">J17*J$1*R17</f>
        <v>701.335</v>
      </c>
      <c r="U17" s="102"/>
      <c r="V17" s="103" t="n">
        <v>280550</v>
      </c>
      <c r="W17" s="94"/>
      <c r="X17" s="104"/>
      <c r="Y17" s="104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customFormat="false" ht="12.75" hidden="false" customHeight="false" outlineLevel="0" collapsed="false">
      <c r="A18" s="93"/>
      <c r="B18" s="94" t="s">
        <v>60</v>
      </c>
      <c r="C18" s="95" t="s">
        <v>133</v>
      </c>
      <c r="D18" s="95" t="s">
        <v>34</v>
      </c>
      <c r="E18" s="96" t="n">
        <v>36708</v>
      </c>
      <c r="F18" s="96" t="n">
        <v>37072</v>
      </c>
      <c r="G18" s="94" t="s">
        <v>134</v>
      </c>
      <c r="H18" s="94" t="s">
        <v>135</v>
      </c>
      <c r="I18" s="95" t="s">
        <v>136</v>
      </c>
      <c r="J18" s="97" t="n">
        <f aca="false">3.145/J$1</f>
        <v>0.101451612903226</v>
      </c>
      <c r="K18" s="98" t="n">
        <v>0.0132</v>
      </c>
      <c r="L18" s="98" t="n">
        <v>0.0022</v>
      </c>
      <c r="M18" s="98" t="n">
        <v>0</v>
      </c>
      <c r="N18" s="98" t="n">
        <v>0</v>
      </c>
      <c r="O18" s="99" t="n">
        <v>0.02116</v>
      </c>
      <c r="P18" s="98" t="n">
        <f aca="false">SUM(J18:N18)</f>
        <v>0.116851612903226</v>
      </c>
      <c r="Q18" s="100" t="n">
        <v>68615</v>
      </c>
      <c r="R18" s="95" t="n">
        <v>920</v>
      </c>
      <c r="S18" s="94"/>
      <c r="T18" s="102" t="n">
        <f aca="false">J18*J$1*R18</f>
        <v>2893.4</v>
      </c>
      <c r="U18" s="102"/>
      <c r="V18" s="103" t="n">
        <v>309873</v>
      </c>
      <c r="W18" s="94"/>
      <c r="X18" s="104"/>
      <c r="Y18" s="104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customFormat="false" ht="12.75" hidden="false" customHeight="false" outlineLevel="0" collapsed="false">
      <c r="A19" s="93"/>
      <c r="B19" s="94" t="s">
        <v>60</v>
      </c>
      <c r="C19" s="95" t="s">
        <v>133</v>
      </c>
      <c r="D19" s="95" t="s">
        <v>34</v>
      </c>
      <c r="E19" s="96" t="n">
        <v>36708</v>
      </c>
      <c r="F19" s="96" t="s">
        <v>140</v>
      </c>
      <c r="G19" s="94" t="s">
        <v>134</v>
      </c>
      <c r="H19" s="94" t="s">
        <v>135</v>
      </c>
      <c r="I19" s="95" t="s">
        <v>136</v>
      </c>
      <c r="J19" s="97" t="n">
        <f aca="false">3.145/J$1</f>
        <v>0.101451612903226</v>
      </c>
      <c r="K19" s="98"/>
      <c r="L19" s="98"/>
      <c r="M19" s="98"/>
      <c r="N19" s="98"/>
      <c r="O19" s="99"/>
      <c r="P19" s="98"/>
      <c r="Q19" s="100" t="n">
        <v>68634</v>
      </c>
      <c r="R19" s="95" t="n">
        <v>1</v>
      </c>
      <c r="S19" s="94"/>
      <c r="T19" s="102" t="n">
        <f aca="false">J19*J$1*R19</f>
        <v>3.145</v>
      </c>
      <c r="U19" s="102"/>
      <c r="V19" s="103" t="n">
        <v>312338</v>
      </c>
      <c r="W19" s="94"/>
      <c r="X19" s="104"/>
      <c r="Y19" s="104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customFormat="false" ht="12.75" hidden="false" customHeight="false" outlineLevel="0" collapsed="false">
      <c r="A20" s="93"/>
      <c r="B20" s="94" t="s">
        <v>60</v>
      </c>
      <c r="C20" s="95" t="s">
        <v>133</v>
      </c>
      <c r="D20" s="95" t="s">
        <v>31</v>
      </c>
      <c r="E20" s="96" t="n">
        <v>36739</v>
      </c>
      <c r="F20" s="96" t="n">
        <v>37103</v>
      </c>
      <c r="G20" s="94" t="s">
        <v>134</v>
      </c>
      <c r="H20" s="94" t="s">
        <v>135</v>
      </c>
      <c r="I20" s="95" t="s">
        <v>136</v>
      </c>
      <c r="J20" s="97" t="n">
        <f aca="false">3.145/J$1</f>
        <v>0.101451612903226</v>
      </c>
      <c r="K20" s="98"/>
      <c r="L20" s="98"/>
      <c r="M20" s="98"/>
      <c r="N20" s="98"/>
      <c r="O20" s="99"/>
      <c r="P20" s="98"/>
      <c r="Q20" s="100" t="n">
        <v>68927</v>
      </c>
      <c r="R20" s="95" t="n">
        <v>4</v>
      </c>
      <c r="S20" s="94" t="s">
        <v>141</v>
      </c>
      <c r="T20" s="102" t="n">
        <f aca="false">+R20*J20*$J$1</f>
        <v>12.58</v>
      </c>
      <c r="U20" s="102"/>
      <c r="V20" s="103" t="n">
        <v>345112</v>
      </c>
      <c r="W20" s="94"/>
      <c r="X20" s="104"/>
      <c r="Y20" s="104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customFormat="false" ht="12.75" hidden="false" customHeight="false" outlineLevel="0" collapsed="false">
      <c r="A21" s="93"/>
      <c r="B21" s="94" t="s">
        <v>60</v>
      </c>
      <c r="C21" s="95" t="s">
        <v>133</v>
      </c>
      <c r="D21" s="95" t="s">
        <v>31</v>
      </c>
      <c r="E21" s="96" t="n">
        <v>36739</v>
      </c>
      <c r="F21" s="96" t="n">
        <v>37103</v>
      </c>
      <c r="G21" s="94" t="s">
        <v>134</v>
      </c>
      <c r="H21" s="94" t="s">
        <v>135</v>
      </c>
      <c r="I21" s="95" t="s">
        <v>136</v>
      </c>
      <c r="J21" s="97" t="n">
        <f aca="false">3.145/J$1</f>
        <v>0.101451612903226</v>
      </c>
      <c r="K21" s="98"/>
      <c r="L21" s="98"/>
      <c r="M21" s="98"/>
      <c r="N21" s="98"/>
      <c r="O21" s="99"/>
      <c r="P21" s="98"/>
      <c r="Q21" s="100" t="n">
        <v>68929</v>
      </c>
      <c r="R21" s="95" t="n">
        <v>48</v>
      </c>
      <c r="S21" s="94" t="s">
        <v>142</v>
      </c>
      <c r="T21" s="102" t="n">
        <f aca="false">+R21*J21*$J$1</f>
        <v>150.96</v>
      </c>
      <c r="U21" s="102"/>
      <c r="V21" s="103" t="n">
        <v>345091</v>
      </c>
      <c r="W21" s="94"/>
      <c r="X21" s="104"/>
      <c r="Y21" s="104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12.75" hidden="false" customHeight="false" outlineLevel="0" collapsed="false">
      <c r="A22" s="93"/>
      <c r="B22" s="94" t="s">
        <v>60</v>
      </c>
      <c r="C22" s="95" t="s">
        <v>133</v>
      </c>
      <c r="D22" s="95" t="s">
        <v>31</v>
      </c>
      <c r="E22" s="96" t="n">
        <v>36770</v>
      </c>
      <c r="F22" s="96" t="n">
        <v>37134</v>
      </c>
      <c r="G22" s="94" t="s">
        <v>134</v>
      </c>
      <c r="H22" s="94" t="s">
        <v>135</v>
      </c>
      <c r="I22" s="95" t="s">
        <v>136</v>
      </c>
      <c r="J22" s="97" t="n">
        <f aca="false">3.145/J$1</f>
        <v>0.101451612903226</v>
      </c>
      <c r="K22" s="98"/>
      <c r="L22" s="98"/>
      <c r="M22" s="98"/>
      <c r="N22" s="98"/>
      <c r="O22" s="99"/>
      <c r="P22" s="98"/>
      <c r="Q22" s="100" t="n">
        <v>69145</v>
      </c>
      <c r="R22" s="95" t="n">
        <v>63</v>
      </c>
      <c r="S22" s="94" t="s">
        <v>143</v>
      </c>
      <c r="T22" s="102" t="n">
        <f aca="false">+R22*J22*J2</f>
        <v>0</v>
      </c>
      <c r="U22" s="102"/>
      <c r="V22" s="103" t="n">
        <v>372169</v>
      </c>
      <c r="W22" s="94"/>
      <c r="X22" s="104"/>
      <c r="Y22" s="104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  <row r="23" customFormat="false" ht="12.75" hidden="false" customHeight="false" outlineLevel="0" collapsed="false">
      <c r="A23" s="93"/>
      <c r="B23" s="94" t="s">
        <v>60</v>
      </c>
      <c r="C23" s="95" t="s">
        <v>133</v>
      </c>
      <c r="D23" s="95" t="s">
        <v>31</v>
      </c>
      <c r="E23" s="96" t="n">
        <v>36800</v>
      </c>
      <c r="F23" s="96" t="n">
        <v>37164</v>
      </c>
      <c r="G23" s="94" t="s">
        <v>134</v>
      </c>
      <c r="H23" s="94" t="s">
        <v>135</v>
      </c>
      <c r="I23" s="95" t="s">
        <v>136</v>
      </c>
      <c r="J23" s="97" t="n">
        <f aca="false">3.145/J$1</f>
        <v>0.101451612903226</v>
      </c>
      <c r="K23" s="98"/>
      <c r="L23" s="98"/>
      <c r="M23" s="98"/>
      <c r="N23" s="98"/>
      <c r="O23" s="99"/>
      <c r="P23" s="98"/>
      <c r="Q23" s="100" t="n">
        <v>69357</v>
      </c>
      <c r="R23" s="95" t="n">
        <v>13</v>
      </c>
      <c r="S23" s="94" t="s">
        <v>144</v>
      </c>
      <c r="T23" s="102" t="n">
        <f aca="false">+R23*J23*J1</f>
        <v>40.885</v>
      </c>
      <c r="U23" s="102"/>
      <c r="V23" s="103" t="n">
        <v>418249</v>
      </c>
      <c r="W23" s="94"/>
      <c r="X23" s="104"/>
      <c r="Y23" s="104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</row>
    <row r="24" customFormat="false" ht="12.75" hidden="false" customHeight="false" outlineLevel="0" collapsed="false">
      <c r="A24" s="93"/>
      <c r="B24" s="94" t="s">
        <v>60</v>
      </c>
      <c r="C24" s="95" t="s">
        <v>133</v>
      </c>
      <c r="D24" s="95" t="s">
        <v>31</v>
      </c>
      <c r="E24" s="96" t="n">
        <v>36831</v>
      </c>
      <c r="F24" s="96" t="n">
        <v>37195</v>
      </c>
      <c r="G24" s="94" t="s">
        <v>134</v>
      </c>
      <c r="H24" s="94" t="s">
        <v>135</v>
      </c>
      <c r="I24" s="95" t="s">
        <v>136</v>
      </c>
      <c r="J24" s="97" t="n">
        <f aca="false">3.145/J$1</f>
        <v>0.101451612903226</v>
      </c>
      <c r="K24" s="98"/>
      <c r="L24" s="98"/>
      <c r="M24" s="98"/>
      <c r="N24" s="98"/>
      <c r="O24" s="99"/>
      <c r="P24" s="98"/>
      <c r="Q24" s="100" t="n">
        <v>69710</v>
      </c>
      <c r="R24" s="95" t="n">
        <v>129</v>
      </c>
      <c r="S24" s="94" t="s">
        <v>145</v>
      </c>
      <c r="T24" s="102" t="n">
        <f aca="false">+R24*J24*J1</f>
        <v>405.705</v>
      </c>
      <c r="U24" s="102"/>
      <c r="V24" s="103" t="n">
        <v>567314</v>
      </c>
      <c r="W24" s="94"/>
      <c r="X24" s="104"/>
      <c r="Y24" s="104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  <c r="IS24" s="93"/>
      <c r="IT24" s="93"/>
      <c r="IU24" s="93"/>
      <c r="IV24" s="93"/>
      <c r="IW24" s="93"/>
    </row>
    <row r="25" customFormat="false" ht="12.75" hidden="false" customHeight="false" outlineLevel="0" collapsed="false">
      <c r="A25" s="93"/>
      <c r="B25" s="94" t="s">
        <v>60</v>
      </c>
      <c r="C25" s="95" t="s">
        <v>133</v>
      </c>
      <c r="D25" s="95" t="s">
        <v>31</v>
      </c>
      <c r="E25" s="96" t="n">
        <v>36861</v>
      </c>
      <c r="F25" s="96" t="n">
        <v>37225</v>
      </c>
      <c r="G25" s="94" t="s">
        <v>134</v>
      </c>
      <c r="H25" s="94" t="s">
        <v>135</v>
      </c>
      <c r="I25" s="95" t="s">
        <v>136</v>
      </c>
      <c r="J25" s="97" t="n">
        <f aca="false">3.145/J1</f>
        <v>0.101451612903226</v>
      </c>
      <c r="K25" s="98"/>
      <c r="L25" s="98"/>
      <c r="M25" s="98"/>
      <c r="N25" s="98"/>
      <c r="O25" s="99"/>
      <c r="P25" s="98"/>
      <c r="Q25" s="100" t="n">
        <v>69947</v>
      </c>
      <c r="R25" s="95" t="n">
        <v>3</v>
      </c>
      <c r="S25" s="94" t="s">
        <v>146</v>
      </c>
      <c r="T25" s="102" t="n">
        <f aca="false">+R25*J25*J1</f>
        <v>9.435</v>
      </c>
      <c r="U25" s="102"/>
      <c r="V25" s="103" t="n">
        <v>491030</v>
      </c>
      <c r="W25" s="94"/>
      <c r="X25" s="104"/>
      <c r="Y25" s="104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  <c r="IW25" s="93"/>
    </row>
    <row r="26" customFormat="false" ht="12.75" hidden="false" customHeight="false" outlineLevel="0" collapsed="false">
      <c r="A26" s="105"/>
      <c r="B26" s="54"/>
      <c r="C26" s="52"/>
      <c r="D26" s="52"/>
      <c r="E26" s="53"/>
      <c r="F26" s="53"/>
      <c r="G26" s="54"/>
      <c r="H26" s="54"/>
      <c r="I26" s="52"/>
      <c r="J26" s="66"/>
      <c r="K26" s="57"/>
      <c r="L26" s="57"/>
      <c r="M26" s="57"/>
      <c r="N26" s="57"/>
      <c r="O26" s="58"/>
      <c r="P26" s="57"/>
      <c r="Q26" s="59"/>
      <c r="R26" s="52"/>
      <c r="S26" s="54"/>
      <c r="T26" s="106"/>
      <c r="U26" s="106"/>
      <c r="V26" s="107"/>
      <c r="W26" s="54"/>
      <c r="X26" s="80"/>
      <c r="Y26" s="80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05"/>
      <c r="DZ26" s="105"/>
      <c r="EA26" s="105"/>
      <c r="EB26" s="105"/>
      <c r="EC26" s="105"/>
      <c r="ED26" s="105"/>
      <c r="EE26" s="105"/>
      <c r="EF26" s="105"/>
      <c r="EG26" s="105"/>
      <c r="EH26" s="105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105"/>
      <c r="EV26" s="105"/>
      <c r="EW26" s="105"/>
      <c r="EX26" s="105"/>
      <c r="EY26" s="105"/>
      <c r="EZ26" s="105"/>
      <c r="FA26" s="105"/>
      <c r="FB26" s="105"/>
      <c r="FC26" s="105"/>
      <c r="FD26" s="105"/>
      <c r="FE26" s="105"/>
      <c r="FF26" s="105"/>
      <c r="FG26" s="105"/>
      <c r="FH26" s="105"/>
      <c r="FI26" s="105"/>
      <c r="FJ26" s="105"/>
      <c r="FK26" s="105"/>
      <c r="FL26" s="105"/>
      <c r="FM26" s="105"/>
      <c r="FN26" s="105"/>
      <c r="FO26" s="105"/>
      <c r="FP26" s="105"/>
      <c r="FQ26" s="105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  <c r="GD26" s="105"/>
      <c r="GE26" s="105"/>
      <c r="GF26" s="105"/>
      <c r="GG26" s="105"/>
      <c r="GH26" s="105"/>
      <c r="GI26" s="105"/>
      <c r="GJ26" s="105"/>
      <c r="GK26" s="105"/>
      <c r="GL26" s="105"/>
      <c r="GM26" s="105"/>
      <c r="GN26" s="105"/>
      <c r="GO26" s="105"/>
      <c r="GP26" s="105"/>
      <c r="GQ26" s="105"/>
      <c r="GR26" s="105"/>
      <c r="GS26" s="105"/>
      <c r="GT26" s="105"/>
      <c r="GU26" s="105"/>
      <c r="GV26" s="105"/>
      <c r="GW26" s="105"/>
      <c r="GX26" s="105"/>
      <c r="GY26" s="105"/>
      <c r="GZ26" s="105"/>
      <c r="HA26" s="105"/>
      <c r="HB26" s="105"/>
      <c r="HC26" s="105"/>
      <c r="HD26" s="105"/>
      <c r="HE26" s="105"/>
      <c r="HF26" s="105"/>
      <c r="HG26" s="105"/>
      <c r="HH26" s="105"/>
      <c r="HI26" s="105"/>
      <c r="HJ26" s="105"/>
      <c r="HK26" s="105"/>
      <c r="HL26" s="105"/>
      <c r="HM26" s="105"/>
      <c r="HN26" s="105"/>
      <c r="HO26" s="105"/>
      <c r="HP26" s="105"/>
      <c r="HQ26" s="105"/>
      <c r="HR26" s="105"/>
      <c r="HS26" s="105"/>
      <c r="HT26" s="105"/>
      <c r="HU26" s="105"/>
      <c r="HV26" s="105"/>
      <c r="HW26" s="105"/>
      <c r="HX26" s="105"/>
      <c r="HY26" s="105"/>
      <c r="HZ26" s="105"/>
      <c r="IA26" s="105"/>
      <c r="IB26" s="105"/>
      <c r="IC26" s="105"/>
      <c r="ID26" s="105"/>
      <c r="IE26" s="105"/>
      <c r="IF26" s="105"/>
      <c r="IG26" s="105"/>
      <c r="IH26" s="105"/>
      <c r="II26" s="105"/>
      <c r="IJ26" s="105"/>
      <c r="IK26" s="105"/>
      <c r="IL26" s="105"/>
      <c r="IM26" s="105"/>
      <c r="IN26" s="105"/>
      <c r="IO26" s="105"/>
      <c r="IP26" s="105"/>
      <c r="IQ26" s="105"/>
      <c r="IR26" s="105"/>
      <c r="IS26" s="105"/>
      <c r="IT26" s="105"/>
      <c r="IU26" s="105"/>
      <c r="IV26" s="105"/>
      <c r="IW26" s="105"/>
    </row>
    <row r="27" customFormat="false" ht="12.75" hidden="false" customHeight="false" outlineLevel="0" collapsed="false">
      <c r="B27" s="54"/>
      <c r="C27" s="52"/>
      <c r="D27" s="52"/>
      <c r="E27" s="53"/>
      <c r="F27" s="53"/>
      <c r="G27" s="54"/>
      <c r="H27" s="54"/>
      <c r="I27" s="52"/>
      <c r="J27" s="66"/>
      <c r="K27" s="57"/>
      <c r="L27" s="108"/>
      <c r="M27" s="57"/>
      <c r="N27" s="57"/>
      <c r="O27" s="58"/>
      <c r="P27" s="57"/>
      <c r="Q27" s="59"/>
      <c r="R27" s="60" t="n">
        <f aca="false">SUM(R12:R25)</f>
        <v>1783</v>
      </c>
      <c r="S27" s="52"/>
      <c r="T27" s="106" t="n">
        <f aca="false">SUM(T12:T26)</f>
        <v>5409.4</v>
      </c>
      <c r="U27" s="106"/>
      <c r="V27" s="107"/>
      <c r="W27" s="54"/>
      <c r="X27" s="80"/>
      <c r="Y27" s="80"/>
    </row>
    <row r="28" customFormat="false" ht="12.75" hidden="false" customHeight="false" outlineLevel="0" collapsed="false">
      <c r="B28" s="71" t="s">
        <v>113</v>
      </c>
      <c r="C28" s="72" t="s">
        <v>114</v>
      </c>
      <c r="D28" s="72" t="s">
        <v>115</v>
      </c>
      <c r="E28" s="73" t="s">
        <v>116</v>
      </c>
      <c r="F28" s="73"/>
      <c r="G28" s="71" t="s">
        <v>117</v>
      </c>
      <c r="H28" s="71" t="s">
        <v>118</v>
      </c>
      <c r="I28" s="72" t="s">
        <v>119</v>
      </c>
      <c r="J28" s="74" t="s">
        <v>120</v>
      </c>
      <c r="K28" s="72" t="s">
        <v>121</v>
      </c>
      <c r="L28" s="72" t="s">
        <v>122</v>
      </c>
      <c r="M28" s="72" t="s">
        <v>123</v>
      </c>
      <c r="N28" s="72" t="s">
        <v>124</v>
      </c>
      <c r="O28" s="75" t="s">
        <v>125</v>
      </c>
      <c r="P28" s="72" t="s">
        <v>126</v>
      </c>
      <c r="Q28" s="76" t="s">
        <v>127</v>
      </c>
      <c r="R28" s="72" t="s">
        <v>128</v>
      </c>
      <c r="S28" s="71" t="s">
        <v>129</v>
      </c>
      <c r="T28" s="77" t="s">
        <v>130</v>
      </c>
      <c r="U28" s="77" t="s">
        <v>131</v>
      </c>
      <c r="V28" s="78" t="s">
        <v>132</v>
      </c>
      <c r="W28" s="109" t="e">
        <f aca="false">+#REF!</f>
        <v>#REF!</v>
      </c>
      <c r="X28" s="80"/>
      <c r="Y28" s="80"/>
    </row>
    <row r="29" customFormat="false" ht="12" hidden="false" customHeight="true" outlineLevel="0" collapsed="false">
      <c r="A29" s="110"/>
      <c r="B29" s="111" t="s">
        <v>60</v>
      </c>
      <c r="C29" s="112" t="s">
        <v>147</v>
      </c>
      <c r="D29" s="112" t="s">
        <v>148</v>
      </c>
      <c r="E29" s="113" t="n">
        <v>36923</v>
      </c>
      <c r="F29" s="113" t="n">
        <v>36950</v>
      </c>
      <c r="G29" s="111"/>
      <c r="H29" s="111"/>
      <c r="I29" s="112" t="s">
        <v>149</v>
      </c>
      <c r="J29" s="114" t="n">
        <v>0.02834</v>
      </c>
      <c r="K29" s="115" t="n">
        <v>0</v>
      </c>
      <c r="L29" s="115" t="n">
        <v>0.0022</v>
      </c>
      <c r="M29" s="115" t="n">
        <v>0.0072</v>
      </c>
      <c r="N29" s="115" t="n">
        <v>0</v>
      </c>
      <c r="O29" s="116" t="n">
        <v>0</v>
      </c>
      <c r="P29" s="115" t="n">
        <f aca="false">SUM(J29:N29)</f>
        <v>0.03774</v>
      </c>
      <c r="Q29" s="117" t="s">
        <v>150</v>
      </c>
      <c r="R29" s="112" t="n">
        <v>245273</v>
      </c>
      <c r="S29" s="111" t="s">
        <v>151</v>
      </c>
      <c r="T29" s="118" t="n">
        <f aca="false">+J29*R29</f>
        <v>6951.03682</v>
      </c>
      <c r="U29" s="118"/>
      <c r="V29" s="119" t="n">
        <v>590584</v>
      </c>
      <c r="W29" s="120" t="n">
        <v>2001000059</v>
      </c>
      <c r="X29" s="121"/>
      <c r="Y29" s="121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  <c r="IR29" s="110"/>
      <c r="IS29" s="110"/>
      <c r="IT29" s="110"/>
      <c r="IU29" s="110"/>
      <c r="IV29" s="110"/>
      <c r="IW29" s="110"/>
    </row>
    <row r="30" customFormat="false" ht="11.25" hidden="false" customHeight="true" outlineLevel="0" collapsed="false">
      <c r="A30" s="110"/>
      <c r="B30" s="111" t="s">
        <v>60</v>
      </c>
      <c r="C30" s="112" t="s">
        <v>147</v>
      </c>
      <c r="D30" s="112" t="s">
        <v>148</v>
      </c>
      <c r="E30" s="113" t="n">
        <v>36923</v>
      </c>
      <c r="F30" s="113" t="n">
        <v>36950</v>
      </c>
      <c r="G30" s="111"/>
      <c r="H30" s="111"/>
      <c r="I30" s="112" t="s">
        <v>149</v>
      </c>
      <c r="J30" s="114" t="n">
        <f aca="false">1.544/J1</f>
        <v>0.0498064516129032</v>
      </c>
      <c r="K30" s="115" t="n">
        <v>0</v>
      </c>
      <c r="L30" s="115" t="n">
        <v>0.0022</v>
      </c>
      <c r="M30" s="115" t="n">
        <v>0.0072</v>
      </c>
      <c r="N30" s="115" t="n">
        <v>0</v>
      </c>
      <c r="O30" s="116" t="n">
        <v>0</v>
      </c>
      <c r="P30" s="115" t="n">
        <f aca="false">SUM(J30:N30)</f>
        <v>0.0592064516129032</v>
      </c>
      <c r="Q30" s="117" t="s">
        <v>150</v>
      </c>
      <c r="R30" s="112" t="n">
        <v>4954</v>
      </c>
      <c r="S30" s="111" t="s">
        <v>152</v>
      </c>
      <c r="T30" s="118" t="n">
        <f aca="false">+J30*R30*J1</f>
        <v>7648.976</v>
      </c>
      <c r="U30" s="118"/>
      <c r="V30" s="119" t="n">
        <v>590584</v>
      </c>
      <c r="W30" s="120" t="n">
        <v>2001000059</v>
      </c>
      <c r="X30" s="121"/>
      <c r="Y30" s="121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  <c r="IV30" s="110"/>
      <c r="IW30" s="110"/>
    </row>
    <row r="31" customFormat="false" ht="12" hidden="false" customHeight="true" outlineLevel="0" collapsed="false">
      <c r="A31" s="110"/>
      <c r="B31" s="111" t="s">
        <v>60</v>
      </c>
      <c r="C31" s="112" t="s">
        <v>147</v>
      </c>
      <c r="D31" s="112" t="s">
        <v>148</v>
      </c>
      <c r="E31" s="113" t="n">
        <v>36923</v>
      </c>
      <c r="F31" s="113" t="n">
        <v>36950</v>
      </c>
      <c r="G31" s="111"/>
      <c r="H31" s="111"/>
      <c r="I31" s="112" t="s">
        <v>149</v>
      </c>
      <c r="J31" s="114" t="n">
        <v>0.02834</v>
      </c>
      <c r="K31" s="115" t="n">
        <v>0</v>
      </c>
      <c r="L31" s="115" t="n">
        <v>0.0022</v>
      </c>
      <c r="M31" s="115" t="n">
        <v>0.0072</v>
      </c>
      <c r="N31" s="115" t="n">
        <v>0</v>
      </c>
      <c r="O31" s="116" t="n">
        <v>0</v>
      </c>
      <c r="P31" s="115" t="n">
        <f aca="false">SUM(J31:N31)</f>
        <v>0.03774</v>
      </c>
      <c r="Q31" s="117" t="s">
        <v>150</v>
      </c>
      <c r="R31" s="112" t="n">
        <v>8855</v>
      </c>
      <c r="S31" s="111" t="s">
        <v>151</v>
      </c>
      <c r="T31" s="118" t="n">
        <f aca="false">+J31*R31</f>
        <v>250.9507</v>
      </c>
      <c r="U31" s="118"/>
      <c r="V31" s="119" t="n">
        <v>590186</v>
      </c>
      <c r="W31" s="120" t="n">
        <v>2001000055</v>
      </c>
      <c r="X31" s="121"/>
      <c r="Y31" s="121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  <c r="IW31" s="110"/>
    </row>
    <row r="32" customFormat="false" ht="12.75" hidden="false" customHeight="false" outlineLevel="0" collapsed="false">
      <c r="A32" s="110"/>
      <c r="B32" s="111" t="s">
        <v>60</v>
      </c>
      <c r="C32" s="112" t="s">
        <v>147</v>
      </c>
      <c r="D32" s="112" t="s">
        <v>148</v>
      </c>
      <c r="E32" s="113" t="n">
        <v>36923</v>
      </c>
      <c r="F32" s="113" t="n">
        <v>36950</v>
      </c>
      <c r="G32" s="111"/>
      <c r="H32" s="111"/>
      <c r="I32" s="112" t="s">
        <v>149</v>
      </c>
      <c r="J32" s="114" t="n">
        <f aca="false">1.544/J1</f>
        <v>0.0498064516129032</v>
      </c>
      <c r="K32" s="115" t="n">
        <v>0</v>
      </c>
      <c r="L32" s="115" t="n">
        <v>0.0022</v>
      </c>
      <c r="M32" s="115" t="n">
        <v>0.0072</v>
      </c>
      <c r="N32" s="115" t="n">
        <v>0</v>
      </c>
      <c r="O32" s="116" t="n">
        <v>0</v>
      </c>
      <c r="P32" s="115" t="n">
        <f aca="false">SUM(J32:N32)</f>
        <v>0.0592064516129032</v>
      </c>
      <c r="Q32" s="117" t="s">
        <v>150</v>
      </c>
      <c r="R32" s="112" t="n">
        <v>176</v>
      </c>
      <c r="S32" s="111" t="s">
        <v>152</v>
      </c>
      <c r="T32" s="118" t="n">
        <f aca="false">+J32*R32*30</f>
        <v>262.978064516129</v>
      </c>
      <c r="U32" s="118"/>
      <c r="V32" s="119" t="n">
        <v>590186</v>
      </c>
      <c r="W32" s="120" t="n">
        <v>2001000055</v>
      </c>
      <c r="X32" s="121"/>
      <c r="Y32" s="121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/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110"/>
      <c r="ID32" s="110"/>
      <c r="IE32" s="110"/>
      <c r="IF32" s="110"/>
      <c r="IG32" s="110"/>
      <c r="IH32" s="110"/>
      <c r="II32" s="110"/>
      <c r="IJ32" s="110"/>
      <c r="IK32" s="110"/>
      <c r="IL32" s="110"/>
      <c r="IM32" s="110"/>
      <c r="IN32" s="110"/>
      <c r="IO32" s="110"/>
      <c r="IP32" s="110"/>
      <c r="IQ32" s="110"/>
      <c r="IR32" s="110"/>
      <c r="IS32" s="110"/>
      <c r="IT32" s="110"/>
      <c r="IU32" s="110"/>
      <c r="IV32" s="110"/>
      <c r="IW32" s="110"/>
    </row>
    <row r="33" customFormat="false" ht="12" hidden="false" customHeight="true" outlineLevel="0" collapsed="false">
      <c r="A33" s="110"/>
      <c r="B33" s="111" t="s">
        <v>60</v>
      </c>
      <c r="C33" s="112" t="s">
        <v>147</v>
      </c>
      <c r="D33" s="112" t="s">
        <v>148</v>
      </c>
      <c r="E33" s="113" t="n">
        <v>36923</v>
      </c>
      <c r="F33" s="113" t="n">
        <v>36950</v>
      </c>
      <c r="G33" s="111"/>
      <c r="H33" s="111"/>
      <c r="I33" s="112" t="s">
        <v>149</v>
      </c>
      <c r="J33" s="114" t="n">
        <v>0.02834</v>
      </c>
      <c r="K33" s="115" t="n">
        <v>0</v>
      </c>
      <c r="L33" s="115" t="n">
        <v>0.0022</v>
      </c>
      <c r="M33" s="115" t="n">
        <v>0.0072</v>
      </c>
      <c r="N33" s="115" t="n">
        <v>0</v>
      </c>
      <c r="O33" s="116" t="n">
        <v>0</v>
      </c>
      <c r="P33" s="115" t="n">
        <f aca="false">SUM(J33:N33)</f>
        <v>0.03774</v>
      </c>
      <c r="Q33" s="117" t="s">
        <v>150</v>
      </c>
      <c r="R33" s="112" t="n">
        <v>3776</v>
      </c>
      <c r="S33" s="111" t="s">
        <v>151</v>
      </c>
      <c r="T33" s="118" t="n">
        <f aca="false">+J33*R33</f>
        <v>107.01184</v>
      </c>
      <c r="U33" s="118"/>
      <c r="V33" s="119" t="n">
        <v>589708</v>
      </c>
      <c r="W33" s="120" t="n">
        <v>2001000079</v>
      </c>
      <c r="X33" s="121"/>
      <c r="Y33" s="121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  <c r="HJ33" s="110"/>
      <c r="HK33" s="110"/>
      <c r="HL33" s="110"/>
      <c r="HM33" s="110"/>
      <c r="HN33" s="110"/>
      <c r="HO33" s="110"/>
      <c r="HP33" s="110"/>
      <c r="HQ33" s="110"/>
      <c r="HR33" s="110"/>
      <c r="HS33" s="110"/>
      <c r="HT33" s="110"/>
      <c r="HU33" s="110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0"/>
      <c r="IH33" s="110"/>
      <c r="II33" s="110"/>
      <c r="IJ33" s="110"/>
      <c r="IK33" s="110"/>
      <c r="IL33" s="110"/>
      <c r="IM33" s="110"/>
      <c r="IN33" s="110"/>
      <c r="IO33" s="110"/>
      <c r="IP33" s="110"/>
      <c r="IQ33" s="110"/>
      <c r="IR33" s="110"/>
      <c r="IS33" s="110"/>
      <c r="IT33" s="110"/>
      <c r="IU33" s="110"/>
      <c r="IV33" s="110"/>
      <c r="IW33" s="110"/>
    </row>
    <row r="34" customFormat="false" ht="12.75" hidden="false" customHeight="false" outlineLevel="0" collapsed="false">
      <c r="A34" s="110"/>
      <c r="B34" s="111" t="s">
        <v>60</v>
      </c>
      <c r="C34" s="112" t="s">
        <v>147</v>
      </c>
      <c r="D34" s="112" t="s">
        <v>148</v>
      </c>
      <c r="E34" s="113" t="n">
        <v>36923</v>
      </c>
      <c r="F34" s="113" t="n">
        <v>36950</v>
      </c>
      <c r="G34" s="111"/>
      <c r="H34" s="111"/>
      <c r="I34" s="112" t="s">
        <v>149</v>
      </c>
      <c r="J34" s="114" t="n">
        <f aca="false">1.544/J1</f>
        <v>0.0498064516129032</v>
      </c>
      <c r="K34" s="115" t="n">
        <v>0</v>
      </c>
      <c r="L34" s="115" t="n">
        <v>0.0022</v>
      </c>
      <c r="M34" s="115" t="n">
        <v>0.0072</v>
      </c>
      <c r="N34" s="115" t="n">
        <v>0</v>
      </c>
      <c r="O34" s="116" t="n">
        <v>0</v>
      </c>
      <c r="P34" s="115" t="n">
        <f aca="false">SUM(J34:N34)</f>
        <v>0.0592064516129032</v>
      </c>
      <c r="Q34" s="117" t="s">
        <v>150</v>
      </c>
      <c r="R34" s="112" t="n">
        <v>76</v>
      </c>
      <c r="S34" s="111" t="s">
        <v>152</v>
      </c>
      <c r="T34" s="118" t="n">
        <f aca="false">+J34*R34*30</f>
        <v>113.558709677419</v>
      </c>
      <c r="U34" s="118"/>
      <c r="V34" s="119" t="n">
        <v>589708</v>
      </c>
      <c r="W34" s="120" t="n">
        <f aca="false">+W33</f>
        <v>2001000079</v>
      </c>
      <c r="X34" s="121"/>
      <c r="Y34" s="121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0"/>
      <c r="HI34" s="110"/>
      <c r="HJ34" s="110"/>
      <c r="HK34" s="110"/>
      <c r="HL34" s="110"/>
      <c r="HM34" s="110"/>
      <c r="HN34" s="110"/>
      <c r="HO34" s="110"/>
      <c r="HP34" s="110"/>
      <c r="HQ34" s="110"/>
      <c r="HR34" s="110"/>
      <c r="HS34" s="110"/>
      <c r="HT34" s="110"/>
      <c r="HU34" s="110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0"/>
      <c r="IH34" s="110"/>
      <c r="II34" s="110"/>
      <c r="IJ34" s="110"/>
      <c r="IK34" s="110"/>
      <c r="IL34" s="110"/>
      <c r="IM34" s="110"/>
      <c r="IN34" s="110"/>
      <c r="IO34" s="110"/>
      <c r="IP34" s="110"/>
      <c r="IQ34" s="110"/>
      <c r="IR34" s="110"/>
      <c r="IS34" s="110"/>
      <c r="IT34" s="110"/>
      <c r="IU34" s="110"/>
      <c r="IV34" s="110"/>
      <c r="IW34" s="110"/>
    </row>
    <row r="35" customFormat="false" ht="12" hidden="false" customHeight="true" outlineLevel="0" collapsed="false">
      <c r="A35" s="110"/>
      <c r="B35" s="111" t="s">
        <v>60</v>
      </c>
      <c r="C35" s="112" t="s">
        <v>147</v>
      </c>
      <c r="D35" s="112" t="s">
        <v>148</v>
      </c>
      <c r="E35" s="113" t="n">
        <v>36923</v>
      </c>
      <c r="F35" s="113" t="n">
        <v>36950</v>
      </c>
      <c r="G35" s="111"/>
      <c r="H35" s="111"/>
      <c r="I35" s="112" t="s">
        <v>149</v>
      </c>
      <c r="J35" s="114" t="n">
        <v>0.02834</v>
      </c>
      <c r="K35" s="115" t="n">
        <v>0</v>
      </c>
      <c r="L35" s="115" t="n">
        <v>0.0022</v>
      </c>
      <c r="M35" s="115" t="n">
        <v>0.0072</v>
      </c>
      <c r="N35" s="115" t="n">
        <v>0</v>
      </c>
      <c r="O35" s="116" t="n">
        <v>0</v>
      </c>
      <c r="P35" s="115" t="n">
        <f aca="false">SUM(J35:N35)</f>
        <v>0.03774</v>
      </c>
      <c r="Q35" s="117" t="s">
        <v>150</v>
      </c>
      <c r="R35" s="112" t="n">
        <v>123</v>
      </c>
      <c r="S35" s="111" t="s">
        <v>151</v>
      </c>
      <c r="T35" s="118" t="n">
        <f aca="false">+J35*R35</f>
        <v>3.48582</v>
      </c>
      <c r="U35" s="118"/>
      <c r="V35" s="119" t="n">
        <v>589776</v>
      </c>
      <c r="W35" s="120" t="n">
        <v>2001000073</v>
      </c>
      <c r="X35" s="121"/>
      <c r="Y35" s="121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  <c r="IR35" s="110"/>
      <c r="IS35" s="110"/>
      <c r="IT35" s="110"/>
      <c r="IU35" s="110"/>
      <c r="IV35" s="110"/>
      <c r="IW35" s="110"/>
    </row>
    <row r="36" customFormat="false" ht="12.75" hidden="false" customHeight="false" outlineLevel="0" collapsed="false">
      <c r="A36" s="110"/>
      <c r="B36" s="111" t="s">
        <v>60</v>
      </c>
      <c r="C36" s="112" t="s">
        <v>147</v>
      </c>
      <c r="D36" s="112" t="s">
        <v>148</v>
      </c>
      <c r="E36" s="113" t="n">
        <v>36923</v>
      </c>
      <c r="F36" s="113" t="n">
        <v>36950</v>
      </c>
      <c r="G36" s="111"/>
      <c r="H36" s="111"/>
      <c r="I36" s="112" t="s">
        <v>149</v>
      </c>
      <c r="J36" s="114" t="n">
        <f aca="false">1.544/28</f>
        <v>0.0551428571428571</v>
      </c>
      <c r="K36" s="115" t="n">
        <v>0</v>
      </c>
      <c r="L36" s="115" t="n">
        <v>0.0022</v>
      </c>
      <c r="M36" s="115" t="n">
        <v>0.0072</v>
      </c>
      <c r="N36" s="115" t="n">
        <v>0</v>
      </c>
      <c r="O36" s="116" t="n">
        <v>0</v>
      </c>
      <c r="P36" s="115" t="n">
        <f aca="false">SUM(J36:N36)</f>
        <v>0.0645428571428572</v>
      </c>
      <c r="Q36" s="117" t="s">
        <v>150</v>
      </c>
      <c r="R36" s="112" t="n">
        <v>2</v>
      </c>
      <c r="S36" s="111" t="s">
        <v>152</v>
      </c>
      <c r="T36" s="118" t="n">
        <f aca="false">+J36*R36*30</f>
        <v>3.30857142857143</v>
      </c>
      <c r="U36" s="118"/>
      <c r="V36" s="119" t="n">
        <v>589776</v>
      </c>
      <c r="W36" s="120" t="n">
        <f aca="false">+W35</f>
        <v>2001000073</v>
      </c>
      <c r="X36" s="121"/>
      <c r="Y36" s="121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  <c r="IR36" s="110"/>
      <c r="IS36" s="110"/>
      <c r="IT36" s="110"/>
      <c r="IU36" s="110"/>
      <c r="IV36" s="110"/>
      <c r="IW36" s="110"/>
    </row>
    <row r="37" customFormat="false" ht="12" hidden="false" customHeight="true" outlineLevel="0" collapsed="false">
      <c r="A37" s="110"/>
      <c r="B37" s="111" t="s">
        <v>60</v>
      </c>
      <c r="C37" s="112" t="s">
        <v>147</v>
      </c>
      <c r="D37" s="112" t="s">
        <v>148</v>
      </c>
      <c r="E37" s="113" t="n">
        <v>36923</v>
      </c>
      <c r="F37" s="113" t="n">
        <v>37864</v>
      </c>
      <c r="G37" s="111"/>
      <c r="H37" s="111"/>
      <c r="I37" s="112" t="s">
        <v>149</v>
      </c>
      <c r="J37" s="114" t="n">
        <v>0.02834</v>
      </c>
      <c r="K37" s="115" t="n">
        <v>0</v>
      </c>
      <c r="L37" s="115" t="n">
        <v>0.0022</v>
      </c>
      <c r="M37" s="115" t="n">
        <v>0.0072</v>
      </c>
      <c r="N37" s="115" t="n">
        <v>0</v>
      </c>
      <c r="O37" s="116" t="n">
        <v>0</v>
      </c>
      <c r="P37" s="115" t="n">
        <f aca="false">SUM(J37:N37)</f>
        <v>0.03774</v>
      </c>
      <c r="Q37" s="117" t="s">
        <v>150</v>
      </c>
      <c r="R37" s="112" t="n">
        <v>8812</v>
      </c>
      <c r="S37" s="111" t="s">
        <v>151</v>
      </c>
      <c r="T37" s="118" t="n">
        <f aca="false">+J37*R37</f>
        <v>249.73208</v>
      </c>
      <c r="U37" s="118"/>
      <c r="V37" s="119" t="n">
        <v>589841</v>
      </c>
      <c r="W37" s="122" t="n">
        <v>200100078</v>
      </c>
      <c r="X37" s="121"/>
      <c r="Y37" s="121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  <c r="IW37" s="110"/>
    </row>
    <row r="38" customFormat="false" ht="12" hidden="false" customHeight="true" outlineLevel="0" collapsed="false">
      <c r="A38" s="110"/>
      <c r="B38" s="111" t="s">
        <v>60</v>
      </c>
      <c r="C38" s="112" t="s">
        <v>147</v>
      </c>
      <c r="D38" s="112" t="s">
        <v>148</v>
      </c>
      <c r="E38" s="113" t="n">
        <v>36923</v>
      </c>
      <c r="F38" s="113" t="n">
        <v>37864</v>
      </c>
      <c r="G38" s="111"/>
      <c r="H38" s="111"/>
      <c r="I38" s="112" t="s">
        <v>149</v>
      </c>
      <c r="J38" s="114" t="n">
        <f aca="false">1.544/31</f>
        <v>0.0498064516129032</v>
      </c>
      <c r="K38" s="115" t="n">
        <v>0</v>
      </c>
      <c r="L38" s="115" t="n">
        <v>0.0022</v>
      </c>
      <c r="M38" s="115" t="n">
        <v>0.0072</v>
      </c>
      <c r="N38" s="115" t="n">
        <v>0</v>
      </c>
      <c r="O38" s="116" t="n">
        <v>0</v>
      </c>
      <c r="P38" s="115" t="n">
        <f aca="false">SUM(J38:N38)</f>
        <v>0.0592064516129032</v>
      </c>
      <c r="Q38" s="117" t="s">
        <v>150</v>
      </c>
      <c r="R38" s="112" t="n">
        <v>179</v>
      </c>
      <c r="S38" s="111" t="s">
        <v>152</v>
      </c>
      <c r="T38" s="118" t="n">
        <f aca="false">+J38*R38*30</f>
        <v>267.46064516129</v>
      </c>
      <c r="U38" s="118" t="s">
        <v>110</v>
      </c>
      <c r="V38" s="119" t="n">
        <v>589841</v>
      </c>
      <c r="W38" s="122" t="n">
        <f aca="false">+W37</f>
        <v>200100078</v>
      </c>
      <c r="X38" s="121"/>
      <c r="Y38" s="121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  <c r="IW38" s="110"/>
    </row>
    <row r="39" customFormat="false" ht="12" hidden="false" customHeight="true" outlineLevel="0" collapsed="false">
      <c r="A39" s="110"/>
      <c r="B39" s="111" t="s">
        <v>60</v>
      </c>
      <c r="C39" s="112" t="s">
        <v>147</v>
      </c>
      <c r="D39" s="112" t="s">
        <v>148</v>
      </c>
      <c r="E39" s="113" t="n">
        <v>36923</v>
      </c>
      <c r="F39" s="113" t="n">
        <v>37864</v>
      </c>
      <c r="G39" s="111"/>
      <c r="H39" s="111"/>
      <c r="I39" s="112" t="s">
        <v>149</v>
      </c>
      <c r="J39" s="114" t="n">
        <v>0.02834</v>
      </c>
      <c r="K39" s="115" t="n">
        <v>0</v>
      </c>
      <c r="L39" s="115" t="n">
        <v>0.0022</v>
      </c>
      <c r="M39" s="115" t="n">
        <v>0.0072</v>
      </c>
      <c r="N39" s="115" t="n">
        <v>0</v>
      </c>
      <c r="O39" s="116" t="n">
        <v>0</v>
      </c>
      <c r="P39" s="115" t="n">
        <f aca="false">SUM(J39:N39)</f>
        <v>0.03774</v>
      </c>
      <c r="Q39" s="117" t="s">
        <v>150</v>
      </c>
      <c r="R39" s="112" t="n">
        <v>572301</v>
      </c>
      <c r="S39" s="111" t="s">
        <v>151</v>
      </c>
      <c r="T39" s="118" t="n">
        <f aca="false">+J39*R39</f>
        <v>16219.01034</v>
      </c>
      <c r="U39" s="118"/>
      <c r="V39" s="119" t="n">
        <v>590277</v>
      </c>
      <c r="W39" s="122" t="n">
        <v>20010000058</v>
      </c>
      <c r="X39" s="121"/>
      <c r="Y39" s="121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  <c r="GZ39" s="110"/>
      <c r="HA39" s="110"/>
      <c r="HB39" s="110"/>
      <c r="HC39" s="110"/>
      <c r="HD39" s="110"/>
      <c r="HE39" s="110"/>
      <c r="HF39" s="110"/>
      <c r="HG39" s="110"/>
      <c r="HH39" s="110"/>
      <c r="HI39" s="110"/>
      <c r="HJ39" s="110"/>
      <c r="HK39" s="110"/>
      <c r="HL39" s="110"/>
      <c r="HM39" s="110"/>
      <c r="HN39" s="110"/>
      <c r="HO39" s="110"/>
      <c r="HP39" s="110"/>
      <c r="HQ39" s="110"/>
      <c r="HR39" s="110"/>
      <c r="HS39" s="110"/>
      <c r="HT39" s="110"/>
      <c r="HU39" s="110"/>
      <c r="HV39" s="110"/>
      <c r="HW39" s="110"/>
      <c r="HX39" s="110"/>
      <c r="HY39" s="110"/>
      <c r="HZ39" s="110"/>
      <c r="IA39" s="110"/>
      <c r="IB39" s="110"/>
      <c r="IC39" s="110"/>
      <c r="ID39" s="110"/>
      <c r="IE39" s="110"/>
      <c r="IF39" s="110"/>
      <c r="IG39" s="110"/>
      <c r="IH39" s="110"/>
      <c r="II39" s="110"/>
      <c r="IJ39" s="110"/>
      <c r="IK39" s="110"/>
      <c r="IL39" s="110"/>
      <c r="IM39" s="110"/>
      <c r="IN39" s="110"/>
      <c r="IO39" s="110"/>
      <c r="IP39" s="110"/>
      <c r="IQ39" s="110"/>
      <c r="IR39" s="110"/>
      <c r="IS39" s="110"/>
      <c r="IT39" s="110"/>
      <c r="IU39" s="110"/>
      <c r="IV39" s="110"/>
      <c r="IW39" s="110"/>
    </row>
    <row r="40" customFormat="false" ht="12" hidden="false" customHeight="true" outlineLevel="0" collapsed="false">
      <c r="A40" s="110"/>
      <c r="B40" s="111" t="s">
        <v>60</v>
      </c>
      <c r="C40" s="112" t="s">
        <v>147</v>
      </c>
      <c r="D40" s="112" t="s">
        <v>148</v>
      </c>
      <c r="E40" s="113" t="n">
        <v>36923</v>
      </c>
      <c r="F40" s="113" t="n">
        <v>37864</v>
      </c>
      <c r="G40" s="111"/>
      <c r="H40" s="111"/>
      <c r="I40" s="112" t="s">
        <v>149</v>
      </c>
      <c r="J40" s="114" t="n">
        <f aca="false">1.544/31</f>
        <v>0.0498064516129032</v>
      </c>
      <c r="K40" s="115" t="n">
        <v>0</v>
      </c>
      <c r="L40" s="115" t="n">
        <v>0.0022</v>
      </c>
      <c r="M40" s="115" t="n">
        <v>0.0072</v>
      </c>
      <c r="N40" s="115" t="n">
        <v>0</v>
      </c>
      <c r="O40" s="116" t="n">
        <v>0</v>
      </c>
      <c r="P40" s="115" t="n">
        <f aca="false">SUM(J40:N40)</f>
        <v>0.0592064516129032</v>
      </c>
      <c r="Q40" s="117" t="s">
        <v>150</v>
      </c>
      <c r="R40" s="112" t="n">
        <v>11558</v>
      </c>
      <c r="S40" s="111" t="s">
        <v>152</v>
      </c>
      <c r="T40" s="118" t="n">
        <f aca="false">+J40*R40*30</f>
        <v>17269.8890322581</v>
      </c>
      <c r="U40" s="118"/>
      <c r="V40" s="119" t="n">
        <v>590277</v>
      </c>
      <c r="W40" s="122" t="n">
        <f aca="false">+W39</f>
        <v>20010000058</v>
      </c>
      <c r="X40" s="121"/>
      <c r="Y40" s="121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10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  <c r="HN40" s="110"/>
      <c r="HO40" s="110"/>
      <c r="HP40" s="110"/>
      <c r="HQ40" s="110"/>
      <c r="HR40" s="110"/>
      <c r="HS40" s="110"/>
      <c r="HT40" s="110"/>
      <c r="HU40" s="110"/>
      <c r="HV40" s="110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10"/>
      <c r="IH40" s="110"/>
      <c r="II40" s="110"/>
      <c r="IJ40" s="110"/>
      <c r="IK40" s="110"/>
      <c r="IL40" s="110"/>
      <c r="IM40" s="110"/>
      <c r="IN40" s="110"/>
      <c r="IO40" s="110"/>
      <c r="IP40" s="110"/>
      <c r="IQ40" s="110"/>
      <c r="IR40" s="110"/>
      <c r="IS40" s="110"/>
      <c r="IT40" s="110"/>
      <c r="IU40" s="110"/>
      <c r="IV40" s="110"/>
      <c r="IW40" s="110"/>
    </row>
    <row r="41" customFormat="false" ht="12" hidden="false" customHeight="true" outlineLevel="0" collapsed="false">
      <c r="A41" s="110"/>
      <c r="B41" s="111" t="s">
        <v>60</v>
      </c>
      <c r="C41" s="112" t="s">
        <v>147</v>
      </c>
      <c r="D41" s="112" t="s">
        <v>148</v>
      </c>
      <c r="E41" s="113" t="n">
        <v>36923</v>
      </c>
      <c r="F41" s="113" t="n">
        <v>36950</v>
      </c>
      <c r="G41" s="111" t="s">
        <v>153</v>
      </c>
      <c r="H41" s="111" t="s">
        <v>154</v>
      </c>
      <c r="I41" s="112" t="s">
        <v>155</v>
      </c>
      <c r="J41" s="114" t="n">
        <f aca="false">10.845/J1</f>
        <v>0.349838709677419</v>
      </c>
      <c r="K41" s="115"/>
      <c r="L41" s="115"/>
      <c r="M41" s="115"/>
      <c r="N41" s="115"/>
      <c r="O41" s="116"/>
      <c r="P41" s="115"/>
      <c r="Q41" s="117" t="s">
        <v>156</v>
      </c>
      <c r="R41" s="112" t="n">
        <v>3967</v>
      </c>
      <c r="S41" s="123" t="s">
        <v>157</v>
      </c>
      <c r="T41" s="118" t="n">
        <f aca="false">+J41*R41*30</f>
        <v>41634.3048387097</v>
      </c>
      <c r="U41" s="118"/>
      <c r="V41" s="119" t="n">
        <v>589244</v>
      </c>
      <c r="W41" s="122"/>
      <c r="X41" s="121"/>
      <c r="Y41" s="121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</row>
    <row r="42" customFormat="false" ht="12" hidden="false" customHeight="true" outlineLevel="0" collapsed="false">
      <c r="A42" s="110"/>
      <c r="B42" s="111" t="s">
        <v>60</v>
      </c>
      <c r="C42" s="112" t="s">
        <v>147</v>
      </c>
      <c r="D42" s="112" t="s">
        <v>148</v>
      </c>
      <c r="E42" s="113" t="n">
        <v>36923</v>
      </c>
      <c r="F42" s="113" t="n">
        <v>36950</v>
      </c>
      <c r="G42" s="111" t="s">
        <v>153</v>
      </c>
      <c r="H42" s="111" t="s">
        <v>154</v>
      </c>
      <c r="I42" s="112" t="s">
        <v>155</v>
      </c>
      <c r="J42" s="114" t="n">
        <f aca="false">10.845/J1</f>
        <v>0.349838709677419</v>
      </c>
      <c r="K42" s="115"/>
      <c r="L42" s="115"/>
      <c r="M42" s="115"/>
      <c r="N42" s="115"/>
      <c r="O42" s="116"/>
      <c r="P42" s="115"/>
      <c r="Q42" s="117" t="s">
        <v>156</v>
      </c>
      <c r="R42" s="112" t="n">
        <v>140</v>
      </c>
      <c r="S42" s="124" t="s">
        <v>158</v>
      </c>
      <c r="T42" s="118" t="n">
        <f aca="false">+R42*J42*30</f>
        <v>1469.32258064516</v>
      </c>
      <c r="U42" s="118"/>
      <c r="V42" s="119" t="n">
        <v>589242</v>
      </c>
      <c r="W42" s="122"/>
      <c r="X42" s="121"/>
      <c r="Y42" s="121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/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10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  <c r="IR42" s="110"/>
      <c r="IS42" s="110"/>
      <c r="IT42" s="110"/>
      <c r="IU42" s="110"/>
      <c r="IV42" s="110"/>
      <c r="IW42" s="110"/>
    </row>
    <row r="43" customFormat="false" ht="12" hidden="false" customHeight="true" outlineLevel="0" collapsed="false">
      <c r="A43" s="110"/>
      <c r="B43" s="111" t="s">
        <v>60</v>
      </c>
      <c r="C43" s="112" t="s">
        <v>147</v>
      </c>
      <c r="D43" s="112" t="s">
        <v>148</v>
      </c>
      <c r="E43" s="113" t="n">
        <v>36923</v>
      </c>
      <c r="F43" s="113" t="n">
        <v>37864</v>
      </c>
      <c r="G43" s="111" t="s">
        <v>153</v>
      </c>
      <c r="H43" s="111" t="s">
        <v>154</v>
      </c>
      <c r="I43" s="112" t="s">
        <v>155</v>
      </c>
      <c r="J43" s="114" t="n">
        <f aca="false">10.845/J1</f>
        <v>0.349838709677419</v>
      </c>
      <c r="K43" s="115"/>
      <c r="L43" s="115"/>
      <c r="M43" s="115"/>
      <c r="N43" s="115"/>
      <c r="O43" s="116"/>
      <c r="P43" s="115"/>
      <c r="Q43" s="117" t="s">
        <v>156</v>
      </c>
      <c r="R43" s="112" t="n">
        <v>11562</v>
      </c>
      <c r="S43" s="124" t="s">
        <v>159</v>
      </c>
      <c r="T43" s="118" t="n">
        <f aca="false">+R43*J43*30</f>
        <v>121345.05483871</v>
      </c>
      <c r="U43" s="118"/>
      <c r="V43" s="119" t="n">
        <v>589212</v>
      </c>
      <c r="W43" s="122"/>
      <c r="X43" s="121"/>
      <c r="Y43" s="121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  <c r="ED43" s="110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10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0"/>
      <c r="IP43" s="110"/>
      <c r="IQ43" s="110"/>
      <c r="IR43" s="110"/>
      <c r="IS43" s="110"/>
      <c r="IT43" s="110"/>
      <c r="IU43" s="110"/>
      <c r="IV43" s="110"/>
      <c r="IW43" s="110"/>
    </row>
    <row r="44" customFormat="false" ht="12" hidden="false" customHeight="true" outlineLevel="0" collapsed="false">
      <c r="A44" s="110"/>
      <c r="B44" s="111" t="s">
        <v>60</v>
      </c>
      <c r="C44" s="112" t="s">
        <v>147</v>
      </c>
      <c r="D44" s="112" t="s">
        <v>148</v>
      </c>
      <c r="E44" s="113" t="n">
        <v>36923</v>
      </c>
      <c r="F44" s="113" t="n">
        <v>36950</v>
      </c>
      <c r="G44" s="111" t="s">
        <v>153</v>
      </c>
      <c r="H44" s="111" t="s">
        <v>154</v>
      </c>
      <c r="I44" s="112" t="s">
        <v>155</v>
      </c>
      <c r="J44" s="114" t="n">
        <f aca="false">10.845/J1</f>
        <v>0.349838709677419</v>
      </c>
      <c r="K44" s="115"/>
      <c r="L44" s="115"/>
      <c r="M44" s="115"/>
      <c r="N44" s="115"/>
      <c r="O44" s="116"/>
      <c r="P44" s="115"/>
      <c r="Q44" s="117" t="s">
        <v>156</v>
      </c>
      <c r="R44" s="112" t="n">
        <v>9262</v>
      </c>
      <c r="S44" s="124" t="s">
        <v>160</v>
      </c>
      <c r="T44" s="118" t="n">
        <f aca="false">+R44*J44*30</f>
        <v>97206.1838709677</v>
      </c>
      <c r="U44" s="118"/>
      <c r="V44" s="119" t="n">
        <v>589232</v>
      </c>
      <c r="W44" s="122"/>
      <c r="X44" s="121"/>
      <c r="Y44" s="121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  <c r="ED44" s="110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10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0"/>
      <c r="IP44" s="110"/>
      <c r="IQ44" s="110"/>
      <c r="IR44" s="110"/>
      <c r="IS44" s="110"/>
      <c r="IT44" s="110"/>
      <c r="IU44" s="110"/>
      <c r="IV44" s="110"/>
      <c r="IW44" s="110"/>
    </row>
    <row r="45" customFormat="false" ht="12" hidden="false" customHeight="true" outlineLevel="0" collapsed="false">
      <c r="A45" s="110"/>
      <c r="B45" s="111" t="s">
        <v>60</v>
      </c>
      <c r="C45" s="112" t="s">
        <v>147</v>
      </c>
      <c r="D45" s="112" t="s">
        <v>148</v>
      </c>
      <c r="E45" s="113" t="n">
        <v>36923</v>
      </c>
      <c r="F45" s="113" t="n">
        <v>36950</v>
      </c>
      <c r="G45" s="111" t="s">
        <v>153</v>
      </c>
      <c r="H45" s="111" t="s">
        <v>154</v>
      </c>
      <c r="I45" s="112" t="s">
        <v>155</v>
      </c>
      <c r="J45" s="114" t="n">
        <f aca="false">10.845/J1</f>
        <v>0.349838709677419</v>
      </c>
      <c r="K45" s="115"/>
      <c r="L45" s="115"/>
      <c r="M45" s="115"/>
      <c r="N45" s="115"/>
      <c r="O45" s="116"/>
      <c r="P45" s="115"/>
      <c r="Q45" s="117" t="s">
        <v>156</v>
      </c>
      <c r="R45" s="112" t="n">
        <v>182</v>
      </c>
      <c r="S45" s="124" t="s">
        <v>161</v>
      </c>
      <c r="T45" s="118" t="n">
        <f aca="false">+R45*J45*30</f>
        <v>1910.11935483871</v>
      </c>
      <c r="U45" s="118"/>
      <c r="V45" s="119" t="n">
        <v>589236</v>
      </c>
      <c r="W45" s="122"/>
      <c r="X45" s="121"/>
      <c r="Y45" s="121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/>
      <c r="FS45" s="110"/>
      <c r="FT45" s="110"/>
      <c r="FU45" s="110"/>
      <c r="FV45" s="110"/>
      <c r="FW45" s="110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  <c r="GZ45" s="110"/>
      <c r="HA45" s="110"/>
      <c r="HB45" s="110"/>
      <c r="HC45" s="110"/>
      <c r="HD45" s="110"/>
      <c r="HE45" s="110"/>
      <c r="HF45" s="110"/>
      <c r="HG45" s="110"/>
      <c r="HH45" s="110"/>
      <c r="HI45" s="110"/>
      <c r="HJ45" s="110"/>
      <c r="HK45" s="110"/>
      <c r="HL45" s="110"/>
      <c r="HM45" s="110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10"/>
      <c r="HY45" s="110"/>
      <c r="HZ45" s="110"/>
      <c r="IA45" s="110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10"/>
      <c r="IM45" s="110"/>
      <c r="IN45" s="110"/>
      <c r="IO45" s="110"/>
      <c r="IP45" s="110"/>
      <c r="IQ45" s="110"/>
      <c r="IR45" s="110"/>
      <c r="IS45" s="110"/>
      <c r="IT45" s="110"/>
      <c r="IU45" s="110"/>
      <c r="IV45" s="110"/>
      <c r="IW45" s="110"/>
    </row>
    <row r="46" customFormat="false" ht="12" hidden="false" customHeight="true" outlineLevel="0" collapsed="false">
      <c r="A46" s="110"/>
      <c r="B46" s="111" t="s">
        <v>60</v>
      </c>
      <c r="C46" s="112" t="s">
        <v>147</v>
      </c>
      <c r="D46" s="112" t="s">
        <v>148</v>
      </c>
      <c r="E46" s="113" t="n">
        <v>36923</v>
      </c>
      <c r="F46" s="113" t="n">
        <v>36950</v>
      </c>
      <c r="G46" s="111" t="s">
        <v>153</v>
      </c>
      <c r="H46" s="111" t="s">
        <v>154</v>
      </c>
      <c r="I46" s="112" t="s">
        <v>155</v>
      </c>
      <c r="J46" s="114" t="n">
        <f aca="false">10.845/J1</f>
        <v>0.349838709677419</v>
      </c>
      <c r="K46" s="115"/>
      <c r="L46" s="115"/>
      <c r="M46" s="115"/>
      <c r="N46" s="115"/>
      <c r="O46" s="116"/>
      <c r="P46" s="115"/>
      <c r="Q46" s="117" t="s">
        <v>156</v>
      </c>
      <c r="R46" s="112" t="n">
        <v>4954</v>
      </c>
      <c r="S46" s="124" t="s">
        <v>162</v>
      </c>
      <c r="T46" s="118" t="n">
        <f aca="false">+R46*J46*30</f>
        <v>51993.0290322581</v>
      </c>
      <c r="U46" s="118"/>
      <c r="V46" s="119" t="n">
        <v>589241</v>
      </c>
      <c r="W46" s="122"/>
      <c r="X46" s="121"/>
      <c r="Y46" s="121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  <c r="FV46" s="110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  <c r="HD46" s="110"/>
      <c r="HE46" s="110"/>
      <c r="HF46" s="110"/>
      <c r="HG46" s="110"/>
      <c r="HH46" s="110"/>
      <c r="HI46" s="110"/>
      <c r="HJ46" s="110"/>
      <c r="HK46" s="110"/>
      <c r="HL46" s="110"/>
      <c r="HM46" s="110"/>
      <c r="HN46" s="110"/>
      <c r="HO46" s="110"/>
      <c r="HP46" s="110"/>
      <c r="HQ46" s="110"/>
      <c r="HR46" s="110"/>
      <c r="HS46" s="110"/>
      <c r="HT46" s="110"/>
      <c r="HU46" s="110"/>
      <c r="HV46" s="110"/>
      <c r="HW46" s="110"/>
      <c r="HX46" s="110"/>
      <c r="HY46" s="110"/>
      <c r="HZ46" s="110"/>
      <c r="IA46" s="110"/>
      <c r="IB46" s="110"/>
      <c r="IC46" s="110"/>
      <c r="ID46" s="110"/>
      <c r="IE46" s="110"/>
      <c r="IF46" s="110"/>
      <c r="IG46" s="110"/>
      <c r="IH46" s="110"/>
      <c r="II46" s="110"/>
      <c r="IJ46" s="110"/>
      <c r="IK46" s="110"/>
      <c r="IL46" s="110"/>
      <c r="IM46" s="110"/>
      <c r="IN46" s="110"/>
      <c r="IO46" s="110"/>
      <c r="IP46" s="110"/>
      <c r="IQ46" s="110"/>
      <c r="IR46" s="110"/>
      <c r="IS46" s="110"/>
      <c r="IT46" s="110"/>
      <c r="IU46" s="110"/>
      <c r="IV46" s="110"/>
      <c r="IW46" s="110"/>
    </row>
    <row r="47" customFormat="false" ht="12" hidden="false" customHeight="true" outlineLevel="0" collapsed="false">
      <c r="A47" s="110"/>
      <c r="B47" s="111" t="s">
        <v>60</v>
      </c>
      <c r="C47" s="112" t="s">
        <v>147</v>
      </c>
      <c r="D47" s="112" t="s">
        <v>148</v>
      </c>
      <c r="E47" s="113" t="n">
        <v>36923</v>
      </c>
      <c r="F47" s="113" t="n">
        <v>37864</v>
      </c>
      <c r="G47" s="111" t="s">
        <v>153</v>
      </c>
      <c r="H47" s="111" t="s">
        <v>163</v>
      </c>
      <c r="I47" s="112" t="s">
        <v>155</v>
      </c>
      <c r="J47" s="114" t="n">
        <f aca="false">8.155/J1</f>
        <v>0.263064516129032</v>
      </c>
      <c r="K47" s="115"/>
      <c r="L47" s="115"/>
      <c r="M47" s="115"/>
      <c r="N47" s="115"/>
      <c r="O47" s="116"/>
      <c r="P47" s="115"/>
      <c r="Q47" s="117" t="s">
        <v>156</v>
      </c>
      <c r="R47" s="112" t="n">
        <v>353</v>
      </c>
      <c r="S47" s="125" t="s">
        <v>164</v>
      </c>
      <c r="T47" s="118" t="n">
        <f aca="false">+R47*J47*30</f>
        <v>2785.85322580645</v>
      </c>
      <c r="U47" s="118"/>
      <c r="V47" s="119" t="n">
        <v>589245</v>
      </c>
      <c r="W47" s="122"/>
      <c r="X47" s="121"/>
      <c r="Y47" s="121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110"/>
      <c r="DT47" s="110"/>
      <c r="DU47" s="110"/>
      <c r="DV47" s="110"/>
      <c r="DW47" s="110"/>
      <c r="DX47" s="110"/>
      <c r="DY47" s="110"/>
      <c r="DZ47" s="110"/>
      <c r="EA47" s="110"/>
      <c r="EB47" s="110"/>
      <c r="EC47" s="110"/>
      <c r="ED47" s="110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10"/>
      <c r="EP47" s="110"/>
      <c r="EQ47" s="110"/>
      <c r="ER47" s="110"/>
      <c r="ES47" s="110"/>
      <c r="ET47" s="110"/>
      <c r="EU47" s="110"/>
      <c r="EV47" s="110"/>
      <c r="EW47" s="110"/>
      <c r="EX47" s="110"/>
      <c r="EY47" s="110"/>
      <c r="EZ47" s="110"/>
      <c r="FA47" s="110"/>
      <c r="FB47" s="110"/>
      <c r="FC47" s="110"/>
      <c r="FD47" s="110"/>
      <c r="FE47" s="110"/>
      <c r="FF47" s="110"/>
      <c r="FG47" s="110"/>
      <c r="FH47" s="110"/>
      <c r="FI47" s="110"/>
      <c r="FJ47" s="110"/>
      <c r="FK47" s="110"/>
      <c r="FL47" s="110"/>
      <c r="FM47" s="110"/>
      <c r="FN47" s="110"/>
      <c r="FO47" s="110"/>
      <c r="FP47" s="110"/>
      <c r="FQ47" s="110"/>
      <c r="FR47" s="110"/>
      <c r="FS47" s="110"/>
      <c r="FT47" s="110"/>
      <c r="FU47" s="110"/>
      <c r="FV47" s="110"/>
      <c r="FW47" s="110"/>
      <c r="FX47" s="110"/>
      <c r="FY47" s="110"/>
      <c r="FZ47" s="110"/>
      <c r="GA47" s="110"/>
      <c r="GB47" s="110"/>
      <c r="GC47" s="110"/>
      <c r="GD47" s="110"/>
      <c r="GE47" s="110"/>
      <c r="GF47" s="110"/>
      <c r="GG47" s="110"/>
      <c r="GH47" s="110"/>
      <c r="GI47" s="110"/>
      <c r="GJ47" s="110"/>
      <c r="GK47" s="110"/>
      <c r="GL47" s="110"/>
      <c r="GM47" s="110"/>
      <c r="GN47" s="110"/>
      <c r="GO47" s="110"/>
      <c r="GP47" s="110"/>
      <c r="GQ47" s="110"/>
      <c r="GR47" s="110"/>
      <c r="GS47" s="110"/>
      <c r="GT47" s="110"/>
      <c r="GU47" s="110"/>
      <c r="GV47" s="110"/>
      <c r="GW47" s="110"/>
      <c r="GX47" s="110"/>
      <c r="GY47" s="110"/>
      <c r="GZ47" s="110"/>
      <c r="HA47" s="110"/>
      <c r="HB47" s="110"/>
      <c r="HC47" s="110"/>
      <c r="HD47" s="110"/>
      <c r="HE47" s="110"/>
      <c r="HF47" s="110"/>
      <c r="HG47" s="110"/>
      <c r="HH47" s="110"/>
      <c r="HI47" s="110"/>
      <c r="HJ47" s="110"/>
      <c r="HK47" s="110"/>
      <c r="HL47" s="110"/>
      <c r="HM47" s="110"/>
      <c r="HN47" s="110"/>
      <c r="HO47" s="110"/>
      <c r="HP47" s="110"/>
      <c r="HQ47" s="110"/>
      <c r="HR47" s="110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0"/>
      <c r="IP47" s="110"/>
      <c r="IQ47" s="110"/>
      <c r="IR47" s="110"/>
      <c r="IS47" s="110"/>
      <c r="IT47" s="110"/>
      <c r="IU47" s="110"/>
      <c r="IV47" s="110"/>
      <c r="IW47" s="110"/>
    </row>
    <row r="48" customFormat="false" ht="12" hidden="false" customHeight="true" outlineLevel="0" collapsed="false">
      <c r="A48" s="110"/>
      <c r="B48" s="111" t="s">
        <v>60</v>
      </c>
      <c r="C48" s="112" t="s">
        <v>147</v>
      </c>
      <c r="D48" s="112" t="s">
        <v>148</v>
      </c>
      <c r="E48" s="113" t="n">
        <v>36923</v>
      </c>
      <c r="F48" s="113" t="n">
        <v>37864</v>
      </c>
      <c r="G48" s="111" t="s">
        <v>153</v>
      </c>
      <c r="H48" s="111" t="s">
        <v>165</v>
      </c>
      <c r="I48" s="112" t="s">
        <v>155</v>
      </c>
      <c r="J48" s="114" t="n">
        <f aca="false">10.845/J1</f>
        <v>0.349838709677419</v>
      </c>
      <c r="K48" s="115"/>
      <c r="L48" s="115"/>
      <c r="M48" s="115"/>
      <c r="N48" s="115"/>
      <c r="O48" s="116"/>
      <c r="P48" s="115"/>
      <c r="Q48" s="117" t="s">
        <v>156</v>
      </c>
      <c r="R48" s="112" t="n">
        <v>4509</v>
      </c>
      <c r="S48" s="125" t="s">
        <v>166</v>
      </c>
      <c r="T48" s="118" t="n">
        <f aca="false">+R48*J48*30</f>
        <v>47322.6822580645</v>
      </c>
      <c r="U48" s="118"/>
      <c r="V48" s="119" t="n">
        <v>589258</v>
      </c>
      <c r="W48" s="122"/>
      <c r="X48" s="121"/>
      <c r="Y48" s="121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  <c r="GZ48" s="110"/>
      <c r="HA48" s="110"/>
      <c r="HB48" s="110"/>
      <c r="HC48" s="110"/>
      <c r="HD48" s="110"/>
      <c r="HE48" s="110"/>
      <c r="HF48" s="110"/>
      <c r="HG48" s="110"/>
      <c r="HH48" s="110"/>
      <c r="HI48" s="110"/>
      <c r="HJ48" s="110"/>
      <c r="HK48" s="110"/>
      <c r="HL48" s="110"/>
      <c r="HM48" s="110"/>
      <c r="HN48" s="110"/>
      <c r="HO48" s="110"/>
      <c r="HP48" s="110"/>
      <c r="HQ48" s="110"/>
      <c r="HR48" s="110"/>
      <c r="HS48" s="110"/>
      <c r="HT48" s="110"/>
      <c r="HU48" s="110"/>
      <c r="HV48" s="110"/>
      <c r="HW48" s="110"/>
      <c r="HX48" s="110"/>
      <c r="HY48" s="110"/>
      <c r="HZ48" s="110"/>
      <c r="IA48" s="110"/>
      <c r="IB48" s="110"/>
      <c r="IC48" s="110"/>
      <c r="ID48" s="110"/>
      <c r="IE48" s="110"/>
      <c r="IF48" s="110"/>
      <c r="IG48" s="110"/>
      <c r="IH48" s="110"/>
      <c r="II48" s="110"/>
      <c r="IJ48" s="110"/>
      <c r="IK48" s="110"/>
      <c r="IL48" s="110"/>
      <c r="IM48" s="110"/>
      <c r="IN48" s="110"/>
      <c r="IO48" s="110"/>
      <c r="IP48" s="110"/>
      <c r="IQ48" s="110"/>
      <c r="IR48" s="110"/>
      <c r="IS48" s="110"/>
      <c r="IT48" s="110"/>
      <c r="IU48" s="110"/>
      <c r="IV48" s="110"/>
      <c r="IW48" s="110"/>
    </row>
    <row r="49" customFormat="false" ht="12" hidden="false" customHeight="true" outlineLevel="0" collapsed="false">
      <c r="A49" s="110"/>
      <c r="B49" s="111" t="s">
        <v>60</v>
      </c>
      <c r="C49" s="112" t="s">
        <v>147</v>
      </c>
      <c r="D49" s="112" t="s">
        <v>148</v>
      </c>
      <c r="E49" s="113" t="n">
        <v>36923</v>
      </c>
      <c r="F49" s="113" t="n">
        <v>36950</v>
      </c>
      <c r="G49" s="111"/>
      <c r="H49" s="111" t="s">
        <v>167</v>
      </c>
      <c r="I49" s="112" t="s">
        <v>155</v>
      </c>
      <c r="J49" s="114" t="n">
        <f aca="false">8.155/J1</f>
        <v>0.263064516129032</v>
      </c>
      <c r="K49" s="115"/>
      <c r="L49" s="115"/>
      <c r="M49" s="115"/>
      <c r="N49" s="115"/>
      <c r="O49" s="116"/>
      <c r="P49" s="115"/>
      <c r="Q49" s="117" t="s">
        <v>156</v>
      </c>
      <c r="R49" s="112" t="n">
        <v>5</v>
      </c>
      <c r="S49" s="111" t="s">
        <v>168</v>
      </c>
      <c r="T49" s="118" t="n">
        <f aca="false">J49*J$1*R49</f>
        <v>40.775</v>
      </c>
      <c r="U49" s="118"/>
      <c r="V49" s="119" t="n">
        <v>588906</v>
      </c>
      <c r="W49" s="122"/>
      <c r="X49" s="121"/>
      <c r="Y49" s="121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110"/>
      <c r="FQ49" s="110"/>
      <c r="FR49" s="110"/>
      <c r="FS49" s="110"/>
      <c r="FT49" s="110"/>
      <c r="FU49" s="110"/>
      <c r="FV49" s="110"/>
      <c r="FW49" s="110"/>
      <c r="FX49" s="110"/>
      <c r="FY49" s="110"/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  <c r="GQ49" s="110"/>
      <c r="GR49" s="110"/>
      <c r="GS49" s="110"/>
      <c r="GT49" s="110"/>
      <c r="GU49" s="110"/>
      <c r="GV49" s="110"/>
      <c r="GW49" s="110"/>
      <c r="GX49" s="110"/>
      <c r="GY49" s="110"/>
      <c r="GZ49" s="110"/>
      <c r="HA49" s="110"/>
      <c r="HB49" s="110"/>
      <c r="HC49" s="110"/>
      <c r="HD49" s="110"/>
      <c r="HE49" s="110"/>
      <c r="HF49" s="110"/>
      <c r="HG49" s="110"/>
      <c r="HH49" s="110"/>
      <c r="HI49" s="110"/>
      <c r="HJ49" s="110"/>
      <c r="HK49" s="110"/>
      <c r="HL49" s="110"/>
      <c r="HM49" s="110"/>
      <c r="HN49" s="110"/>
      <c r="HO49" s="110"/>
      <c r="HP49" s="110"/>
      <c r="HQ49" s="110"/>
      <c r="HR49" s="110"/>
      <c r="HS49" s="110"/>
      <c r="HT49" s="110"/>
      <c r="HU49" s="110"/>
      <c r="HV49" s="110"/>
      <c r="HW49" s="110"/>
      <c r="HX49" s="110"/>
      <c r="HY49" s="110"/>
      <c r="HZ49" s="110"/>
      <c r="IA49" s="110"/>
      <c r="IB49" s="110"/>
      <c r="IC49" s="110"/>
      <c r="ID49" s="110"/>
      <c r="IE49" s="110"/>
      <c r="IF49" s="110"/>
      <c r="IG49" s="110"/>
      <c r="IH49" s="110"/>
      <c r="II49" s="110"/>
      <c r="IJ49" s="110"/>
      <c r="IK49" s="110"/>
      <c r="IL49" s="110"/>
      <c r="IM49" s="110"/>
      <c r="IN49" s="110"/>
      <c r="IO49" s="110"/>
      <c r="IP49" s="110"/>
      <c r="IQ49" s="110"/>
      <c r="IR49" s="110"/>
      <c r="IS49" s="110"/>
      <c r="IT49" s="110"/>
      <c r="IU49" s="110"/>
      <c r="IV49" s="110"/>
      <c r="IW49" s="110"/>
    </row>
    <row r="50" customFormat="false" ht="12" hidden="false" customHeight="true" outlineLevel="0" collapsed="false">
      <c r="A50" s="110"/>
      <c r="B50" s="111" t="s">
        <v>60</v>
      </c>
      <c r="C50" s="112" t="s">
        <v>147</v>
      </c>
      <c r="D50" s="112" t="s">
        <v>148</v>
      </c>
      <c r="E50" s="113" t="n">
        <v>36923</v>
      </c>
      <c r="F50" s="113" t="n">
        <v>36950</v>
      </c>
      <c r="G50" s="111"/>
      <c r="H50" s="111"/>
      <c r="I50" s="112" t="s">
        <v>155</v>
      </c>
      <c r="J50" s="114" t="n">
        <f aca="false">8.155/J1</f>
        <v>0.263064516129032</v>
      </c>
      <c r="K50" s="115"/>
      <c r="L50" s="115"/>
      <c r="M50" s="115"/>
      <c r="N50" s="115"/>
      <c r="O50" s="116"/>
      <c r="P50" s="115"/>
      <c r="Q50" s="117" t="s">
        <v>156</v>
      </c>
      <c r="R50" s="112" t="n">
        <v>153</v>
      </c>
      <c r="S50" s="111" t="s">
        <v>169</v>
      </c>
      <c r="T50" s="118" t="n">
        <f aca="false">J50*J$1*R50</f>
        <v>1247.715</v>
      </c>
      <c r="U50" s="118"/>
      <c r="V50" s="119" t="n">
        <v>589305</v>
      </c>
      <c r="W50" s="122"/>
      <c r="X50" s="121"/>
      <c r="Y50" s="121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110"/>
      <c r="FQ50" s="110"/>
      <c r="FR50" s="110"/>
      <c r="FS50" s="110"/>
      <c r="FT50" s="110"/>
      <c r="FU50" s="110"/>
      <c r="FV50" s="110"/>
      <c r="FW50" s="110"/>
      <c r="FX50" s="110"/>
      <c r="FY50" s="110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  <c r="GQ50" s="110"/>
      <c r="GR50" s="110"/>
      <c r="GS50" s="110"/>
      <c r="GT50" s="110"/>
      <c r="GU50" s="110"/>
      <c r="GV50" s="110"/>
      <c r="GW50" s="110"/>
      <c r="GX50" s="110"/>
      <c r="GY50" s="110"/>
      <c r="GZ50" s="110"/>
      <c r="HA50" s="110"/>
      <c r="HB50" s="110"/>
      <c r="HC50" s="110"/>
      <c r="HD50" s="110"/>
      <c r="HE50" s="110"/>
      <c r="HF50" s="110"/>
      <c r="HG50" s="110"/>
      <c r="HH50" s="110"/>
      <c r="HI50" s="110"/>
      <c r="HJ50" s="110"/>
      <c r="HK50" s="110"/>
      <c r="HL50" s="110"/>
      <c r="HM50" s="110"/>
      <c r="HN50" s="110"/>
      <c r="HO50" s="110"/>
      <c r="HP50" s="110"/>
      <c r="HQ50" s="110"/>
      <c r="HR50" s="110"/>
      <c r="HS50" s="110"/>
      <c r="HT50" s="110"/>
      <c r="HU50" s="110"/>
      <c r="HV50" s="110"/>
      <c r="HW50" s="110"/>
      <c r="HX50" s="110"/>
      <c r="HY50" s="110"/>
      <c r="HZ50" s="110"/>
      <c r="IA50" s="110"/>
      <c r="IB50" s="110"/>
      <c r="IC50" s="110"/>
      <c r="ID50" s="110"/>
      <c r="IE50" s="110"/>
      <c r="IF50" s="110"/>
      <c r="IG50" s="110"/>
      <c r="IH50" s="110"/>
      <c r="II50" s="110"/>
      <c r="IJ50" s="110"/>
      <c r="IK50" s="110"/>
      <c r="IL50" s="110"/>
      <c r="IM50" s="110"/>
      <c r="IN50" s="110"/>
      <c r="IO50" s="110"/>
      <c r="IP50" s="110"/>
      <c r="IQ50" s="110"/>
      <c r="IR50" s="110"/>
      <c r="IS50" s="110"/>
      <c r="IT50" s="110"/>
      <c r="IU50" s="110"/>
      <c r="IV50" s="110"/>
      <c r="IW50" s="110"/>
    </row>
    <row r="51" customFormat="false" ht="12" hidden="false" customHeight="true" outlineLevel="0" collapsed="false">
      <c r="A51" s="110"/>
      <c r="B51" s="111" t="s">
        <v>60</v>
      </c>
      <c r="C51" s="112" t="s">
        <v>147</v>
      </c>
      <c r="D51" s="112" t="s">
        <v>148</v>
      </c>
      <c r="E51" s="113" t="n">
        <v>36923</v>
      </c>
      <c r="F51" s="113" t="n">
        <v>36950</v>
      </c>
      <c r="G51" s="111"/>
      <c r="H51" s="111"/>
      <c r="I51" s="112" t="s">
        <v>155</v>
      </c>
      <c r="J51" s="114" t="n">
        <f aca="false">10.845/J1</f>
        <v>0.349838709677419</v>
      </c>
      <c r="K51" s="115"/>
      <c r="L51" s="115"/>
      <c r="M51" s="115"/>
      <c r="N51" s="115"/>
      <c r="O51" s="116"/>
      <c r="P51" s="115"/>
      <c r="Q51" s="117" t="s">
        <v>156</v>
      </c>
      <c r="R51" s="112" t="n">
        <v>77</v>
      </c>
      <c r="S51" s="124" t="s">
        <v>170</v>
      </c>
      <c r="T51" s="118" t="n">
        <f aca="false">J51*J$1*R51</f>
        <v>835.065</v>
      </c>
      <c r="U51" s="118"/>
      <c r="V51" s="119" t="n">
        <v>588884</v>
      </c>
      <c r="W51" s="122"/>
      <c r="X51" s="121"/>
      <c r="Y51" s="121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110"/>
      <c r="FQ51" s="110"/>
      <c r="FR51" s="110"/>
      <c r="FS51" s="110"/>
      <c r="FT51" s="110"/>
      <c r="FU51" s="110"/>
      <c r="FV51" s="110"/>
      <c r="FW51" s="110"/>
      <c r="FX51" s="110"/>
      <c r="FY51" s="110"/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  <c r="GQ51" s="110"/>
      <c r="GR51" s="110"/>
      <c r="GS51" s="110"/>
      <c r="GT51" s="110"/>
      <c r="GU51" s="110"/>
      <c r="GV51" s="110"/>
      <c r="GW51" s="110"/>
      <c r="GX51" s="110"/>
      <c r="GY51" s="110"/>
      <c r="GZ51" s="110"/>
      <c r="HA51" s="110"/>
      <c r="HB51" s="110"/>
      <c r="HC51" s="110"/>
      <c r="HD51" s="110"/>
      <c r="HE51" s="110"/>
      <c r="HF51" s="110"/>
      <c r="HG51" s="110"/>
      <c r="HH51" s="110"/>
      <c r="HI51" s="110"/>
      <c r="HJ51" s="110"/>
      <c r="HK51" s="110"/>
      <c r="HL51" s="110"/>
      <c r="HM51" s="110"/>
      <c r="HN51" s="110"/>
      <c r="HO51" s="110"/>
      <c r="HP51" s="110"/>
      <c r="HQ51" s="110"/>
      <c r="HR51" s="110"/>
      <c r="HS51" s="110"/>
      <c r="HT51" s="110"/>
      <c r="HU51" s="110"/>
      <c r="HV51" s="110"/>
      <c r="HW51" s="110"/>
      <c r="HX51" s="110"/>
      <c r="HY51" s="110"/>
      <c r="HZ51" s="110"/>
      <c r="IA51" s="110"/>
      <c r="IB51" s="110"/>
      <c r="IC51" s="110"/>
      <c r="ID51" s="110"/>
      <c r="IE51" s="110"/>
      <c r="IF51" s="110"/>
      <c r="IG51" s="110"/>
      <c r="IH51" s="110"/>
      <c r="II51" s="110"/>
      <c r="IJ51" s="110"/>
      <c r="IK51" s="110"/>
      <c r="IL51" s="110"/>
      <c r="IM51" s="110"/>
      <c r="IN51" s="110"/>
      <c r="IO51" s="110"/>
      <c r="IP51" s="110"/>
      <c r="IQ51" s="110"/>
      <c r="IR51" s="110"/>
      <c r="IS51" s="110"/>
      <c r="IT51" s="110"/>
      <c r="IU51" s="110"/>
      <c r="IV51" s="110"/>
      <c r="IW51" s="110"/>
    </row>
    <row r="52" customFormat="false" ht="12" hidden="false" customHeight="true" outlineLevel="0" collapsed="false">
      <c r="A52" s="110"/>
      <c r="B52" s="111" t="s">
        <v>60</v>
      </c>
      <c r="C52" s="112" t="s">
        <v>147</v>
      </c>
      <c r="D52" s="112" t="s">
        <v>148</v>
      </c>
      <c r="E52" s="113" t="n">
        <v>36923</v>
      </c>
      <c r="F52" s="113" t="n">
        <v>36950</v>
      </c>
      <c r="G52" s="111" t="s">
        <v>153</v>
      </c>
      <c r="H52" s="111" t="s">
        <v>154</v>
      </c>
      <c r="I52" s="112" t="s">
        <v>155</v>
      </c>
      <c r="J52" s="114" t="n">
        <f aca="false">10.845/J1</f>
        <v>0.349838709677419</v>
      </c>
      <c r="K52" s="115"/>
      <c r="L52" s="115"/>
      <c r="M52" s="115"/>
      <c r="N52" s="115"/>
      <c r="O52" s="116"/>
      <c r="P52" s="115"/>
      <c r="Q52" s="117" t="s">
        <v>156</v>
      </c>
      <c r="R52" s="112" t="n">
        <v>1931</v>
      </c>
      <c r="S52" s="124" t="s">
        <v>171</v>
      </c>
      <c r="T52" s="118" t="n">
        <f aca="false">J52*J$1*R52</f>
        <v>20941.695</v>
      </c>
      <c r="U52" s="118"/>
      <c r="V52" s="119" t="n">
        <v>588902</v>
      </c>
      <c r="W52" s="122"/>
      <c r="X52" s="121"/>
      <c r="Y52" s="121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/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/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/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110"/>
      <c r="ID52" s="110"/>
      <c r="IE52" s="110"/>
      <c r="IF52" s="110"/>
      <c r="IG52" s="110"/>
      <c r="IH52" s="110"/>
      <c r="II52" s="110"/>
      <c r="IJ52" s="110"/>
      <c r="IK52" s="110"/>
      <c r="IL52" s="110"/>
      <c r="IM52" s="110"/>
      <c r="IN52" s="110"/>
      <c r="IO52" s="110"/>
      <c r="IP52" s="110"/>
      <c r="IQ52" s="110"/>
      <c r="IR52" s="110"/>
      <c r="IS52" s="110"/>
      <c r="IT52" s="110"/>
      <c r="IU52" s="110"/>
      <c r="IV52" s="110"/>
      <c r="IW52" s="110"/>
    </row>
    <row r="53" customFormat="false" ht="12" hidden="false" customHeight="true" outlineLevel="0" collapsed="false">
      <c r="A53" s="110"/>
      <c r="B53" s="111" t="s">
        <v>60</v>
      </c>
      <c r="C53" s="112" t="s">
        <v>172</v>
      </c>
      <c r="D53" s="112" t="s">
        <v>148</v>
      </c>
      <c r="E53" s="113" t="n">
        <v>36923</v>
      </c>
      <c r="F53" s="113" t="n">
        <v>36950</v>
      </c>
      <c r="G53" s="111" t="s">
        <v>153</v>
      </c>
      <c r="H53" s="111" t="s">
        <v>153</v>
      </c>
      <c r="I53" s="112" t="s">
        <v>155</v>
      </c>
      <c r="J53" s="114" t="n">
        <f aca="false">4.75/J1</f>
        <v>0.153225806451613</v>
      </c>
      <c r="K53" s="115"/>
      <c r="L53" s="115"/>
      <c r="M53" s="115"/>
      <c r="N53" s="115"/>
      <c r="O53" s="116"/>
      <c r="P53" s="115"/>
      <c r="Q53" s="117" t="s">
        <v>173</v>
      </c>
      <c r="R53" s="112" t="n">
        <v>176</v>
      </c>
      <c r="S53" s="124" t="s">
        <v>174</v>
      </c>
      <c r="T53" s="118" t="n">
        <f aca="false">+J53*R53*31</f>
        <v>836</v>
      </c>
      <c r="U53" s="118"/>
      <c r="V53" s="119" t="n">
        <v>588866</v>
      </c>
      <c r="W53" s="122"/>
      <c r="X53" s="121"/>
      <c r="Y53" s="121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/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/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/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110"/>
      <c r="ID53" s="110"/>
      <c r="IE53" s="110"/>
      <c r="IF53" s="110"/>
      <c r="IG53" s="110"/>
      <c r="IH53" s="110"/>
      <c r="II53" s="110"/>
      <c r="IJ53" s="110"/>
      <c r="IK53" s="110"/>
      <c r="IL53" s="110"/>
      <c r="IM53" s="110"/>
      <c r="IN53" s="110"/>
      <c r="IO53" s="110"/>
      <c r="IP53" s="110"/>
      <c r="IQ53" s="110"/>
      <c r="IR53" s="110"/>
      <c r="IS53" s="110"/>
      <c r="IT53" s="110"/>
      <c r="IU53" s="110"/>
      <c r="IV53" s="110"/>
      <c r="IW53" s="110"/>
    </row>
    <row r="54" customFormat="false" ht="12" hidden="false" customHeight="true" outlineLevel="0" collapsed="false">
      <c r="A54" s="110"/>
      <c r="B54" s="111" t="s">
        <v>60</v>
      </c>
      <c r="C54" s="112" t="s">
        <v>172</v>
      </c>
      <c r="D54" s="112" t="s">
        <v>148</v>
      </c>
      <c r="E54" s="113" t="n">
        <v>11355</v>
      </c>
      <c r="F54" s="113" t="n">
        <v>36950</v>
      </c>
      <c r="G54" s="111" t="s">
        <v>153</v>
      </c>
      <c r="H54" s="111" t="s">
        <v>153</v>
      </c>
      <c r="I54" s="112" t="s">
        <v>155</v>
      </c>
      <c r="J54" s="114" t="n">
        <f aca="false">4.75/J1</f>
        <v>0.153225806451613</v>
      </c>
      <c r="K54" s="115"/>
      <c r="L54" s="115"/>
      <c r="M54" s="115"/>
      <c r="N54" s="115"/>
      <c r="O54" s="116"/>
      <c r="P54" s="115"/>
      <c r="Q54" s="117" t="s">
        <v>173</v>
      </c>
      <c r="R54" s="112" t="n">
        <v>5</v>
      </c>
      <c r="S54" s="111" t="s">
        <v>175</v>
      </c>
      <c r="T54" s="118" t="n">
        <f aca="false">J54*J$1*R54</f>
        <v>23.75</v>
      </c>
      <c r="U54" s="118"/>
      <c r="V54" s="119" t="n">
        <v>588858</v>
      </c>
      <c r="W54" s="122"/>
      <c r="X54" s="121"/>
      <c r="Y54" s="121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110"/>
      <c r="FQ54" s="110"/>
      <c r="FR54" s="110"/>
      <c r="FS54" s="110"/>
      <c r="FT54" s="110"/>
      <c r="FU54" s="110"/>
      <c r="FV54" s="110"/>
      <c r="FW54" s="110"/>
      <c r="FX54" s="110"/>
      <c r="FY54" s="110"/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  <c r="GQ54" s="110"/>
      <c r="GR54" s="110"/>
      <c r="GS54" s="110"/>
      <c r="GT54" s="110"/>
      <c r="GU54" s="110"/>
      <c r="GV54" s="110"/>
      <c r="GW54" s="110"/>
      <c r="GX54" s="110"/>
      <c r="GY54" s="110"/>
      <c r="GZ54" s="110"/>
      <c r="HA54" s="110"/>
      <c r="HB54" s="110"/>
      <c r="HC54" s="110"/>
      <c r="HD54" s="110"/>
      <c r="HE54" s="110"/>
      <c r="HF54" s="110"/>
      <c r="HG54" s="110"/>
      <c r="HH54" s="110"/>
      <c r="HI54" s="110"/>
      <c r="HJ54" s="110"/>
      <c r="HK54" s="110"/>
      <c r="HL54" s="110"/>
      <c r="HM54" s="110"/>
      <c r="HN54" s="110"/>
      <c r="HO54" s="110"/>
      <c r="HP54" s="110"/>
      <c r="HQ54" s="110"/>
      <c r="HR54" s="110"/>
      <c r="HS54" s="110"/>
      <c r="HT54" s="110"/>
      <c r="HU54" s="110"/>
      <c r="HV54" s="110"/>
      <c r="HW54" s="110"/>
      <c r="HX54" s="110"/>
      <c r="HY54" s="110"/>
      <c r="HZ54" s="110"/>
      <c r="IA54" s="110"/>
      <c r="IB54" s="110"/>
      <c r="IC54" s="110"/>
      <c r="ID54" s="110"/>
      <c r="IE54" s="110"/>
      <c r="IF54" s="110"/>
      <c r="IG54" s="110"/>
      <c r="IH54" s="110"/>
      <c r="II54" s="110"/>
      <c r="IJ54" s="110"/>
      <c r="IK54" s="110"/>
      <c r="IL54" s="110"/>
      <c r="IM54" s="110"/>
      <c r="IN54" s="110"/>
      <c r="IO54" s="110"/>
      <c r="IP54" s="110"/>
      <c r="IQ54" s="110"/>
      <c r="IR54" s="110"/>
      <c r="IS54" s="110"/>
      <c r="IT54" s="110"/>
      <c r="IU54" s="110"/>
      <c r="IV54" s="110"/>
      <c r="IW54" s="110"/>
    </row>
    <row r="55" customFormat="false" ht="12" hidden="false" customHeight="true" outlineLevel="0" collapsed="false">
      <c r="A55" s="110"/>
      <c r="B55" s="111" t="s">
        <v>60</v>
      </c>
      <c r="C55" s="112" t="s">
        <v>172</v>
      </c>
      <c r="D55" s="112" t="s">
        <v>148</v>
      </c>
      <c r="E55" s="113" t="n">
        <v>11355</v>
      </c>
      <c r="F55" s="113" t="n">
        <v>37134</v>
      </c>
      <c r="G55" s="111" t="s">
        <v>153</v>
      </c>
      <c r="H55" s="111" t="s">
        <v>153</v>
      </c>
      <c r="I55" s="112" t="s">
        <v>155</v>
      </c>
      <c r="J55" s="114" t="n">
        <f aca="false">4.75/J1</f>
        <v>0.153225806451613</v>
      </c>
      <c r="K55" s="115"/>
      <c r="L55" s="115"/>
      <c r="M55" s="115"/>
      <c r="N55" s="115"/>
      <c r="O55" s="116"/>
      <c r="P55" s="115"/>
      <c r="Q55" s="117" t="s">
        <v>173</v>
      </c>
      <c r="R55" s="112" t="n">
        <v>411</v>
      </c>
      <c r="S55" s="111" t="s">
        <v>176</v>
      </c>
      <c r="T55" s="118" t="n">
        <f aca="false">J55*J$1*R55</f>
        <v>1952.25</v>
      </c>
      <c r="U55" s="118"/>
      <c r="V55" s="119" t="n">
        <v>588951</v>
      </c>
      <c r="W55" s="122"/>
      <c r="X55" s="121"/>
      <c r="Y55" s="121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110"/>
      <c r="FQ55" s="110"/>
      <c r="FR55" s="110"/>
      <c r="FS55" s="110"/>
      <c r="FT55" s="110"/>
      <c r="FU55" s="110"/>
      <c r="FV55" s="110"/>
      <c r="FW55" s="110"/>
      <c r="FX55" s="110"/>
      <c r="FY55" s="110"/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  <c r="GQ55" s="110"/>
      <c r="GR55" s="110"/>
      <c r="GS55" s="110"/>
      <c r="GT55" s="110"/>
      <c r="GU55" s="110"/>
      <c r="GV55" s="110"/>
      <c r="GW55" s="110"/>
      <c r="GX55" s="110"/>
      <c r="GY55" s="110"/>
      <c r="GZ55" s="110"/>
      <c r="HA55" s="110"/>
      <c r="HB55" s="110"/>
      <c r="HC55" s="110"/>
      <c r="HD55" s="110"/>
      <c r="HE55" s="110"/>
      <c r="HF55" s="110"/>
      <c r="HG55" s="110"/>
      <c r="HH55" s="110"/>
      <c r="HI55" s="110"/>
      <c r="HJ55" s="110"/>
      <c r="HK55" s="110"/>
      <c r="HL55" s="110"/>
      <c r="HM55" s="110"/>
      <c r="HN55" s="110"/>
      <c r="HO55" s="110"/>
      <c r="HP55" s="110"/>
      <c r="HQ55" s="110"/>
      <c r="HR55" s="110"/>
      <c r="HS55" s="110"/>
      <c r="HT55" s="110"/>
      <c r="HU55" s="110"/>
      <c r="HV55" s="110"/>
      <c r="HW55" s="110"/>
      <c r="HX55" s="110"/>
      <c r="HY55" s="110"/>
      <c r="HZ55" s="110"/>
      <c r="IA55" s="110"/>
      <c r="IB55" s="110"/>
      <c r="IC55" s="110"/>
      <c r="ID55" s="110"/>
      <c r="IE55" s="110"/>
      <c r="IF55" s="110"/>
      <c r="IG55" s="110"/>
      <c r="IH55" s="110"/>
      <c r="II55" s="110"/>
      <c r="IJ55" s="110"/>
      <c r="IK55" s="110"/>
      <c r="IL55" s="110"/>
      <c r="IM55" s="110"/>
      <c r="IN55" s="110"/>
      <c r="IO55" s="110"/>
      <c r="IP55" s="110"/>
      <c r="IQ55" s="110"/>
      <c r="IR55" s="110"/>
      <c r="IS55" s="110"/>
      <c r="IT55" s="110"/>
      <c r="IU55" s="110"/>
      <c r="IV55" s="110"/>
      <c r="IW55" s="110"/>
    </row>
    <row r="56" customFormat="false" ht="12" hidden="false" customHeight="true" outlineLevel="0" collapsed="false">
      <c r="A56" s="105"/>
      <c r="B56" s="54"/>
      <c r="C56" s="52"/>
      <c r="D56" s="52"/>
      <c r="E56" s="53"/>
      <c r="F56" s="53"/>
      <c r="G56" s="54"/>
      <c r="H56" s="54"/>
      <c r="I56" s="52"/>
      <c r="J56" s="66"/>
      <c r="K56" s="57"/>
      <c r="L56" s="57"/>
      <c r="M56" s="57"/>
      <c r="N56" s="57"/>
      <c r="O56" s="58"/>
      <c r="P56" s="57"/>
      <c r="Q56" s="59"/>
      <c r="R56" s="52" t="n">
        <f aca="false">SUM(R41:R55)</f>
        <v>37687</v>
      </c>
      <c r="S56" s="54"/>
      <c r="T56" s="106"/>
      <c r="U56" s="106"/>
      <c r="V56" s="107"/>
      <c r="W56" s="54"/>
      <c r="X56" s="80"/>
      <c r="Y56" s="80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  <c r="EO56" s="105"/>
      <c r="EP56" s="105"/>
      <c r="EQ56" s="105"/>
      <c r="ER56" s="105"/>
      <c r="ES56" s="105"/>
      <c r="ET56" s="105"/>
      <c r="EU56" s="105"/>
      <c r="EV56" s="105"/>
      <c r="EW56" s="105"/>
      <c r="EX56" s="105"/>
      <c r="EY56" s="105"/>
      <c r="EZ56" s="105"/>
      <c r="FA56" s="105"/>
      <c r="FB56" s="105"/>
      <c r="FC56" s="105"/>
      <c r="FD56" s="105"/>
      <c r="FE56" s="105"/>
      <c r="FF56" s="105"/>
      <c r="FG56" s="105"/>
      <c r="FH56" s="105"/>
      <c r="FI56" s="105"/>
      <c r="FJ56" s="105"/>
      <c r="FK56" s="105"/>
      <c r="FL56" s="105"/>
      <c r="FM56" s="105"/>
      <c r="FN56" s="105"/>
      <c r="FO56" s="105"/>
      <c r="FP56" s="105"/>
      <c r="FQ56" s="105"/>
      <c r="FR56" s="105"/>
      <c r="FS56" s="105"/>
      <c r="FT56" s="105"/>
      <c r="FU56" s="105"/>
      <c r="FV56" s="105"/>
      <c r="FW56" s="105"/>
      <c r="FX56" s="105"/>
      <c r="FY56" s="105"/>
      <c r="FZ56" s="105"/>
      <c r="GA56" s="105"/>
      <c r="GB56" s="105"/>
      <c r="GC56" s="105"/>
      <c r="GD56" s="105"/>
      <c r="GE56" s="105"/>
      <c r="GF56" s="105"/>
      <c r="GG56" s="105"/>
      <c r="GH56" s="105"/>
      <c r="GI56" s="105"/>
      <c r="GJ56" s="105"/>
      <c r="GK56" s="105"/>
      <c r="GL56" s="105"/>
      <c r="GM56" s="105"/>
      <c r="GN56" s="105"/>
      <c r="GO56" s="105"/>
      <c r="GP56" s="105"/>
      <c r="GQ56" s="105"/>
      <c r="GR56" s="105"/>
      <c r="GS56" s="105"/>
      <c r="GT56" s="105"/>
      <c r="GU56" s="105"/>
      <c r="GV56" s="105"/>
      <c r="GW56" s="105"/>
      <c r="GX56" s="105"/>
      <c r="GY56" s="105"/>
      <c r="GZ56" s="105"/>
      <c r="HA56" s="105"/>
      <c r="HB56" s="105"/>
      <c r="HC56" s="105"/>
      <c r="HD56" s="105"/>
      <c r="HE56" s="105"/>
      <c r="HF56" s="105"/>
      <c r="HG56" s="105"/>
      <c r="HH56" s="105"/>
      <c r="HI56" s="105"/>
      <c r="HJ56" s="105"/>
      <c r="HK56" s="105"/>
      <c r="HL56" s="105"/>
      <c r="HM56" s="105"/>
      <c r="HN56" s="105"/>
      <c r="HO56" s="105"/>
      <c r="HP56" s="105"/>
      <c r="HQ56" s="105"/>
      <c r="HR56" s="105"/>
      <c r="HS56" s="105"/>
      <c r="HT56" s="105"/>
      <c r="HU56" s="105"/>
      <c r="HV56" s="105"/>
      <c r="HW56" s="105"/>
      <c r="HX56" s="105"/>
      <c r="HY56" s="105"/>
      <c r="HZ56" s="105"/>
      <c r="IA56" s="105"/>
      <c r="IB56" s="105"/>
      <c r="IC56" s="105"/>
      <c r="ID56" s="105"/>
      <c r="IE56" s="105"/>
      <c r="IF56" s="105"/>
      <c r="IG56" s="105"/>
      <c r="IH56" s="105"/>
      <c r="II56" s="105"/>
      <c r="IJ56" s="105"/>
      <c r="IK56" s="105"/>
      <c r="IL56" s="105"/>
      <c r="IM56" s="105"/>
      <c r="IN56" s="105"/>
      <c r="IO56" s="105"/>
      <c r="IP56" s="105"/>
      <c r="IQ56" s="105"/>
      <c r="IR56" s="105"/>
      <c r="IS56" s="105"/>
      <c r="IT56" s="105"/>
      <c r="IU56" s="105"/>
      <c r="IV56" s="105"/>
      <c r="IW56" s="105"/>
    </row>
    <row r="57" customFormat="false" ht="12.75" hidden="false" customHeight="false" outlineLevel="0" collapsed="false">
      <c r="A57" s="105"/>
      <c r="B57" s="54"/>
      <c r="C57" s="52"/>
      <c r="D57" s="52"/>
      <c r="E57" s="53"/>
      <c r="F57" s="53"/>
      <c r="G57" s="54"/>
      <c r="H57" s="54"/>
      <c r="I57" s="52"/>
      <c r="J57" s="66"/>
      <c r="K57" s="57"/>
      <c r="L57" s="57"/>
      <c r="M57" s="57"/>
      <c r="N57" s="57"/>
      <c r="O57" s="58"/>
      <c r="P57" s="57"/>
      <c r="Q57" s="59"/>
      <c r="R57" s="52"/>
      <c r="S57" s="54"/>
      <c r="T57" s="106" t="n">
        <f aca="false">SUM(T29:T56)</f>
        <v>440891.198623042</v>
      </c>
      <c r="U57" s="106"/>
      <c r="V57" s="107"/>
      <c r="W57" s="54"/>
      <c r="X57" s="80"/>
      <c r="Y57" s="80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  <c r="DF57" s="105"/>
      <c r="DG57" s="105"/>
      <c r="DH57" s="105"/>
      <c r="DI57" s="105"/>
      <c r="DJ57" s="105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  <c r="EO57" s="105"/>
      <c r="EP57" s="105"/>
      <c r="EQ57" s="105"/>
      <c r="ER57" s="105"/>
      <c r="ES57" s="105"/>
      <c r="ET57" s="105"/>
      <c r="EU57" s="105"/>
      <c r="EV57" s="105"/>
      <c r="EW57" s="105"/>
      <c r="EX57" s="105"/>
      <c r="EY57" s="105"/>
      <c r="EZ57" s="105"/>
      <c r="FA57" s="105"/>
      <c r="FB57" s="105"/>
      <c r="FC57" s="105"/>
      <c r="FD57" s="105"/>
      <c r="FE57" s="105"/>
      <c r="FF57" s="105"/>
      <c r="FG57" s="105"/>
      <c r="FH57" s="105"/>
      <c r="FI57" s="105"/>
      <c r="FJ57" s="105"/>
      <c r="FK57" s="105"/>
      <c r="FL57" s="105"/>
      <c r="FM57" s="105"/>
      <c r="FN57" s="105"/>
      <c r="FO57" s="105"/>
      <c r="FP57" s="105"/>
      <c r="FQ57" s="105"/>
      <c r="FR57" s="105"/>
      <c r="FS57" s="105"/>
      <c r="FT57" s="105"/>
      <c r="FU57" s="105"/>
      <c r="FV57" s="105"/>
      <c r="FW57" s="105"/>
      <c r="FX57" s="105"/>
      <c r="FY57" s="105"/>
      <c r="FZ57" s="105"/>
      <c r="GA57" s="105"/>
      <c r="GB57" s="105"/>
      <c r="GC57" s="105"/>
      <c r="GD57" s="105"/>
      <c r="GE57" s="105"/>
      <c r="GF57" s="105"/>
      <c r="GG57" s="105"/>
      <c r="GH57" s="105"/>
      <c r="GI57" s="105"/>
      <c r="GJ57" s="105"/>
      <c r="GK57" s="105"/>
      <c r="GL57" s="105"/>
      <c r="GM57" s="105"/>
      <c r="GN57" s="105"/>
      <c r="GO57" s="105"/>
      <c r="GP57" s="105"/>
      <c r="GQ57" s="105"/>
      <c r="GR57" s="105"/>
      <c r="GS57" s="105"/>
      <c r="GT57" s="105"/>
      <c r="GU57" s="105"/>
      <c r="GV57" s="105"/>
      <c r="GW57" s="105"/>
      <c r="GX57" s="105"/>
      <c r="GY57" s="105"/>
      <c r="GZ57" s="105"/>
      <c r="HA57" s="105"/>
      <c r="HB57" s="105"/>
      <c r="HC57" s="105"/>
      <c r="HD57" s="105"/>
      <c r="HE57" s="105"/>
      <c r="HF57" s="105"/>
      <c r="HG57" s="105"/>
      <c r="HH57" s="105"/>
      <c r="HI57" s="105"/>
      <c r="HJ57" s="105"/>
      <c r="HK57" s="105"/>
      <c r="HL57" s="105"/>
      <c r="HM57" s="105"/>
      <c r="HN57" s="105"/>
      <c r="HO57" s="105"/>
      <c r="HP57" s="105"/>
      <c r="HQ57" s="105"/>
      <c r="HR57" s="105"/>
      <c r="HS57" s="105"/>
      <c r="HT57" s="105"/>
      <c r="HU57" s="105"/>
      <c r="HV57" s="105"/>
      <c r="HW57" s="105"/>
      <c r="HX57" s="105"/>
      <c r="HY57" s="105"/>
      <c r="HZ57" s="105"/>
      <c r="IA57" s="105"/>
      <c r="IB57" s="105"/>
      <c r="IC57" s="105"/>
      <c r="ID57" s="105"/>
      <c r="IE57" s="105"/>
      <c r="IF57" s="105"/>
      <c r="IG57" s="105"/>
      <c r="IH57" s="105"/>
      <c r="II57" s="105"/>
      <c r="IJ57" s="105"/>
      <c r="IK57" s="105"/>
      <c r="IL57" s="105"/>
      <c r="IM57" s="105"/>
      <c r="IN57" s="105"/>
      <c r="IO57" s="105"/>
      <c r="IP57" s="105"/>
      <c r="IQ57" s="105"/>
      <c r="IR57" s="105"/>
      <c r="IS57" s="105"/>
      <c r="IT57" s="105"/>
      <c r="IU57" s="105"/>
      <c r="IV57" s="105"/>
      <c r="IW57" s="105"/>
    </row>
    <row r="58" customFormat="false" ht="12.75" hidden="false" customHeight="false" outlineLevel="0" collapsed="false">
      <c r="B58" s="71" t="s">
        <v>113</v>
      </c>
      <c r="C58" s="72" t="s">
        <v>114</v>
      </c>
      <c r="D58" s="72" t="s">
        <v>115</v>
      </c>
      <c r="E58" s="73" t="s">
        <v>116</v>
      </c>
      <c r="F58" s="73"/>
      <c r="G58" s="71" t="s">
        <v>117</v>
      </c>
      <c r="H58" s="71" t="s">
        <v>118</v>
      </c>
      <c r="I58" s="72" t="s">
        <v>119</v>
      </c>
      <c r="J58" s="74" t="s">
        <v>120</v>
      </c>
      <c r="K58" s="72" t="s">
        <v>121</v>
      </c>
      <c r="L58" s="72" t="s">
        <v>122</v>
      </c>
      <c r="M58" s="72" t="s">
        <v>123</v>
      </c>
      <c r="N58" s="72" t="s">
        <v>124</v>
      </c>
      <c r="O58" s="75" t="s">
        <v>125</v>
      </c>
      <c r="P58" s="72" t="s">
        <v>126</v>
      </c>
      <c r="Q58" s="76" t="s">
        <v>127</v>
      </c>
      <c r="R58" s="72" t="s">
        <v>128</v>
      </c>
      <c r="S58" s="71" t="s">
        <v>129</v>
      </c>
      <c r="T58" s="77" t="s">
        <v>130</v>
      </c>
      <c r="U58" s="77" t="s">
        <v>131</v>
      </c>
      <c r="V58" s="78" t="s">
        <v>132</v>
      </c>
      <c r="W58" s="79" t="e">
        <f aca="false">+#REF!</f>
        <v>#REF!</v>
      </c>
      <c r="X58" s="80"/>
      <c r="Y58" s="80"/>
    </row>
    <row r="59" customFormat="false" ht="12.75" hidden="false" customHeight="false" outlineLevel="0" collapsed="false">
      <c r="B59" s="54"/>
      <c r="C59" s="52"/>
      <c r="D59" s="52"/>
      <c r="E59" s="53"/>
      <c r="F59" s="53"/>
      <c r="G59" s="54"/>
      <c r="H59" s="54"/>
      <c r="I59" s="52"/>
      <c r="J59" s="66"/>
      <c r="K59" s="57"/>
      <c r="L59" s="108"/>
      <c r="M59" s="57"/>
      <c r="N59" s="57"/>
      <c r="O59" s="58"/>
      <c r="P59" s="57"/>
      <c r="Q59" s="59"/>
      <c r="R59" s="60"/>
      <c r="S59" s="52"/>
      <c r="T59" s="106"/>
      <c r="U59" s="106"/>
      <c r="V59" s="107"/>
      <c r="W59" s="54"/>
      <c r="X59" s="80"/>
      <c r="Y59" s="80"/>
    </row>
    <row r="60" customFormat="false" ht="12.75" hidden="false" customHeight="false" outlineLevel="0" collapsed="false">
      <c r="B60" s="54"/>
      <c r="C60" s="52"/>
      <c r="D60" s="52"/>
      <c r="E60" s="53"/>
      <c r="F60" s="53"/>
      <c r="G60" s="54"/>
      <c r="H60" s="54"/>
      <c r="I60" s="52"/>
      <c r="J60" s="66"/>
      <c r="K60" s="57"/>
      <c r="L60" s="108"/>
      <c r="M60" s="57"/>
      <c r="N60" s="57"/>
      <c r="O60" s="126"/>
      <c r="P60" s="57"/>
      <c r="Q60" s="59"/>
      <c r="R60" s="52"/>
      <c r="S60" s="52"/>
      <c r="T60" s="7" t="n">
        <f aca="false">SUM(T59)</f>
        <v>0</v>
      </c>
      <c r="W60" s="54"/>
      <c r="X60" s="127"/>
      <c r="Y60" s="127"/>
    </row>
    <row r="61" customFormat="false" ht="11.25" hidden="false" customHeight="true" outlineLevel="0" collapsed="false">
      <c r="B61" s="71" t="s">
        <v>113</v>
      </c>
      <c r="C61" s="72" t="s">
        <v>114</v>
      </c>
      <c r="D61" s="72" t="s">
        <v>115</v>
      </c>
      <c r="E61" s="73" t="s">
        <v>116</v>
      </c>
      <c r="F61" s="73"/>
      <c r="G61" s="71" t="s">
        <v>117</v>
      </c>
      <c r="H61" s="71" t="s">
        <v>118</v>
      </c>
      <c r="I61" s="72" t="s">
        <v>119</v>
      </c>
      <c r="J61" s="74" t="s">
        <v>120</v>
      </c>
      <c r="K61" s="72" t="s">
        <v>121</v>
      </c>
      <c r="L61" s="72" t="s">
        <v>122</v>
      </c>
      <c r="M61" s="72" t="s">
        <v>123</v>
      </c>
      <c r="N61" s="72" t="s">
        <v>124</v>
      </c>
      <c r="O61" s="75" t="s">
        <v>125</v>
      </c>
      <c r="P61" s="72" t="s">
        <v>126</v>
      </c>
      <c r="Q61" s="76" t="s">
        <v>127</v>
      </c>
      <c r="R61" s="72" t="s">
        <v>128</v>
      </c>
      <c r="S61" s="71" t="s">
        <v>129</v>
      </c>
      <c r="T61" s="77" t="s">
        <v>130</v>
      </c>
      <c r="U61" s="77" t="s">
        <v>131</v>
      </c>
      <c r="V61" s="78" t="s">
        <v>132</v>
      </c>
      <c r="W61" s="79" t="e">
        <f aca="false">+#REF!</f>
        <v>#REF!</v>
      </c>
      <c r="X61" s="80"/>
      <c r="Y61" s="80"/>
    </row>
    <row r="62" customFormat="false" ht="12.75" hidden="false" customHeight="false" outlineLevel="0" collapsed="false">
      <c r="A62" s="81"/>
      <c r="B62" s="82" t="s">
        <v>60</v>
      </c>
      <c r="C62" s="83" t="s">
        <v>177</v>
      </c>
      <c r="D62" s="83" t="s">
        <v>178</v>
      </c>
      <c r="E62" s="84" t="n">
        <v>36923</v>
      </c>
      <c r="F62" s="84" t="n">
        <v>36950</v>
      </c>
      <c r="G62" s="82" t="s">
        <v>179</v>
      </c>
      <c r="H62" s="82" t="s">
        <v>180</v>
      </c>
      <c r="I62" s="83" t="s">
        <v>181</v>
      </c>
      <c r="J62" s="85" t="n">
        <f aca="false">7.4554/J$1</f>
        <v>0.240496774193548</v>
      </c>
      <c r="K62" s="86" t="n">
        <v>0</v>
      </c>
      <c r="L62" s="86" t="n">
        <v>0.0022</v>
      </c>
      <c r="M62" s="86" t="n">
        <v>0</v>
      </c>
      <c r="N62" s="86" t="n">
        <v>0</v>
      </c>
      <c r="O62" s="87" t="n">
        <v>0</v>
      </c>
      <c r="P62" s="86" t="n">
        <f aca="false">SUM(J62:N62)</f>
        <v>0.242696774193548</v>
      </c>
      <c r="Q62" s="128" t="n">
        <v>3.8057</v>
      </c>
      <c r="R62" s="83" t="n">
        <v>1</v>
      </c>
      <c r="S62" s="82" t="s">
        <v>182</v>
      </c>
      <c r="T62" s="90" t="n">
        <f aca="false">J62*J$1*R62</f>
        <v>7.4554</v>
      </c>
      <c r="U62" s="90"/>
      <c r="V62" s="91" t="n">
        <v>588455</v>
      </c>
      <c r="W62" s="82"/>
      <c r="X62" s="92"/>
      <c r="Y62" s="92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12.75" hidden="false" customHeight="false" outlineLevel="0" collapsed="false">
      <c r="A63" s="81"/>
      <c r="B63" s="82" t="s">
        <v>60</v>
      </c>
      <c r="C63" s="83" t="s">
        <v>177</v>
      </c>
      <c r="D63" s="83" t="s">
        <v>178</v>
      </c>
      <c r="E63" s="84" t="n">
        <v>36923</v>
      </c>
      <c r="F63" s="84" t="n">
        <v>36950</v>
      </c>
      <c r="G63" s="82" t="s">
        <v>183</v>
      </c>
      <c r="H63" s="82" t="s">
        <v>180</v>
      </c>
      <c r="I63" s="83" t="s">
        <v>181</v>
      </c>
      <c r="J63" s="85" t="n">
        <f aca="false">+J62</f>
        <v>0.240496774193548</v>
      </c>
      <c r="K63" s="86" t="n">
        <v>0</v>
      </c>
      <c r="L63" s="86" t="n">
        <v>0.0022</v>
      </c>
      <c r="M63" s="86" t="n">
        <v>0</v>
      </c>
      <c r="N63" s="86" t="n">
        <v>0</v>
      </c>
      <c r="O63" s="87" t="n">
        <v>0</v>
      </c>
      <c r="P63" s="86" t="n">
        <f aca="false">SUM(J63:N63)</f>
        <v>0.242696774193548</v>
      </c>
      <c r="Q63" s="128" t="n">
        <f aca="false">+Q62</f>
        <v>3.8057</v>
      </c>
      <c r="R63" s="83" t="n">
        <v>1</v>
      </c>
      <c r="S63" s="82" t="str">
        <f aca="false">+S62</f>
        <v>#022556</v>
      </c>
      <c r="T63" s="90" t="n">
        <f aca="false">J63*J$1*R63</f>
        <v>7.4554</v>
      </c>
      <c r="U63" s="90"/>
      <c r="V63" s="91" t="n">
        <f aca="false">+V62</f>
        <v>588455</v>
      </c>
      <c r="W63" s="82"/>
      <c r="X63" s="92"/>
      <c r="Y63" s="92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12.75" hidden="false" customHeight="false" outlineLevel="0" collapsed="false">
      <c r="A64" s="81"/>
      <c r="B64" s="82" t="s">
        <v>60</v>
      </c>
      <c r="C64" s="83" t="s">
        <v>177</v>
      </c>
      <c r="D64" s="83" t="s">
        <v>178</v>
      </c>
      <c r="E64" s="84" t="n">
        <v>36923</v>
      </c>
      <c r="F64" s="84" t="n">
        <v>36950</v>
      </c>
      <c r="G64" s="82" t="s">
        <v>154</v>
      </c>
      <c r="H64" s="82" t="s">
        <v>180</v>
      </c>
      <c r="I64" s="83" t="s">
        <v>181</v>
      </c>
      <c r="J64" s="85" t="n">
        <f aca="false">+J63</f>
        <v>0.240496774193548</v>
      </c>
      <c r="K64" s="86" t="n">
        <v>0</v>
      </c>
      <c r="L64" s="86" t="n">
        <v>0.0022</v>
      </c>
      <c r="M64" s="86" t="n">
        <v>0</v>
      </c>
      <c r="N64" s="86" t="n">
        <v>0</v>
      </c>
      <c r="O64" s="87" t="n">
        <v>0</v>
      </c>
      <c r="P64" s="86" t="n">
        <f aca="false">SUM(J64:N64)</f>
        <v>0.242696774193548</v>
      </c>
      <c r="Q64" s="128" t="n">
        <f aca="false">+Q63</f>
        <v>3.8057</v>
      </c>
      <c r="R64" s="83" t="n">
        <v>2</v>
      </c>
      <c r="S64" s="82" t="str">
        <f aca="false">+S63</f>
        <v>#022556</v>
      </c>
      <c r="T64" s="90" t="n">
        <f aca="false">J64*J$1*R64</f>
        <v>14.9108</v>
      </c>
      <c r="U64" s="90"/>
      <c r="V64" s="91" t="n">
        <f aca="false">+V63</f>
        <v>588455</v>
      </c>
      <c r="W64" s="82"/>
      <c r="X64" s="92"/>
      <c r="Y64" s="92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2.75" hidden="false" customHeight="false" outlineLevel="0" collapsed="false">
      <c r="A65" s="81"/>
      <c r="B65" s="82" t="s">
        <v>60</v>
      </c>
      <c r="C65" s="83" t="s">
        <v>177</v>
      </c>
      <c r="D65" s="83" t="s">
        <v>178</v>
      </c>
      <c r="E65" s="84" t="n">
        <v>36923</v>
      </c>
      <c r="F65" s="84" t="n">
        <v>37864</v>
      </c>
      <c r="G65" s="82" t="s">
        <v>179</v>
      </c>
      <c r="H65" s="82" t="s">
        <v>180</v>
      </c>
      <c r="I65" s="83" t="s">
        <v>181</v>
      </c>
      <c r="J65" s="85" t="n">
        <f aca="false">7.4554/J$1</f>
        <v>0.240496774193548</v>
      </c>
      <c r="K65" s="86" t="n">
        <v>0</v>
      </c>
      <c r="L65" s="86" t="n">
        <v>0.0022</v>
      </c>
      <c r="M65" s="86" t="n">
        <v>0</v>
      </c>
      <c r="N65" s="86" t="n">
        <v>0</v>
      </c>
      <c r="O65" s="87" t="n">
        <v>0</v>
      </c>
      <c r="P65" s="86" t="n">
        <f aca="false">SUM(J65:N65)</f>
        <v>0.242696774193548</v>
      </c>
      <c r="Q65" s="128" t="n">
        <v>3.7956</v>
      </c>
      <c r="R65" s="129" t="n">
        <v>45</v>
      </c>
      <c r="S65" s="82" t="s">
        <v>184</v>
      </c>
      <c r="T65" s="90" t="n">
        <f aca="false">J65*J$1*R65</f>
        <v>335.493</v>
      </c>
      <c r="U65" s="90"/>
      <c r="V65" s="91" t="n">
        <v>588404</v>
      </c>
      <c r="W65" s="82" t="s">
        <v>185</v>
      </c>
      <c r="X65" s="92"/>
      <c r="Y65" s="92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2.75" hidden="false" customHeight="false" outlineLevel="0" collapsed="false">
      <c r="A66" s="81"/>
      <c r="B66" s="82" t="s">
        <v>60</v>
      </c>
      <c r="C66" s="83" t="s">
        <v>177</v>
      </c>
      <c r="D66" s="83" t="s">
        <v>178</v>
      </c>
      <c r="E66" s="84" t="n">
        <v>36923</v>
      </c>
      <c r="F66" s="84" t="n">
        <f aca="false">+F65</f>
        <v>37864</v>
      </c>
      <c r="G66" s="82" t="s">
        <v>183</v>
      </c>
      <c r="H66" s="82" t="s">
        <v>180</v>
      </c>
      <c r="I66" s="83" t="s">
        <v>181</v>
      </c>
      <c r="J66" s="85" t="n">
        <f aca="false">7.5654/J$1</f>
        <v>0.244045161290323</v>
      </c>
      <c r="K66" s="86" t="n">
        <v>0</v>
      </c>
      <c r="L66" s="86" t="n">
        <v>0.0022</v>
      </c>
      <c r="M66" s="86" t="n">
        <v>0</v>
      </c>
      <c r="N66" s="86" t="n">
        <v>0</v>
      </c>
      <c r="O66" s="87" t="n">
        <v>0</v>
      </c>
      <c r="P66" s="86" t="n">
        <f aca="false">SUM(J66:N66)</f>
        <v>0.246245161290323</v>
      </c>
      <c r="Q66" s="128" t="n">
        <f aca="false">+Q65</f>
        <v>3.7956</v>
      </c>
      <c r="R66" s="83" t="n">
        <v>67</v>
      </c>
      <c r="S66" s="82" t="str">
        <f aca="false">+S65</f>
        <v>#022607</v>
      </c>
      <c r="T66" s="90" t="n">
        <f aca="false">J66*J$1*R66</f>
        <v>506.8818</v>
      </c>
      <c r="U66" s="90"/>
      <c r="V66" s="91" t="n">
        <f aca="false">+V65</f>
        <v>588404</v>
      </c>
      <c r="W66" s="82" t="s">
        <v>185</v>
      </c>
      <c r="X66" s="92"/>
      <c r="Y66" s="92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2.75" hidden="false" customHeight="false" outlineLevel="0" collapsed="false">
      <c r="A67" s="81"/>
      <c r="B67" s="82" t="s">
        <v>60</v>
      </c>
      <c r="C67" s="83" t="s">
        <v>177</v>
      </c>
      <c r="D67" s="83" t="s">
        <v>178</v>
      </c>
      <c r="E67" s="84" t="n">
        <v>36923</v>
      </c>
      <c r="F67" s="84" t="n">
        <f aca="false">+F66</f>
        <v>37864</v>
      </c>
      <c r="G67" s="82" t="s">
        <v>154</v>
      </c>
      <c r="H67" s="82" t="s">
        <v>180</v>
      </c>
      <c r="I67" s="83" t="s">
        <v>181</v>
      </c>
      <c r="J67" s="85" t="n">
        <f aca="false">7.5654/J$1</f>
        <v>0.244045161290323</v>
      </c>
      <c r="K67" s="86" t="n">
        <v>0</v>
      </c>
      <c r="L67" s="86" t="n">
        <v>0.0022</v>
      </c>
      <c r="M67" s="86" t="n">
        <v>0</v>
      </c>
      <c r="N67" s="86" t="n">
        <v>0</v>
      </c>
      <c r="O67" s="87" t="n">
        <v>0</v>
      </c>
      <c r="P67" s="86" t="n">
        <f aca="false">SUM(J67:N67)</f>
        <v>0.246245161290323</v>
      </c>
      <c r="Q67" s="128" t="n">
        <f aca="false">+Q66</f>
        <v>3.7956</v>
      </c>
      <c r="R67" s="83" t="n">
        <f aca="false">51+104</f>
        <v>155</v>
      </c>
      <c r="S67" s="82" t="str">
        <f aca="false">+S66</f>
        <v>#022607</v>
      </c>
      <c r="T67" s="90" t="n">
        <f aca="false">J67*J$1*R67</f>
        <v>1172.637</v>
      </c>
      <c r="U67" s="90"/>
      <c r="V67" s="91" t="n">
        <f aca="false">+V66</f>
        <v>588404</v>
      </c>
      <c r="W67" s="82" t="s">
        <v>185</v>
      </c>
      <c r="X67" s="92"/>
      <c r="Y67" s="92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2.75" hidden="false" customHeight="false" outlineLevel="0" collapsed="false">
      <c r="A68" s="81"/>
      <c r="B68" s="82" t="s">
        <v>60</v>
      </c>
      <c r="C68" s="83" t="s">
        <v>177</v>
      </c>
      <c r="D68" s="83" t="s">
        <v>178</v>
      </c>
      <c r="E68" s="84" t="n">
        <v>36923</v>
      </c>
      <c r="F68" s="84" t="n">
        <v>36950</v>
      </c>
      <c r="G68" s="82" t="s">
        <v>179</v>
      </c>
      <c r="H68" s="82" t="s">
        <v>180</v>
      </c>
      <c r="I68" s="83" t="s">
        <v>181</v>
      </c>
      <c r="J68" s="85" t="n">
        <f aca="false">7.4554/J$1</f>
        <v>0.240496774193548</v>
      </c>
      <c r="K68" s="86" t="n">
        <v>0</v>
      </c>
      <c r="L68" s="86" t="n">
        <v>0.0022</v>
      </c>
      <c r="M68" s="86" t="n">
        <v>0</v>
      </c>
      <c r="N68" s="86" t="n">
        <v>0</v>
      </c>
      <c r="O68" s="87" t="n">
        <v>0</v>
      </c>
      <c r="P68" s="86" t="n">
        <f aca="false">SUM(J68:N68)</f>
        <v>0.242696774193548</v>
      </c>
      <c r="Q68" s="128" t="n">
        <v>3.8052</v>
      </c>
      <c r="R68" s="129" t="n">
        <v>1</v>
      </c>
      <c r="S68" s="82" t="s">
        <v>186</v>
      </c>
      <c r="T68" s="90" t="n">
        <f aca="false">J68*J$1*R68</f>
        <v>7.4554</v>
      </c>
      <c r="U68" s="90"/>
      <c r="V68" s="91" t="n">
        <v>588381</v>
      </c>
      <c r="W68" s="82"/>
      <c r="X68" s="92"/>
      <c r="Y68" s="92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2.75" hidden="false" customHeight="false" outlineLevel="0" collapsed="false">
      <c r="A69" s="81"/>
      <c r="B69" s="82" t="s">
        <v>60</v>
      </c>
      <c r="C69" s="83" t="s">
        <v>177</v>
      </c>
      <c r="D69" s="83" t="s">
        <v>178</v>
      </c>
      <c r="E69" s="84" t="n">
        <v>36923</v>
      </c>
      <c r="F69" s="84" t="n">
        <v>36950</v>
      </c>
      <c r="G69" s="82" t="s">
        <v>183</v>
      </c>
      <c r="H69" s="82" t="s">
        <v>180</v>
      </c>
      <c r="I69" s="83" t="s">
        <v>181</v>
      </c>
      <c r="J69" s="85" t="n">
        <f aca="false">7.4554/J$1</f>
        <v>0.240496774193548</v>
      </c>
      <c r="K69" s="86" t="n">
        <v>0</v>
      </c>
      <c r="L69" s="86" t="n">
        <v>0.0022</v>
      </c>
      <c r="M69" s="86" t="n">
        <v>0</v>
      </c>
      <c r="N69" s="86" t="n">
        <v>0</v>
      </c>
      <c r="O69" s="87" t="n">
        <v>0</v>
      </c>
      <c r="P69" s="86" t="n">
        <f aca="false">SUM(J69:N69)</f>
        <v>0.242696774193548</v>
      </c>
      <c r="Q69" s="128" t="n">
        <f aca="false">+Q68</f>
        <v>3.8052</v>
      </c>
      <c r="R69" s="83" t="n">
        <v>1</v>
      </c>
      <c r="S69" s="82" t="str">
        <f aca="false">+S68</f>
        <v>#022561</v>
      </c>
      <c r="T69" s="90" t="n">
        <f aca="false">J69*J$1*R69</f>
        <v>7.4554</v>
      </c>
      <c r="U69" s="90"/>
      <c r="V69" s="91" t="n">
        <f aca="false">+V68</f>
        <v>588381</v>
      </c>
      <c r="W69" s="82"/>
      <c r="X69" s="92"/>
      <c r="Y69" s="92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2.75" hidden="false" customHeight="false" outlineLevel="0" collapsed="false">
      <c r="A70" s="81"/>
      <c r="B70" s="82" t="s">
        <v>60</v>
      </c>
      <c r="C70" s="83" t="s">
        <v>177</v>
      </c>
      <c r="D70" s="83" t="s">
        <v>178</v>
      </c>
      <c r="E70" s="84" t="n">
        <v>36923</v>
      </c>
      <c r="F70" s="84" t="n">
        <v>36950</v>
      </c>
      <c r="G70" s="82" t="s">
        <v>154</v>
      </c>
      <c r="H70" s="82" t="s">
        <v>180</v>
      </c>
      <c r="I70" s="83" t="s">
        <v>181</v>
      </c>
      <c r="J70" s="85" t="n">
        <f aca="false">7.4554/J$1</f>
        <v>0.240496774193548</v>
      </c>
      <c r="K70" s="86" t="n">
        <v>0</v>
      </c>
      <c r="L70" s="86" t="n">
        <v>0.0022</v>
      </c>
      <c r="M70" s="86" t="n">
        <v>0</v>
      </c>
      <c r="N70" s="86" t="n">
        <v>0</v>
      </c>
      <c r="O70" s="87" t="n">
        <v>0</v>
      </c>
      <c r="P70" s="86" t="n">
        <f aca="false">SUM(J70:N70)</f>
        <v>0.242696774193548</v>
      </c>
      <c r="Q70" s="128" t="n">
        <f aca="false">+Q69</f>
        <v>3.8052</v>
      </c>
      <c r="R70" s="83" t="n">
        <v>2</v>
      </c>
      <c r="S70" s="82" t="str">
        <f aca="false">+S69</f>
        <v>#022561</v>
      </c>
      <c r="T70" s="90" t="n">
        <f aca="false">J70*J$1*R70</f>
        <v>14.9108</v>
      </c>
      <c r="U70" s="90"/>
      <c r="V70" s="91" t="n">
        <f aca="false">+V69</f>
        <v>588381</v>
      </c>
      <c r="W70" s="82"/>
      <c r="X70" s="92"/>
      <c r="Y70" s="92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2.75" hidden="false" customHeight="false" outlineLevel="0" collapsed="false">
      <c r="A71" s="81"/>
      <c r="B71" s="82" t="s">
        <v>60</v>
      </c>
      <c r="C71" s="83" t="s">
        <v>177</v>
      </c>
      <c r="D71" s="83" t="s">
        <v>178</v>
      </c>
      <c r="E71" s="84" t="n">
        <v>36923</v>
      </c>
      <c r="F71" s="84" t="n">
        <v>36950</v>
      </c>
      <c r="G71" s="82" t="s">
        <v>179</v>
      </c>
      <c r="H71" s="82" t="s">
        <v>180</v>
      </c>
      <c r="I71" s="83" t="s">
        <v>181</v>
      </c>
      <c r="J71" s="85" t="n">
        <f aca="false">7.4554/J$1</f>
        <v>0.240496774193548</v>
      </c>
      <c r="K71" s="86" t="n">
        <v>0</v>
      </c>
      <c r="L71" s="86" t="n">
        <v>0.0022</v>
      </c>
      <c r="M71" s="86" t="n">
        <v>0</v>
      </c>
      <c r="N71" s="86" t="n">
        <v>0</v>
      </c>
      <c r="O71" s="87" t="n">
        <v>0</v>
      </c>
      <c r="P71" s="86" t="n">
        <f aca="false">SUM(J71:N71)</f>
        <v>0.242696774193548</v>
      </c>
      <c r="Q71" s="128" t="n">
        <v>3.802</v>
      </c>
      <c r="R71" s="83" t="n">
        <v>322</v>
      </c>
      <c r="S71" s="82" t="s">
        <v>187</v>
      </c>
      <c r="T71" s="90" t="n">
        <f aca="false">J71*J$1*R71</f>
        <v>2400.6388</v>
      </c>
      <c r="U71" s="90"/>
      <c r="V71" s="91" t="n">
        <v>587532</v>
      </c>
      <c r="W71" s="82"/>
      <c r="X71" s="92"/>
      <c r="Y71" s="92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2.75" hidden="false" customHeight="false" outlineLevel="0" collapsed="false">
      <c r="A72" s="81"/>
      <c r="B72" s="82" t="s">
        <v>60</v>
      </c>
      <c r="C72" s="83" t="s">
        <v>177</v>
      </c>
      <c r="D72" s="83" t="s">
        <v>178</v>
      </c>
      <c r="E72" s="84" t="n">
        <v>36923</v>
      </c>
      <c r="F72" s="84" t="n">
        <v>36950</v>
      </c>
      <c r="G72" s="82" t="s">
        <v>183</v>
      </c>
      <c r="H72" s="82" t="s">
        <v>180</v>
      </c>
      <c r="I72" s="83" t="s">
        <v>181</v>
      </c>
      <c r="J72" s="85" t="n">
        <f aca="false">+J71</f>
        <v>0.240496774193548</v>
      </c>
      <c r="K72" s="86" t="n">
        <v>0</v>
      </c>
      <c r="L72" s="86" t="n">
        <v>0.0022</v>
      </c>
      <c r="M72" s="86" t="n">
        <v>0</v>
      </c>
      <c r="N72" s="86" t="n">
        <v>0</v>
      </c>
      <c r="O72" s="87" t="n">
        <v>0</v>
      </c>
      <c r="P72" s="86" t="n">
        <f aca="false">SUM(J72:N72)</f>
        <v>0.242696774193548</v>
      </c>
      <c r="Q72" s="128" t="n">
        <f aca="false">+Q71</f>
        <v>3.802</v>
      </c>
      <c r="R72" s="83" t="n">
        <v>473</v>
      </c>
      <c r="S72" s="82" t="str">
        <f aca="false">+S71</f>
        <v>#022612</v>
      </c>
      <c r="T72" s="90" t="n">
        <f aca="false">J72*J$1*R72</f>
        <v>3526.4042</v>
      </c>
      <c r="U72" s="90"/>
      <c r="V72" s="91" t="n">
        <f aca="false">+V71</f>
        <v>587532</v>
      </c>
      <c r="W72" s="82"/>
      <c r="X72" s="92"/>
      <c r="Y72" s="92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2.75" hidden="false" customHeight="false" outlineLevel="0" collapsed="false">
      <c r="A73" s="81"/>
      <c r="B73" s="82" t="s">
        <v>60</v>
      </c>
      <c r="C73" s="83" t="s">
        <v>177</v>
      </c>
      <c r="D73" s="83" t="s">
        <v>178</v>
      </c>
      <c r="E73" s="84" t="n">
        <v>36923</v>
      </c>
      <c r="F73" s="84" t="n">
        <v>36950</v>
      </c>
      <c r="G73" s="82" t="s">
        <v>154</v>
      </c>
      <c r="H73" s="82" t="s">
        <v>180</v>
      </c>
      <c r="I73" s="83" t="s">
        <v>181</v>
      </c>
      <c r="J73" s="85" t="n">
        <f aca="false">+J72</f>
        <v>0.240496774193548</v>
      </c>
      <c r="K73" s="86" t="n">
        <v>0</v>
      </c>
      <c r="L73" s="86" t="n">
        <v>0.0022</v>
      </c>
      <c r="M73" s="86" t="n">
        <v>0</v>
      </c>
      <c r="N73" s="86" t="n">
        <v>0</v>
      </c>
      <c r="O73" s="87" t="n">
        <v>0</v>
      </c>
      <c r="P73" s="86" t="n">
        <f aca="false">SUM(J73:N73)</f>
        <v>0.242696774193548</v>
      </c>
      <c r="Q73" s="128" t="n">
        <f aca="false">+Q72</f>
        <v>3.802</v>
      </c>
      <c r="R73" s="83" t="n">
        <f aca="false">359+738</f>
        <v>1097</v>
      </c>
      <c r="S73" s="82" t="str">
        <f aca="false">+S72</f>
        <v>#022612</v>
      </c>
      <c r="T73" s="90" t="n">
        <f aca="false">J73*J$1*R73</f>
        <v>8178.5738</v>
      </c>
      <c r="U73" s="90"/>
      <c r="V73" s="91" t="n">
        <f aca="false">+V72</f>
        <v>587532</v>
      </c>
      <c r="W73" s="82"/>
      <c r="X73" s="92"/>
      <c r="Y73" s="92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2.75" hidden="false" customHeight="false" outlineLevel="0" collapsed="false">
      <c r="A74" s="81"/>
      <c r="B74" s="82" t="s">
        <v>60</v>
      </c>
      <c r="C74" s="83" t="s">
        <v>177</v>
      </c>
      <c r="D74" s="83" t="s">
        <v>178</v>
      </c>
      <c r="E74" s="84" t="n">
        <v>36923</v>
      </c>
      <c r="F74" s="84" t="n">
        <v>36950</v>
      </c>
      <c r="G74" s="82" t="s">
        <v>179</v>
      </c>
      <c r="H74" s="82" t="s">
        <v>180</v>
      </c>
      <c r="I74" s="83" t="s">
        <v>181</v>
      </c>
      <c r="J74" s="85" t="n">
        <f aca="false">7.4554/J$1</f>
        <v>0.240496774193548</v>
      </c>
      <c r="K74" s="86" t="n">
        <v>0</v>
      </c>
      <c r="L74" s="86" t="n">
        <v>0.0022</v>
      </c>
      <c r="M74" s="86" t="n">
        <v>0</v>
      </c>
      <c r="N74" s="86" t="n">
        <v>0</v>
      </c>
      <c r="O74" s="87" t="n">
        <v>0</v>
      </c>
      <c r="P74" s="86" t="n">
        <f aca="false">SUM(J74:N74)</f>
        <v>0.242696774193548</v>
      </c>
      <c r="Q74" s="128" t="n">
        <v>3.8017</v>
      </c>
      <c r="R74" s="83" t="n">
        <v>47</v>
      </c>
      <c r="S74" s="82" t="s">
        <v>188</v>
      </c>
      <c r="T74" s="90" t="n">
        <f aca="false">J74*J$1*R74</f>
        <v>350.4038</v>
      </c>
      <c r="U74" s="90"/>
      <c r="V74" s="91" t="n">
        <v>588050</v>
      </c>
      <c r="W74" s="82"/>
      <c r="X74" s="92"/>
      <c r="Y74" s="92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2.75" hidden="false" customHeight="false" outlineLevel="0" collapsed="false">
      <c r="A75" s="81"/>
      <c r="B75" s="82" t="s">
        <v>60</v>
      </c>
      <c r="C75" s="83" t="s">
        <v>177</v>
      </c>
      <c r="D75" s="83" t="s">
        <v>178</v>
      </c>
      <c r="E75" s="84" t="n">
        <v>36923</v>
      </c>
      <c r="F75" s="84" t="n">
        <v>36950</v>
      </c>
      <c r="G75" s="82" t="s">
        <v>183</v>
      </c>
      <c r="H75" s="82" t="s">
        <v>180</v>
      </c>
      <c r="I75" s="83" t="s">
        <v>181</v>
      </c>
      <c r="J75" s="85" t="n">
        <f aca="false">+J74</f>
        <v>0.240496774193548</v>
      </c>
      <c r="K75" s="86" t="n">
        <v>0</v>
      </c>
      <c r="L75" s="86" t="n">
        <v>0.0022</v>
      </c>
      <c r="M75" s="86" t="n">
        <v>0</v>
      </c>
      <c r="N75" s="86" t="n">
        <v>0</v>
      </c>
      <c r="O75" s="87" t="n">
        <v>0</v>
      </c>
      <c r="P75" s="86" t="n">
        <f aca="false">SUM(J75:N75)</f>
        <v>0.242696774193548</v>
      </c>
      <c r="Q75" s="128" t="n">
        <f aca="false">+Q74</f>
        <v>3.8017</v>
      </c>
      <c r="R75" s="83" t="n">
        <v>69</v>
      </c>
      <c r="S75" s="82" t="str">
        <f aca="false">+S74</f>
        <v>#022616</v>
      </c>
      <c r="T75" s="90" t="n">
        <f aca="false">J75*J$1*R75</f>
        <v>514.4226</v>
      </c>
      <c r="U75" s="90"/>
      <c r="V75" s="91" t="n">
        <f aca="false">+V74</f>
        <v>588050</v>
      </c>
      <c r="W75" s="82"/>
      <c r="X75" s="92"/>
      <c r="Y75" s="92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12.75" hidden="false" customHeight="false" outlineLevel="0" collapsed="false">
      <c r="A76" s="81"/>
      <c r="B76" s="82" t="s">
        <v>60</v>
      </c>
      <c r="C76" s="83" t="s">
        <v>177</v>
      </c>
      <c r="D76" s="83" t="s">
        <v>178</v>
      </c>
      <c r="E76" s="84" t="n">
        <v>36923</v>
      </c>
      <c r="F76" s="84" t="n">
        <v>36950</v>
      </c>
      <c r="G76" s="82" t="s">
        <v>154</v>
      </c>
      <c r="H76" s="82" t="s">
        <v>180</v>
      </c>
      <c r="I76" s="83" t="s">
        <v>181</v>
      </c>
      <c r="J76" s="85" t="n">
        <f aca="false">+J75</f>
        <v>0.240496774193548</v>
      </c>
      <c r="K76" s="86" t="n">
        <v>0</v>
      </c>
      <c r="L76" s="86" t="n">
        <v>0.0022</v>
      </c>
      <c r="M76" s="86" t="n">
        <v>0</v>
      </c>
      <c r="N76" s="86" t="n">
        <v>0</v>
      </c>
      <c r="O76" s="87" t="n">
        <v>0</v>
      </c>
      <c r="P76" s="86" t="n">
        <f aca="false">SUM(J76:N76)</f>
        <v>0.242696774193548</v>
      </c>
      <c r="Q76" s="128" t="n">
        <f aca="false">+Q75</f>
        <v>3.8017</v>
      </c>
      <c r="R76" s="83" t="n">
        <f aca="false">53+108</f>
        <v>161</v>
      </c>
      <c r="S76" s="82" t="str">
        <f aca="false">+S75</f>
        <v>#022616</v>
      </c>
      <c r="T76" s="90" t="n">
        <f aca="false">J76*J$1*R76</f>
        <v>1200.3194</v>
      </c>
      <c r="U76" s="90"/>
      <c r="V76" s="91" t="n">
        <f aca="false">+V75</f>
        <v>588050</v>
      </c>
      <c r="W76" s="82"/>
      <c r="X76" s="92"/>
      <c r="Y76" s="92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12.75" hidden="false" customHeight="false" outlineLevel="0" collapsed="false">
      <c r="A77" s="81"/>
      <c r="B77" s="82" t="s">
        <v>60</v>
      </c>
      <c r="C77" s="83" t="s">
        <v>177</v>
      </c>
      <c r="D77" s="83" t="s">
        <v>178</v>
      </c>
      <c r="E77" s="84" t="n">
        <v>36923</v>
      </c>
      <c r="F77" s="84" t="n">
        <v>36950</v>
      </c>
      <c r="G77" s="82" t="s">
        <v>179</v>
      </c>
      <c r="H77" s="82" t="s">
        <v>180</v>
      </c>
      <c r="I77" s="83" t="s">
        <v>181</v>
      </c>
      <c r="J77" s="85" t="n">
        <f aca="false">7.4554/J$1</f>
        <v>0.240496774193548</v>
      </c>
      <c r="K77" s="86" t="n">
        <v>0</v>
      </c>
      <c r="L77" s="86" t="n">
        <v>0.0022</v>
      </c>
      <c r="M77" s="86" t="n">
        <v>0</v>
      </c>
      <c r="N77" s="86" t="n">
        <v>0</v>
      </c>
      <c r="O77" s="87" t="n">
        <v>0</v>
      </c>
      <c r="P77" s="86" t="n">
        <f aca="false">SUM(J77:N77)</f>
        <v>0.242696774193548</v>
      </c>
      <c r="Q77" s="128" t="n">
        <v>3.8022</v>
      </c>
      <c r="R77" s="83" t="n">
        <v>20</v>
      </c>
      <c r="S77" s="82" t="s">
        <v>189</v>
      </c>
      <c r="T77" s="90" t="n">
        <f aca="false">J77*J$1*R77</f>
        <v>149.108</v>
      </c>
      <c r="U77" s="90"/>
      <c r="V77" s="91" t="n">
        <v>588294</v>
      </c>
      <c r="W77" s="82"/>
      <c r="X77" s="92"/>
      <c r="Y77" s="92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12.75" hidden="false" customHeight="false" outlineLevel="0" collapsed="false">
      <c r="A78" s="81"/>
      <c r="B78" s="82" t="s">
        <v>60</v>
      </c>
      <c r="C78" s="83" t="s">
        <v>177</v>
      </c>
      <c r="D78" s="83" t="s">
        <v>178</v>
      </c>
      <c r="E78" s="84" t="n">
        <v>36923</v>
      </c>
      <c r="F78" s="84" t="n">
        <v>36950</v>
      </c>
      <c r="G78" s="82" t="s">
        <v>183</v>
      </c>
      <c r="H78" s="82" t="s">
        <v>180</v>
      </c>
      <c r="I78" s="83" t="s">
        <v>181</v>
      </c>
      <c r="J78" s="85" t="n">
        <f aca="false">+J77</f>
        <v>0.240496774193548</v>
      </c>
      <c r="K78" s="86" t="n">
        <v>0</v>
      </c>
      <c r="L78" s="86" t="n">
        <v>0.0022</v>
      </c>
      <c r="M78" s="86" t="n">
        <v>0</v>
      </c>
      <c r="N78" s="86" t="n">
        <v>0</v>
      </c>
      <c r="O78" s="87" t="n">
        <v>0</v>
      </c>
      <c r="P78" s="86" t="n">
        <f aca="false">SUM(J78:N78)</f>
        <v>0.242696774193548</v>
      </c>
      <c r="Q78" s="128" t="n">
        <f aca="false">+Q77</f>
        <v>3.8022</v>
      </c>
      <c r="R78" s="83" t="n">
        <v>28</v>
      </c>
      <c r="S78" s="82" t="str">
        <f aca="false">+S77</f>
        <v>#022608</v>
      </c>
      <c r="T78" s="90" t="n">
        <f aca="false">J78*J$1*R78</f>
        <v>208.7512</v>
      </c>
      <c r="U78" s="90"/>
      <c r="V78" s="91" t="n">
        <f aca="false">+V77</f>
        <v>588294</v>
      </c>
      <c r="W78" s="82"/>
      <c r="X78" s="92"/>
      <c r="Y78" s="92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2.75" hidden="false" customHeight="false" outlineLevel="0" collapsed="false">
      <c r="A79" s="81"/>
      <c r="B79" s="82" t="s">
        <v>60</v>
      </c>
      <c r="C79" s="83" t="s">
        <v>177</v>
      </c>
      <c r="D79" s="83" t="s">
        <v>178</v>
      </c>
      <c r="E79" s="84" t="n">
        <v>36923</v>
      </c>
      <c r="F79" s="84" t="n">
        <v>36950</v>
      </c>
      <c r="G79" s="82" t="s">
        <v>154</v>
      </c>
      <c r="H79" s="82" t="s">
        <v>180</v>
      </c>
      <c r="I79" s="83" t="s">
        <v>181</v>
      </c>
      <c r="J79" s="85" t="n">
        <f aca="false">+J78</f>
        <v>0.240496774193548</v>
      </c>
      <c r="K79" s="86" t="n">
        <v>0</v>
      </c>
      <c r="L79" s="86" t="n">
        <v>0.0022</v>
      </c>
      <c r="M79" s="86" t="n">
        <v>0</v>
      </c>
      <c r="N79" s="86" t="n">
        <v>0</v>
      </c>
      <c r="O79" s="87" t="n">
        <v>0</v>
      </c>
      <c r="P79" s="86" t="n">
        <f aca="false">SUM(J79:N79)</f>
        <v>0.242696774193548</v>
      </c>
      <c r="Q79" s="128" t="n">
        <f aca="false">+Q78</f>
        <v>3.8022</v>
      </c>
      <c r="R79" s="83" t="n">
        <f aca="false">22+45</f>
        <v>67</v>
      </c>
      <c r="S79" s="82" t="str">
        <f aca="false">+S78</f>
        <v>#022608</v>
      </c>
      <c r="T79" s="90" t="n">
        <f aca="false">J79*J$1*R79</f>
        <v>499.5118</v>
      </c>
      <c r="U79" s="90"/>
      <c r="V79" s="91" t="n">
        <f aca="false">+V78</f>
        <v>588294</v>
      </c>
      <c r="W79" s="82"/>
      <c r="X79" s="92"/>
      <c r="Y79" s="92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2.75" hidden="false" customHeight="false" outlineLevel="0" collapsed="false">
      <c r="A80" s="81"/>
      <c r="B80" s="82" t="s">
        <v>60</v>
      </c>
      <c r="C80" s="83" t="s">
        <v>177</v>
      </c>
      <c r="D80" s="83" t="s">
        <v>178</v>
      </c>
      <c r="E80" s="84" t="n">
        <v>36923</v>
      </c>
      <c r="F80" s="84" t="n">
        <v>36950</v>
      </c>
      <c r="G80" s="82" t="s">
        <v>154</v>
      </c>
      <c r="H80" s="82" t="s">
        <v>154</v>
      </c>
      <c r="I80" s="83" t="s">
        <v>181</v>
      </c>
      <c r="J80" s="85" t="n">
        <f aca="false">6.1326/J$1</f>
        <v>0.197825806451613</v>
      </c>
      <c r="K80" s="86" t="n">
        <v>0</v>
      </c>
      <c r="L80" s="86" t="n">
        <v>0.0022</v>
      </c>
      <c r="M80" s="86" t="n">
        <v>0</v>
      </c>
      <c r="N80" s="86" t="n">
        <v>0</v>
      </c>
      <c r="O80" s="87" t="n">
        <v>0</v>
      </c>
      <c r="P80" s="86" t="n">
        <f aca="false">SUM(J80:N80)</f>
        <v>0.200025806451613</v>
      </c>
      <c r="Q80" s="128" t="n">
        <v>3.8016</v>
      </c>
      <c r="R80" s="83" t="n">
        <v>109</v>
      </c>
      <c r="S80" s="82" t="s">
        <v>190</v>
      </c>
      <c r="T80" s="90" t="n">
        <f aca="false">J80*J$1*R80</f>
        <v>668.4534</v>
      </c>
      <c r="U80" s="90"/>
      <c r="V80" s="91" t="n">
        <v>587484</v>
      </c>
      <c r="W80" s="82"/>
      <c r="X80" s="92"/>
      <c r="Y80" s="92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2.75" hidden="false" customHeight="false" outlineLevel="0" collapsed="false">
      <c r="A81" s="81"/>
      <c r="B81" s="82" t="s">
        <v>60</v>
      </c>
      <c r="C81" s="83" t="s">
        <v>177</v>
      </c>
      <c r="D81" s="83" t="s">
        <v>178</v>
      </c>
      <c r="E81" s="84" t="n">
        <v>36923</v>
      </c>
      <c r="F81" s="84" t="n">
        <v>36950</v>
      </c>
      <c r="G81" s="82" t="s">
        <v>154</v>
      </c>
      <c r="H81" s="82" t="s">
        <v>154</v>
      </c>
      <c r="I81" s="83" t="s">
        <v>181</v>
      </c>
      <c r="J81" s="85" t="n">
        <f aca="false">6.1326/J$1</f>
        <v>0.197825806451613</v>
      </c>
      <c r="K81" s="86" t="n">
        <v>0</v>
      </c>
      <c r="L81" s="86" t="n">
        <v>0.0022</v>
      </c>
      <c r="M81" s="86" t="n">
        <v>0</v>
      </c>
      <c r="N81" s="86" t="n">
        <v>0</v>
      </c>
      <c r="O81" s="87" t="n">
        <v>0</v>
      </c>
      <c r="P81" s="86" t="n">
        <f aca="false">SUM(J81:N81)</f>
        <v>0.200025806451613</v>
      </c>
      <c r="Q81" s="128" t="n">
        <v>3.8051</v>
      </c>
      <c r="R81" s="83" t="n">
        <v>1</v>
      </c>
      <c r="S81" s="82" t="s">
        <v>191</v>
      </c>
      <c r="T81" s="90" t="n">
        <f aca="false">J81*J$1*R81</f>
        <v>6.1326</v>
      </c>
      <c r="U81" s="90"/>
      <c r="V81" s="91" t="n">
        <v>586968</v>
      </c>
      <c r="W81" s="82"/>
      <c r="X81" s="92"/>
      <c r="Y81" s="92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2.75" hidden="false" customHeight="false" outlineLevel="0" collapsed="false">
      <c r="A82" s="81"/>
      <c r="B82" s="82" t="s">
        <v>60</v>
      </c>
      <c r="C82" s="83" t="s">
        <v>177</v>
      </c>
      <c r="D82" s="83" t="s">
        <v>178</v>
      </c>
      <c r="E82" s="84" t="n">
        <v>36923</v>
      </c>
      <c r="F82" s="84" t="n">
        <v>36950</v>
      </c>
      <c r="G82" s="82" t="s">
        <v>179</v>
      </c>
      <c r="H82" s="82" t="s">
        <v>180</v>
      </c>
      <c r="I82" s="83" t="s">
        <v>181</v>
      </c>
      <c r="J82" s="85" t="n">
        <f aca="false">7.4554/J$1</f>
        <v>0.240496774193548</v>
      </c>
      <c r="K82" s="86" t="n">
        <v>0</v>
      </c>
      <c r="L82" s="86" t="n">
        <v>0.0022</v>
      </c>
      <c r="M82" s="86" t="n">
        <v>0</v>
      </c>
      <c r="N82" s="86" t="n">
        <v>0</v>
      </c>
      <c r="O82" s="87" t="n">
        <v>0</v>
      </c>
      <c r="P82" s="86" t="n">
        <f aca="false">SUM(J82:N82)</f>
        <v>0.242696774193548</v>
      </c>
      <c r="Q82" s="128" t="n">
        <v>3.8055</v>
      </c>
      <c r="R82" s="129" t="n">
        <v>13</v>
      </c>
      <c r="S82" s="82" t="s">
        <v>192</v>
      </c>
      <c r="T82" s="90" t="n">
        <f aca="false">J82*J$1*R82</f>
        <v>96.9202</v>
      </c>
      <c r="U82" s="90"/>
      <c r="V82" s="91" t="n">
        <v>503144</v>
      </c>
      <c r="W82" s="82"/>
      <c r="X82" s="92"/>
      <c r="Y82" s="92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2.75" hidden="false" customHeight="false" outlineLevel="0" collapsed="false">
      <c r="A83" s="81"/>
      <c r="B83" s="82" t="s">
        <v>60</v>
      </c>
      <c r="C83" s="83" t="s">
        <v>177</v>
      </c>
      <c r="D83" s="83" t="s">
        <v>178</v>
      </c>
      <c r="E83" s="84" t="n">
        <v>36923</v>
      </c>
      <c r="F83" s="84" t="n">
        <v>36950</v>
      </c>
      <c r="G83" s="82" t="s">
        <v>183</v>
      </c>
      <c r="H83" s="82" t="s">
        <v>180</v>
      </c>
      <c r="I83" s="83" t="s">
        <v>181</v>
      </c>
      <c r="J83" s="85" t="n">
        <f aca="false">+J82</f>
        <v>0.240496774193548</v>
      </c>
      <c r="K83" s="86" t="n">
        <v>0</v>
      </c>
      <c r="L83" s="86" t="n">
        <v>0.0022</v>
      </c>
      <c r="M83" s="86" t="n">
        <v>0</v>
      </c>
      <c r="N83" s="86" t="n">
        <v>0</v>
      </c>
      <c r="O83" s="87" t="n">
        <v>0</v>
      </c>
      <c r="P83" s="86" t="n">
        <f aca="false">SUM(J83:N83)</f>
        <v>0.242696774193548</v>
      </c>
      <c r="Q83" s="128" t="n">
        <f aca="false">+Q82</f>
        <v>3.8055</v>
      </c>
      <c r="R83" s="83" t="n">
        <v>19</v>
      </c>
      <c r="S83" s="82" t="str">
        <f aca="false">+S82</f>
        <v>#022558</v>
      </c>
      <c r="T83" s="90" t="n">
        <f aca="false">J83*J$1*R83</f>
        <v>141.6526</v>
      </c>
      <c r="U83" s="90"/>
      <c r="V83" s="91" t="n">
        <v>503144</v>
      </c>
      <c r="W83" s="82"/>
      <c r="X83" s="92"/>
      <c r="Y83" s="92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2.75" hidden="false" customHeight="false" outlineLevel="0" collapsed="false">
      <c r="A84" s="81"/>
      <c r="B84" s="82" t="s">
        <v>60</v>
      </c>
      <c r="C84" s="83" t="s">
        <v>177</v>
      </c>
      <c r="D84" s="83" t="s">
        <v>178</v>
      </c>
      <c r="E84" s="84" t="n">
        <v>36923</v>
      </c>
      <c r="F84" s="84" t="n">
        <v>36950</v>
      </c>
      <c r="G84" s="82" t="s">
        <v>154</v>
      </c>
      <c r="H84" s="82" t="s">
        <v>180</v>
      </c>
      <c r="I84" s="83" t="s">
        <v>181</v>
      </c>
      <c r="J84" s="85" t="n">
        <f aca="false">+J83</f>
        <v>0.240496774193548</v>
      </c>
      <c r="K84" s="86" t="n">
        <v>0</v>
      </c>
      <c r="L84" s="86" t="n">
        <v>0.0022</v>
      </c>
      <c r="M84" s="86" t="n">
        <v>0</v>
      </c>
      <c r="N84" s="86" t="n">
        <v>0</v>
      </c>
      <c r="O84" s="87" t="n">
        <v>0</v>
      </c>
      <c r="P84" s="86" t="n">
        <f aca="false">SUM(J84:N84)</f>
        <v>0.242696774193548</v>
      </c>
      <c r="Q84" s="128" t="n">
        <f aca="false">+Q83</f>
        <v>3.8055</v>
      </c>
      <c r="R84" s="83" t="n">
        <f aca="false">14+29</f>
        <v>43</v>
      </c>
      <c r="S84" s="82" t="str">
        <f aca="false">+S83</f>
        <v>#022558</v>
      </c>
      <c r="T84" s="90" t="n">
        <f aca="false">J84*J$1*R84</f>
        <v>320.5822</v>
      </c>
      <c r="U84" s="90"/>
      <c r="V84" s="91" t="n">
        <v>503144</v>
      </c>
      <c r="W84" s="82"/>
      <c r="X84" s="92"/>
      <c r="Y84" s="92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2.75" hidden="false" customHeight="false" outlineLevel="0" collapsed="false">
      <c r="A85" s="81"/>
      <c r="B85" s="82" t="s">
        <v>60</v>
      </c>
      <c r="C85" s="83" t="s">
        <v>177</v>
      </c>
      <c r="D85" s="83" t="s">
        <v>178</v>
      </c>
      <c r="E85" s="84" t="n">
        <v>36923</v>
      </c>
      <c r="F85" s="84" t="n">
        <v>36950</v>
      </c>
      <c r="G85" s="82" t="s">
        <v>193</v>
      </c>
      <c r="H85" s="82" t="s">
        <v>180</v>
      </c>
      <c r="I85" s="83" t="s">
        <v>194</v>
      </c>
      <c r="J85" s="85" t="n">
        <f aca="false">11.9593/J1</f>
        <v>0.385783870967742</v>
      </c>
      <c r="K85" s="86" t="n">
        <v>0</v>
      </c>
      <c r="L85" s="86" t="n">
        <v>0.0022</v>
      </c>
      <c r="M85" s="86" t="n">
        <v>0</v>
      </c>
      <c r="N85" s="86" t="n">
        <v>0</v>
      </c>
      <c r="O85" s="87" t="n">
        <v>0</v>
      </c>
      <c r="P85" s="86" t="n">
        <f aca="false">SUM(J85:N85)</f>
        <v>0.387983870967742</v>
      </c>
      <c r="Q85" s="130" t="n">
        <v>3.8019</v>
      </c>
      <c r="R85" s="83" t="n">
        <v>1157</v>
      </c>
      <c r="S85" s="82" t="s">
        <v>195</v>
      </c>
      <c r="T85" s="90" t="n">
        <f aca="false">J85*J$1*R85</f>
        <v>13836.9101</v>
      </c>
      <c r="U85" s="90"/>
      <c r="V85" s="91" t="n">
        <v>588317</v>
      </c>
      <c r="W85" s="82"/>
      <c r="X85" s="92"/>
      <c r="Y85" s="92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2.75" hidden="false" customHeight="false" outlineLevel="0" collapsed="false">
      <c r="A86" s="81"/>
      <c r="B86" s="82" t="s">
        <v>60</v>
      </c>
      <c r="C86" s="83" t="s">
        <v>177</v>
      </c>
      <c r="D86" s="83" t="s">
        <v>178</v>
      </c>
      <c r="E86" s="84" t="n">
        <v>36923</v>
      </c>
      <c r="F86" s="84" t="n">
        <v>37134</v>
      </c>
      <c r="G86" s="82" t="s">
        <v>179</v>
      </c>
      <c r="H86" s="82" t="s">
        <v>180</v>
      </c>
      <c r="I86" s="83" t="s">
        <v>181</v>
      </c>
      <c r="J86" s="85" t="n">
        <f aca="false">7.4554/J$1</f>
        <v>0.240496774193548</v>
      </c>
      <c r="K86" s="86" t="n">
        <v>0</v>
      </c>
      <c r="L86" s="86" t="n">
        <v>0.0022</v>
      </c>
      <c r="M86" s="86" t="n">
        <v>0</v>
      </c>
      <c r="N86" s="86" t="n">
        <v>0</v>
      </c>
      <c r="O86" s="87" t="n">
        <v>0</v>
      </c>
      <c r="P86" s="86" t="n">
        <f aca="false">SUM(J86:N86)</f>
        <v>0.242696774193548</v>
      </c>
      <c r="Q86" s="128" t="n">
        <v>3.7988</v>
      </c>
      <c r="R86" s="129" t="n">
        <v>751</v>
      </c>
      <c r="S86" s="82" t="s">
        <v>196</v>
      </c>
      <c r="T86" s="90" t="n">
        <f aca="false">J86*J$1*R86</f>
        <v>5599.0054</v>
      </c>
      <c r="U86" s="90"/>
      <c r="V86" s="91" t="n">
        <v>586775</v>
      </c>
      <c r="W86" s="82"/>
      <c r="X86" s="92"/>
      <c r="Y86" s="92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2.75" hidden="false" customHeight="false" outlineLevel="0" collapsed="false">
      <c r="A87" s="81"/>
      <c r="B87" s="82" t="s">
        <v>60</v>
      </c>
      <c r="C87" s="83" t="s">
        <v>177</v>
      </c>
      <c r="D87" s="83" t="s">
        <v>178</v>
      </c>
      <c r="E87" s="84" t="n">
        <v>36923</v>
      </c>
      <c r="F87" s="84" t="n">
        <f aca="false">+F86</f>
        <v>37134</v>
      </c>
      <c r="G87" s="82" t="s">
        <v>183</v>
      </c>
      <c r="H87" s="82" t="s">
        <v>180</v>
      </c>
      <c r="I87" s="83" t="s">
        <v>181</v>
      </c>
      <c r="J87" s="85" t="n">
        <f aca="false">+J86</f>
        <v>0.240496774193548</v>
      </c>
      <c r="K87" s="86" t="n">
        <v>0</v>
      </c>
      <c r="L87" s="86" t="n">
        <v>0.0022</v>
      </c>
      <c r="M87" s="86" t="n">
        <v>0</v>
      </c>
      <c r="N87" s="86" t="n">
        <v>0</v>
      </c>
      <c r="O87" s="87" t="n">
        <v>0</v>
      </c>
      <c r="P87" s="86" t="n">
        <f aca="false">SUM(J87:N87)</f>
        <v>0.242696774193548</v>
      </c>
      <c r="Q87" s="128" t="n">
        <f aca="false">+Q86</f>
        <v>3.7988</v>
      </c>
      <c r="R87" s="83" t="n">
        <v>1104</v>
      </c>
      <c r="S87" s="82" t="str">
        <f aca="false">+S86</f>
        <v>#22611</v>
      </c>
      <c r="T87" s="90" t="n">
        <f aca="false">J87*J$1*R87</f>
        <v>8230.7616</v>
      </c>
      <c r="U87" s="90"/>
      <c r="V87" s="91" t="n">
        <f aca="false">+V86</f>
        <v>586775</v>
      </c>
      <c r="W87" s="82"/>
      <c r="X87" s="92"/>
      <c r="Y87" s="92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2.75" hidden="false" customHeight="false" outlineLevel="0" collapsed="false">
      <c r="A88" s="81"/>
      <c r="B88" s="82" t="s">
        <v>60</v>
      </c>
      <c r="C88" s="83" t="s">
        <v>177</v>
      </c>
      <c r="D88" s="83" t="s">
        <v>178</v>
      </c>
      <c r="E88" s="84" t="n">
        <v>36923</v>
      </c>
      <c r="F88" s="84" t="n">
        <f aca="false">+F87</f>
        <v>37134</v>
      </c>
      <c r="G88" s="82" t="s">
        <v>154</v>
      </c>
      <c r="H88" s="82" t="s">
        <v>180</v>
      </c>
      <c r="I88" s="83" t="s">
        <v>181</v>
      </c>
      <c r="J88" s="85" t="n">
        <f aca="false">+J87</f>
        <v>0.240496774193548</v>
      </c>
      <c r="K88" s="86" t="n">
        <v>0</v>
      </c>
      <c r="L88" s="86" t="n">
        <v>0.0022</v>
      </c>
      <c r="M88" s="86" t="n">
        <v>0</v>
      </c>
      <c r="N88" s="86" t="n">
        <v>0</v>
      </c>
      <c r="O88" s="87" t="n">
        <v>0</v>
      </c>
      <c r="P88" s="86" t="n">
        <f aca="false">SUM(J88:N88)</f>
        <v>0.242696774193548</v>
      </c>
      <c r="Q88" s="128" t="n">
        <f aca="false">+Q87</f>
        <v>3.7988</v>
      </c>
      <c r="R88" s="83" t="n">
        <f aca="false">839+1723</f>
        <v>2562</v>
      </c>
      <c r="S88" s="82" t="str">
        <f aca="false">+S87</f>
        <v>#22611</v>
      </c>
      <c r="T88" s="90" t="n">
        <f aca="false">J88*J$1*R88</f>
        <v>19100.7348</v>
      </c>
      <c r="U88" s="90"/>
      <c r="V88" s="91" t="n">
        <f aca="false">+V87</f>
        <v>586775</v>
      </c>
      <c r="W88" s="82"/>
      <c r="X88" s="92"/>
      <c r="Y88" s="92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2.75" hidden="false" customHeight="false" outlineLevel="0" collapsed="false">
      <c r="A89" s="81"/>
      <c r="B89" s="82" t="s">
        <v>60</v>
      </c>
      <c r="C89" s="83" t="s">
        <v>177</v>
      </c>
      <c r="D89" s="83" t="s">
        <v>178</v>
      </c>
      <c r="E89" s="84" t="n">
        <v>36923</v>
      </c>
      <c r="F89" s="84" t="n">
        <v>37134</v>
      </c>
      <c r="G89" s="82" t="s">
        <v>193</v>
      </c>
      <c r="H89" s="82" t="s">
        <v>180</v>
      </c>
      <c r="I89" s="83" t="s">
        <v>194</v>
      </c>
      <c r="J89" s="85" t="n">
        <f aca="false">11.9593/J1</f>
        <v>0.385783870967742</v>
      </c>
      <c r="K89" s="86" t="n">
        <v>0</v>
      </c>
      <c r="L89" s="86" t="n">
        <v>0.0022</v>
      </c>
      <c r="M89" s="86" t="n">
        <v>0</v>
      </c>
      <c r="N89" s="86" t="n">
        <v>0</v>
      </c>
      <c r="O89" s="87" t="n">
        <v>0</v>
      </c>
      <c r="P89" s="86" t="n">
        <f aca="false">SUM(J89:N89)</f>
        <v>0.387983870967742</v>
      </c>
      <c r="Q89" s="130" t="n">
        <v>3.7987</v>
      </c>
      <c r="R89" s="83" t="n">
        <v>2701</v>
      </c>
      <c r="S89" s="82" t="s">
        <v>197</v>
      </c>
      <c r="T89" s="90" t="n">
        <f aca="false">J89*J$1*R89</f>
        <v>32302.0693</v>
      </c>
      <c r="U89" s="90"/>
      <c r="V89" s="91" t="n">
        <v>586623</v>
      </c>
      <c r="W89" s="82" t="s">
        <v>185</v>
      </c>
      <c r="X89" s="92"/>
      <c r="Y89" s="92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  <c r="CX89" s="81"/>
      <c r="CY89" s="81"/>
      <c r="CZ89" s="81"/>
      <c r="DA89" s="81"/>
      <c r="DB89" s="81"/>
      <c r="DC89" s="81"/>
      <c r="DD89" s="81"/>
      <c r="DE89" s="81"/>
      <c r="DF89" s="81"/>
      <c r="DG89" s="81"/>
      <c r="DH89" s="81"/>
      <c r="DI89" s="81"/>
      <c r="DJ89" s="81"/>
      <c r="DK89" s="81"/>
      <c r="DL89" s="81"/>
      <c r="DM89" s="81"/>
      <c r="DN89" s="81"/>
      <c r="DO89" s="81"/>
      <c r="DP89" s="81"/>
      <c r="DQ89" s="81"/>
      <c r="DR89" s="81"/>
      <c r="DS89" s="81"/>
      <c r="DT89" s="81"/>
      <c r="DU89" s="81"/>
      <c r="DV89" s="81"/>
      <c r="DW89" s="81"/>
      <c r="DX89" s="81"/>
      <c r="DY89" s="81"/>
      <c r="DZ89" s="81"/>
      <c r="EA89" s="81"/>
      <c r="EB89" s="81"/>
      <c r="EC89" s="81"/>
      <c r="ED89" s="81"/>
      <c r="EE89" s="81"/>
      <c r="EF89" s="81"/>
      <c r="EG89" s="81"/>
      <c r="EH89" s="81"/>
      <c r="EI89" s="81"/>
      <c r="EJ89" s="81"/>
      <c r="EK89" s="81"/>
      <c r="EL89" s="81"/>
      <c r="EM89" s="81"/>
      <c r="EN89" s="81"/>
      <c r="EO89" s="81"/>
      <c r="EP89" s="81"/>
      <c r="EQ89" s="81"/>
      <c r="ER89" s="81"/>
      <c r="ES89" s="81"/>
      <c r="ET89" s="81"/>
      <c r="EU89" s="81"/>
      <c r="EV89" s="81"/>
      <c r="EW89" s="81"/>
      <c r="EX89" s="81"/>
      <c r="EY89" s="81"/>
      <c r="EZ89" s="81"/>
      <c r="FA89" s="81"/>
      <c r="FB89" s="81"/>
      <c r="FC89" s="81"/>
      <c r="FD89" s="81"/>
      <c r="FE89" s="81"/>
      <c r="FF89" s="81"/>
      <c r="FG89" s="81"/>
      <c r="FH89" s="81"/>
      <c r="FI89" s="81"/>
      <c r="FJ89" s="81"/>
      <c r="FK89" s="81"/>
      <c r="FL89" s="81"/>
      <c r="FM89" s="81"/>
      <c r="FN89" s="81"/>
      <c r="FO89" s="81"/>
      <c r="FP89" s="81"/>
      <c r="FQ89" s="81"/>
      <c r="FR89" s="81"/>
      <c r="FS89" s="81"/>
      <c r="FT89" s="81"/>
      <c r="FU89" s="81"/>
      <c r="FV89" s="81"/>
      <c r="FW89" s="81"/>
      <c r="FX89" s="81"/>
      <c r="FY89" s="81"/>
      <c r="FZ89" s="81"/>
      <c r="GA89" s="81"/>
      <c r="GB89" s="81"/>
      <c r="GC89" s="81"/>
      <c r="GD89" s="81"/>
      <c r="GE89" s="81"/>
      <c r="GF89" s="81"/>
      <c r="GG89" s="81"/>
      <c r="GH89" s="81"/>
      <c r="GI89" s="81"/>
      <c r="GJ89" s="81"/>
      <c r="GK89" s="81"/>
      <c r="GL89" s="81"/>
      <c r="GM89" s="81"/>
      <c r="GN89" s="81"/>
      <c r="GO89" s="81"/>
      <c r="GP89" s="81"/>
      <c r="GQ89" s="81"/>
      <c r="GR89" s="81"/>
      <c r="GS89" s="81"/>
      <c r="GT89" s="81"/>
      <c r="GU89" s="81"/>
      <c r="GV89" s="81"/>
      <c r="GW89" s="81"/>
      <c r="GX89" s="81"/>
      <c r="GY89" s="81"/>
      <c r="GZ89" s="81"/>
      <c r="HA89" s="81"/>
      <c r="HB89" s="81"/>
      <c r="HC89" s="81"/>
      <c r="HD89" s="81"/>
      <c r="HE89" s="81"/>
      <c r="HF89" s="81"/>
      <c r="HG89" s="81"/>
      <c r="HH89" s="81"/>
      <c r="HI89" s="81"/>
      <c r="HJ89" s="81"/>
      <c r="HK89" s="81"/>
      <c r="HL89" s="81"/>
      <c r="HM89" s="81"/>
      <c r="HN89" s="81"/>
      <c r="HO89" s="81"/>
      <c r="HP89" s="81"/>
      <c r="HQ89" s="81"/>
      <c r="HR89" s="81"/>
      <c r="HS89" s="81"/>
      <c r="HT89" s="81"/>
      <c r="HU89" s="81"/>
      <c r="HV89" s="81"/>
      <c r="HW89" s="81"/>
      <c r="HX89" s="81"/>
      <c r="HY89" s="81"/>
      <c r="HZ89" s="81"/>
      <c r="IA89" s="81"/>
      <c r="IB89" s="81"/>
      <c r="IC89" s="81"/>
      <c r="ID89" s="81"/>
      <c r="IE89" s="81"/>
      <c r="IF89" s="81"/>
      <c r="IG89" s="81"/>
      <c r="IH89" s="81"/>
      <c r="II89" s="81"/>
      <c r="IJ89" s="81"/>
      <c r="IK89" s="81"/>
      <c r="IL89" s="81"/>
      <c r="IM89" s="81"/>
      <c r="IN89" s="81"/>
      <c r="IO89" s="81"/>
      <c r="IP89" s="81"/>
      <c r="IQ89" s="81"/>
      <c r="IR89" s="81"/>
      <c r="IS89" s="81"/>
      <c r="IT89" s="81"/>
      <c r="IU89" s="81"/>
      <c r="IV89" s="81"/>
      <c r="IW89" s="81"/>
    </row>
    <row r="90" customFormat="false" ht="12.75" hidden="false" customHeight="false" outlineLevel="0" collapsed="false">
      <c r="A90" s="93"/>
      <c r="B90" s="94" t="s">
        <v>60</v>
      </c>
      <c r="C90" s="95" t="s">
        <v>177</v>
      </c>
      <c r="D90" s="95" t="s">
        <v>178</v>
      </c>
      <c r="E90" s="96" t="n">
        <v>11324</v>
      </c>
      <c r="F90" s="96" t="n">
        <v>36922</v>
      </c>
      <c r="G90" s="94" t="s">
        <v>179</v>
      </c>
      <c r="H90" s="94" t="s">
        <v>180</v>
      </c>
      <c r="I90" s="95" t="s">
        <v>181</v>
      </c>
      <c r="J90" s="97" t="n">
        <f aca="false">7.5654/J$1</f>
        <v>0.244045161290323</v>
      </c>
      <c r="K90" s="98" t="n">
        <v>0</v>
      </c>
      <c r="L90" s="98" t="n">
        <v>0.0022</v>
      </c>
      <c r="M90" s="98" t="n">
        <v>0</v>
      </c>
      <c r="N90" s="98" t="n">
        <v>0</v>
      </c>
      <c r="O90" s="99" t="n">
        <v>0</v>
      </c>
      <c r="P90" s="98" t="n">
        <f aca="false">SUM(J90:N90)</f>
        <v>0.246245161290323</v>
      </c>
      <c r="Q90" s="131" t="n">
        <v>3.7573</v>
      </c>
      <c r="R90" s="132" t="n">
        <v>269</v>
      </c>
      <c r="S90" s="94" t="s">
        <v>198</v>
      </c>
      <c r="T90" s="102" t="n">
        <f aca="false">J90*J$1*R90</f>
        <v>2035.0926</v>
      </c>
      <c r="U90" s="102"/>
      <c r="V90" s="103" t="n">
        <v>503124</v>
      </c>
      <c r="W90" s="94" t="s">
        <v>185</v>
      </c>
      <c r="X90" s="104"/>
      <c r="Y90" s="104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93"/>
      <c r="GV90" s="93"/>
      <c r="GW90" s="93"/>
      <c r="GX90" s="93"/>
      <c r="GY90" s="93"/>
      <c r="GZ90" s="93"/>
      <c r="HA90" s="93"/>
      <c r="HB90" s="93"/>
      <c r="HC90" s="93"/>
      <c r="HD90" s="93"/>
      <c r="HE90" s="93"/>
      <c r="HF90" s="93"/>
      <c r="HG90" s="93"/>
      <c r="HH90" s="93"/>
      <c r="HI90" s="93"/>
      <c r="HJ90" s="93"/>
      <c r="HK90" s="93"/>
      <c r="HL90" s="93"/>
      <c r="HM90" s="93"/>
      <c r="HN90" s="93"/>
      <c r="HO90" s="93"/>
      <c r="HP90" s="93"/>
      <c r="HQ90" s="93"/>
      <c r="HR90" s="93"/>
      <c r="HS90" s="93"/>
      <c r="HT90" s="93"/>
      <c r="HU90" s="93"/>
      <c r="HV90" s="93"/>
      <c r="HW90" s="93"/>
      <c r="HX90" s="93"/>
      <c r="HY90" s="93"/>
      <c r="HZ90" s="93"/>
      <c r="IA90" s="93"/>
      <c r="IB90" s="93"/>
      <c r="IC90" s="93"/>
      <c r="ID90" s="93"/>
      <c r="IE90" s="93"/>
      <c r="IF90" s="93"/>
      <c r="IG90" s="93"/>
      <c r="IH90" s="93"/>
      <c r="II90" s="93"/>
      <c r="IJ90" s="93"/>
      <c r="IK90" s="93"/>
      <c r="IL90" s="93"/>
      <c r="IM90" s="93"/>
      <c r="IN90" s="93"/>
      <c r="IO90" s="93"/>
      <c r="IP90" s="93"/>
      <c r="IQ90" s="93"/>
      <c r="IR90" s="93"/>
      <c r="IS90" s="93"/>
      <c r="IT90" s="93"/>
      <c r="IU90" s="93"/>
      <c r="IV90" s="93"/>
      <c r="IW90" s="93"/>
    </row>
    <row r="91" customFormat="false" ht="12.75" hidden="false" customHeight="false" outlineLevel="0" collapsed="false">
      <c r="A91" s="81"/>
      <c r="B91" s="82" t="s">
        <v>60</v>
      </c>
      <c r="C91" s="83" t="s">
        <v>177</v>
      </c>
      <c r="D91" s="83" t="s">
        <v>178</v>
      </c>
      <c r="E91" s="84" t="n">
        <v>36923</v>
      </c>
      <c r="F91" s="84" t="n">
        <v>37864</v>
      </c>
      <c r="G91" s="82" t="s">
        <v>199</v>
      </c>
      <c r="H91" s="82"/>
      <c r="I91" s="83" t="s">
        <v>200</v>
      </c>
      <c r="J91" s="85" t="n">
        <v>0.0079</v>
      </c>
      <c r="K91" s="86" t="n">
        <v>0</v>
      </c>
      <c r="L91" s="86" t="n">
        <v>0.0022</v>
      </c>
      <c r="M91" s="86" t="n">
        <v>0</v>
      </c>
      <c r="N91" s="86" t="n">
        <v>0</v>
      </c>
      <c r="O91" s="87" t="n">
        <v>0</v>
      </c>
      <c r="P91" s="86" t="n">
        <f aca="false">SUM(J91:N91)</f>
        <v>0.0101</v>
      </c>
      <c r="Q91" s="130" t="n">
        <v>3.7944</v>
      </c>
      <c r="R91" s="83" t="n">
        <v>257051</v>
      </c>
      <c r="S91" s="82" t="s">
        <v>201</v>
      </c>
      <c r="T91" s="89" t="n">
        <f aca="false">+R91*J91</f>
        <v>2030.7029</v>
      </c>
      <c r="U91" s="90"/>
      <c r="V91" s="91" t="n">
        <v>588662</v>
      </c>
      <c r="W91" s="82" t="s">
        <v>185</v>
      </c>
      <c r="X91" s="92"/>
      <c r="Y91" s="92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  <c r="CX91" s="81"/>
      <c r="CY91" s="81"/>
      <c r="CZ91" s="81"/>
      <c r="DA91" s="81"/>
      <c r="DB91" s="81"/>
      <c r="DC91" s="81"/>
      <c r="DD91" s="81"/>
      <c r="DE91" s="81"/>
      <c r="DF91" s="81"/>
      <c r="DG91" s="81"/>
      <c r="DH91" s="81"/>
      <c r="DI91" s="81"/>
      <c r="DJ91" s="81"/>
      <c r="DK91" s="81"/>
      <c r="DL91" s="81"/>
      <c r="DM91" s="81"/>
      <c r="DN91" s="81"/>
      <c r="DO91" s="81"/>
      <c r="DP91" s="81"/>
      <c r="DQ91" s="81"/>
      <c r="DR91" s="81"/>
      <c r="DS91" s="81"/>
      <c r="DT91" s="81"/>
      <c r="DU91" s="81"/>
      <c r="DV91" s="81"/>
      <c r="DW91" s="81"/>
      <c r="DX91" s="81"/>
      <c r="DY91" s="81"/>
      <c r="DZ91" s="81"/>
      <c r="EA91" s="81"/>
      <c r="EB91" s="81"/>
      <c r="EC91" s="81"/>
      <c r="ED91" s="81"/>
      <c r="EE91" s="81"/>
      <c r="EF91" s="81"/>
      <c r="EG91" s="81"/>
      <c r="EH91" s="81"/>
      <c r="EI91" s="81"/>
      <c r="EJ91" s="81"/>
      <c r="EK91" s="81"/>
      <c r="EL91" s="81"/>
      <c r="EM91" s="81"/>
      <c r="EN91" s="81"/>
      <c r="EO91" s="81"/>
      <c r="EP91" s="81"/>
      <c r="EQ91" s="81"/>
      <c r="ER91" s="81"/>
      <c r="ES91" s="81"/>
      <c r="ET91" s="81"/>
      <c r="EU91" s="81"/>
      <c r="EV91" s="81"/>
      <c r="EW91" s="81"/>
      <c r="EX91" s="81"/>
      <c r="EY91" s="81"/>
      <c r="EZ91" s="81"/>
      <c r="FA91" s="81"/>
      <c r="FB91" s="81"/>
      <c r="FC91" s="81"/>
      <c r="FD91" s="81"/>
      <c r="FE91" s="81"/>
      <c r="FF91" s="81"/>
      <c r="FG91" s="81"/>
      <c r="FH91" s="81"/>
      <c r="FI91" s="81"/>
      <c r="FJ91" s="81"/>
      <c r="FK91" s="81"/>
      <c r="FL91" s="81"/>
      <c r="FM91" s="81"/>
      <c r="FN91" s="81"/>
      <c r="FO91" s="81"/>
      <c r="FP91" s="81"/>
      <c r="FQ91" s="81"/>
      <c r="FR91" s="81"/>
      <c r="FS91" s="81"/>
      <c r="FT91" s="81"/>
      <c r="FU91" s="81"/>
      <c r="FV91" s="81"/>
      <c r="FW91" s="81"/>
      <c r="FX91" s="81"/>
      <c r="FY91" s="81"/>
      <c r="FZ91" s="81"/>
      <c r="GA91" s="81"/>
      <c r="GB91" s="81"/>
      <c r="GC91" s="81"/>
      <c r="GD91" s="81"/>
      <c r="GE91" s="81"/>
      <c r="GF91" s="81"/>
      <c r="GG91" s="81"/>
      <c r="GH91" s="81"/>
      <c r="GI91" s="81"/>
      <c r="GJ91" s="81"/>
      <c r="GK91" s="81"/>
      <c r="GL91" s="81"/>
      <c r="GM91" s="81"/>
      <c r="GN91" s="81"/>
      <c r="GO91" s="81"/>
      <c r="GP91" s="81"/>
      <c r="GQ91" s="81"/>
      <c r="GR91" s="81"/>
      <c r="GS91" s="81"/>
      <c r="GT91" s="81"/>
      <c r="GU91" s="81"/>
      <c r="GV91" s="81"/>
      <c r="GW91" s="81"/>
      <c r="GX91" s="81"/>
      <c r="GY91" s="81"/>
      <c r="GZ91" s="81"/>
      <c r="HA91" s="81"/>
      <c r="HB91" s="81"/>
      <c r="HC91" s="81"/>
      <c r="HD91" s="81"/>
      <c r="HE91" s="81"/>
      <c r="HF91" s="81"/>
      <c r="HG91" s="81"/>
      <c r="HH91" s="81"/>
      <c r="HI91" s="81"/>
      <c r="HJ91" s="81"/>
      <c r="HK91" s="81"/>
      <c r="HL91" s="81"/>
      <c r="HM91" s="81"/>
      <c r="HN91" s="81"/>
      <c r="HO91" s="81"/>
      <c r="HP91" s="81"/>
      <c r="HQ91" s="81"/>
      <c r="HR91" s="81"/>
      <c r="HS91" s="81"/>
      <c r="HT91" s="81"/>
      <c r="HU91" s="81"/>
      <c r="HV91" s="81"/>
      <c r="HW91" s="81"/>
      <c r="HX91" s="81"/>
      <c r="HY91" s="81"/>
      <c r="HZ91" s="81"/>
      <c r="IA91" s="81"/>
      <c r="IB91" s="81"/>
      <c r="IC91" s="81"/>
      <c r="ID91" s="81"/>
      <c r="IE91" s="81"/>
      <c r="IF91" s="81"/>
      <c r="IG91" s="81"/>
      <c r="IH91" s="81"/>
      <c r="II91" s="81"/>
      <c r="IJ91" s="81"/>
      <c r="IK91" s="81"/>
      <c r="IL91" s="81"/>
      <c r="IM91" s="81"/>
      <c r="IN91" s="81"/>
      <c r="IO91" s="81"/>
      <c r="IP91" s="81"/>
      <c r="IQ91" s="81"/>
      <c r="IR91" s="81"/>
      <c r="IS91" s="81"/>
      <c r="IT91" s="81"/>
      <c r="IU91" s="81"/>
      <c r="IV91" s="81"/>
      <c r="IW91" s="81"/>
    </row>
    <row r="92" customFormat="false" ht="12.75" hidden="false" customHeight="false" outlineLevel="0" collapsed="false">
      <c r="A92" s="81"/>
      <c r="B92" s="82" t="s">
        <v>60</v>
      </c>
      <c r="C92" s="83" t="s">
        <v>177</v>
      </c>
      <c r="D92" s="83" t="s">
        <v>178</v>
      </c>
      <c r="E92" s="84" t="n">
        <v>36923</v>
      </c>
      <c r="F92" s="84" t="n">
        <v>37864</v>
      </c>
      <c r="G92" s="82" t="s">
        <v>202</v>
      </c>
      <c r="H92" s="82"/>
      <c r="I92" s="83" t="s">
        <v>200</v>
      </c>
      <c r="J92" s="85" t="n">
        <v>0.6673</v>
      </c>
      <c r="K92" s="86" t="n">
        <v>0</v>
      </c>
      <c r="L92" s="86" t="n">
        <v>0.0022</v>
      </c>
      <c r="M92" s="86" t="n">
        <v>0</v>
      </c>
      <c r="N92" s="86" t="n">
        <v>0</v>
      </c>
      <c r="O92" s="87" t="n">
        <v>0</v>
      </c>
      <c r="P92" s="86" t="n">
        <f aca="false">SUM(J92:N92)</f>
        <v>0.6695</v>
      </c>
      <c r="Q92" s="130" t="n">
        <v>3.7944</v>
      </c>
      <c r="R92" s="83" t="n">
        <v>3024</v>
      </c>
      <c r="S92" s="82" t="s">
        <v>201</v>
      </c>
      <c r="T92" s="89" t="n">
        <f aca="false">+R92*J92</f>
        <v>2017.9152</v>
      </c>
      <c r="U92" s="90"/>
      <c r="V92" s="91" t="n">
        <v>588662</v>
      </c>
      <c r="W92" s="82" t="s">
        <v>185</v>
      </c>
      <c r="X92" s="92"/>
      <c r="Y92" s="92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2.75" hidden="false" customHeight="false" outlineLevel="0" collapsed="false">
      <c r="A93" s="81"/>
      <c r="B93" s="82" t="s">
        <v>60</v>
      </c>
      <c r="C93" s="83" t="s">
        <v>177</v>
      </c>
      <c r="D93" s="83" t="s">
        <v>178</v>
      </c>
      <c r="E93" s="84" t="n">
        <v>36923</v>
      </c>
      <c r="F93" s="84" t="n">
        <v>36950</v>
      </c>
      <c r="G93" s="82" t="s">
        <v>199</v>
      </c>
      <c r="H93" s="82"/>
      <c r="I93" s="83" t="s">
        <v>200</v>
      </c>
      <c r="J93" s="85" t="n">
        <v>0.0079</v>
      </c>
      <c r="K93" s="86" t="n">
        <v>0</v>
      </c>
      <c r="L93" s="86" t="n">
        <v>0.0022</v>
      </c>
      <c r="M93" s="86" t="n">
        <v>0</v>
      </c>
      <c r="N93" s="86" t="n">
        <v>0</v>
      </c>
      <c r="O93" s="87" t="n">
        <v>0</v>
      </c>
      <c r="P93" s="86" t="n">
        <f aca="false">SUM(J93:N93)</f>
        <v>0.0101</v>
      </c>
      <c r="Q93" s="128" t="n">
        <v>3.8083</v>
      </c>
      <c r="R93" s="83" t="n">
        <v>4368</v>
      </c>
      <c r="S93" s="82" t="s">
        <v>203</v>
      </c>
      <c r="T93" s="89" t="n">
        <f aca="false">+R93*J93</f>
        <v>34.5072</v>
      </c>
      <c r="U93" s="90"/>
      <c r="V93" s="91" t="n">
        <v>588685</v>
      </c>
      <c r="W93" s="82"/>
      <c r="X93" s="92"/>
      <c r="Y93" s="92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2.75" hidden="false" customHeight="false" outlineLevel="0" collapsed="false">
      <c r="A94" s="81"/>
      <c r="B94" s="82" t="s">
        <v>60</v>
      </c>
      <c r="C94" s="83" t="s">
        <v>177</v>
      </c>
      <c r="D94" s="83" t="s">
        <v>178</v>
      </c>
      <c r="E94" s="84" t="n">
        <v>36923</v>
      </c>
      <c r="F94" s="84" t="n">
        <v>36950</v>
      </c>
      <c r="G94" s="82" t="s">
        <v>202</v>
      </c>
      <c r="H94" s="82"/>
      <c r="I94" s="83" t="s">
        <v>200</v>
      </c>
      <c r="J94" s="85" t="n">
        <v>0.6673</v>
      </c>
      <c r="K94" s="86" t="n">
        <v>0</v>
      </c>
      <c r="L94" s="86" t="n">
        <v>0.0022</v>
      </c>
      <c r="M94" s="86" t="n">
        <v>0</v>
      </c>
      <c r="N94" s="86" t="n">
        <v>0</v>
      </c>
      <c r="O94" s="87" t="n">
        <v>0</v>
      </c>
      <c r="P94" s="86" t="n">
        <f aca="false">SUM(J94:N94)</f>
        <v>0.6695</v>
      </c>
      <c r="Q94" s="128" t="n">
        <v>3.8083</v>
      </c>
      <c r="R94" s="83" t="n">
        <v>51</v>
      </c>
      <c r="S94" s="82" t="str">
        <f aca="false">+S93</f>
        <v>#022526</v>
      </c>
      <c r="T94" s="89" t="n">
        <f aca="false">+R94*J94</f>
        <v>34.0323</v>
      </c>
      <c r="U94" s="90"/>
      <c r="V94" s="91" t="n">
        <v>588685</v>
      </c>
      <c r="W94" s="82"/>
      <c r="X94" s="92"/>
      <c r="Y94" s="92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2.75" hidden="false" customHeight="false" outlineLevel="0" collapsed="false">
      <c r="A95" s="81"/>
      <c r="B95" s="82" t="s">
        <v>60</v>
      </c>
      <c r="C95" s="83" t="s">
        <v>177</v>
      </c>
      <c r="D95" s="83" t="s">
        <v>178</v>
      </c>
      <c r="E95" s="84" t="n">
        <v>36923</v>
      </c>
      <c r="F95" s="84" t="n">
        <v>36950</v>
      </c>
      <c r="G95" s="82" t="s">
        <v>199</v>
      </c>
      <c r="H95" s="82"/>
      <c r="I95" s="83" t="s">
        <v>200</v>
      </c>
      <c r="J95" s="85" t="n">
        <v>0.0079</v>
      </c>
      <c r="K95" s="86" t="n">
        <v>0</v>
      </c>
      <c r="L95" s="86" t="n">
        <v>0.0022</v>
      </c>
      <c r="M95" s="86" t="n">
        <v>0</v>
      </c>
      <c r="N95" s="86" t="n">
        <v>0</v>
      </c>
      <c r="O95" s="87" t="n">
        <v>0</v>
      </c>
      <c r="P95" s="86" t="n">
        <f aca="false">SUM(J95:N95)</f>
        <v>0.0101</v>
      </c>
      <c r="Q95" s="128" t="n">
        <v>3.8071</v>
      </c>
      <c r="R95" s="83" t="n">
        <v>110164</v>
      </c>
      <c r="S95" s="82" t="s">
        <v>204</v>
      </c>
      <c r="T95" s="89" t="n">
        <f aca="false">+R95*J95</f>
        <v>870.2956</v>
      </c>
      <c r="U95" s="90"/>
      <c r="V95" s="91" t="n">
        <v>588675</v>
      </c>
      <c r="W95" s="82"/>
      <c r="X95" s="92"/>
      <c r="Y95" s="92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2.75" hidden="false" customHeight="false" outlineLevel="0" collapsed="false">
      <c r="A96" s="81"/>
      <c r="B96" s="82" t="s">
        <v>60</v>
      </c>
      <c r="C96" s="83" t="s">
        <v>177</v>
      </c>
      <c r="D96" s="83" t="s">
        <v>178</v>
      </c>
      <c r="E96" s="84" t="n">
        <v>36923</v>
      </c>
      <c r="F96" s="84" t="n">
        <v>36950</v>
      </c>
      <c r="G96" s="82" t="s">
        <v>202</v>
      </c>
      <c r="H96" s="82"/>
      <c r="I96" s="83" t="s">
        <v>200</v>
      </c>
      <c r="J96" s="85" t="n">
        <v>0.6673</v>
      </c>
      <c r="K96" s="86" t="n">
        <v>0</v>
      </c>
      <c r="L96" s="86" t="n">
        <v>0.0022</v>
      </c>
      <c r="M96" s="86" t="n">
        <v>0</v>
      </c>
      <c r="N96" s="86" t="n">
        <v>0</v>
      </c>
      <c r="O96" s="87" t="n">
        <v>0</v>
      </c>
      <c r="P96" s="86" t="n">
        <f aca="false">SUM(J96:N96)</f>
        <v>0.6695</v>
      </c>
      <c r="Q96" s="128" t="n">
        <v>3.807</v>
      </c>
      <c r="R96" s="83" t="n">
        <v>1296</v>
      </c>
      <c r="S96" s="82" t="s">
        <v>204</v>
      </c>
      <c r="T96" s="89" t="n">
        <f aca="false">+R96*J96</f>
        <v>864.8208</v>
      </c>
      <c r="U96" s="90"/>
      <c r="V96" s="91" t="n">
        <v>588675</v>
      </c>
      <c r="W96" s="82"/>
      <c r="X96" s="92"/>
      <c r="Y96" s="92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2.75" hidden="false" customHeight="false" outlineLevel="0" collapsed="false">
      <c r="A97" s="81"/>
      <c r="B97" s="82" t="s">
        <v>60</v>
      </c>
      <c r="C97" s="83" t="s">
        <v>177</v>
      </c>
      <c r="D97" s="83" t="s">
        <v>178</v>
      </c>
      <c r="E97" s="84" t="n">
        <v>36923</v>
      </c>
      <c r="F97" s="84" t="n">
        <v>37864</v>
      </c>
      <c r="G97" s="82" t="s">
        <v>205</v>
      </c>
      <c r="H97" s="82"/>
      <c r="I97" s="83" t="s">
        <v>206</v>
      </c>
      <c r="J97" s="85" t="n">
        <v>0.0481</v>
      </c>
      <c r="K97" s="86" t="n">
        <v>0</v>
      </c>
      <c r="L97" s="86" t="n">
        <v>0.0022</v>
      </c>
      <c r="M97" s="86" t="n">
        <v>0</v>
      </c>
      <c r="N97" s="86" t="n">
        <v>0</v>
      </c>
      <c r="O97" s="87" t="n">
        <v>0</v>
      </c>
      <c r="P97" s="86" t="n">
        <f aca="false">SUM(J97:N97)</f>
        <v>0.0503</v>
      </c>
      <c r="Q97" s="130" t="n">
        <v>3.7945</v>
      </c>
      <c r="R97" s="83" t="n">
        <v>13060</v>
      </c>
      <c r="S97" s="82" t="s">
        <v>207</v>
      </c>
      <c r="T97" s="89" t="n">
        <f aca="false">+J97*R97</f>
        <v>628.186</v>
      </c>
      <c r="U97" s="90"/>
      <c r="V97" s="91" t="n">
        <v>588646</v>
      </c>
      <c r="W97" s="82"/>
      <c r="X97" s="92"/>
      <c r="Y97" s="92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2.75" hidden="false" customHeight="false" outlineLevel="0" collapsed="false">
      <c r="A98" s="81"/>
      <c r="B98" s="82" t="s">
        <v>60</v>
      </c>
      <c r="C98" s="83" t="s">
        <v>177</v>
      </c>
      <c r="D98" s="83" t="s">
        <v>178</v>
      </c>
      <c r="E98" s="84" t="n">
        <v>36923</v>
      </c>
      <c r="F98" s="84" t="n">
        <v>37864</v>
      </c>
      <c r="G98" s="82" t="s">
        <v>208</v>
      </c>
      <c r="H98" s="82"/>
      <c r="I98" s="83" t="s">
        <v>206</v>
      </c>
      <c r="J98" s="85" t="n">
        <v>0.484</v>
      </c>
      <c r="K98" s="86" t="n">
        <v>0</v>
      </c>
      <c r="L98" s="86" t="n">
        <v>0.0022</v>
      </c>
      <c r="M98" s="86" t="n">
        <v>0</v>
      </c>
      <c r="N98" s="86" t="n">
        <v>0</v>
      </c>
      <c r="O98" s="87" t="n">
        <v>0</v>
      </c>
      <c r="P98" s="86" t="n">
        <f aca="false">SUM(J98:N98)</f>
        <v>0.4862</v>
      </c>
      <c r="Q98" s="130" t="n">
        <v>3.7945</v>
      </c>
      <c r="R98" s="83" t="n">
        <v>1298</v>
      </c>
      <c r="S98" s="82" t="s">
        <v>207</v>
      </c>
      <c r="T98" s="89" t="n">
        <f aca="false">+J98*R98</f>
        <v>628.232</v>
      </c>
      <c r="U98" s="90"/>
      <c r="V98" s="91" t="n">
        <v>588646</v>
      </c>
      <c r="W98" s="82"/>
      <c r="X98" s="92"/>
      <c r="Y98" s="92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2.75" hidden="false" customHeight="false" outlineLevel="0" collapsed="false">
      <c r="A99" s="81"/>
      <c r="B99" s="82" t="s">
        <v>60</v>
      </c>
      <c r="C99" s="83" t="s">
        <v>177</v>
      </c>
      <c r="D99" s="83" t="s">
        <v>178</v>
      </c>
      <c r="E99" s="84" t="n">
        <v>36923</v>
      </c>
      <c r="F99" s="84" t="n">
        <v>36950</v>
      </c>
      <c r="G99" s="82" t="s">
        <v>205</v>
      </c>
      <c r="H99" s="82"/>
      <c r="I99" s="83" t="s">
        <v>206</v>
      </c>
      <c r="J99" s="85" t="n">
        <v>0.0481</v>
      </c>
      <c r="K99" s="86" t="n">
        <v>0</v>
      </c>
      <c r="L99" s="86" t="n">
        <v>0.0022</v>
      </c>
      <c r="M99" s="86" t="n">
        <v>0</v>
      </c>
      <c r="N99" s="86" t="n">
        <v>0</v>
      </c>
      <c r="O99" s="87" t="n">
        <v>0</v>
      </c>
      <c r="P99" s="86" t="n">
        <f aca="false">SUM(J99:N99)</f>
        <v>0.0503</v>
      </c>
      <c r="Q99" s="130" t="n">
        <v>3.8072</v>
      </c>
      <c r="R99" s="83" t="n">
        <v>5597</v>
      </c>
      <c r="S99" s="82" t="s">
        <v>209</v>
      </c>
      <c r="T99" s="89" t="n">
        <f aca="false">+J99*R99</f>
        <v>269.2157</v>
      </c>
      <c r="U99" s="90"/>
      <c r="V99" s="91" t="n">
        <v>588646</v>
      </c>
      <c r="W99" s="133" t="s">
        <v>185</v>
      </c>
      <c r="X99" s="92"/>
      <c r="Y99" s="92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2.75" hidden="false" customHeight="false" outlineLevel="0" collapsed="false">
      <c r="A100" s="81"/>
      <c r="B100" s="82" t="s">
        <v>60</v>
      </c>
      <c r="C100" s="83" t="s">
        <v>177</v>
      </c>
      <c r="D100" s="83" t="s">
        <v>178</v>
      </c>
      <c r="E100" s="84" t="n">
        <v>36923</v>
      </c>
      <c r="F100" s="84" t="n">
        <v>36950</v>
      </c>
      <c r="G100" s="82" t="s">
        <v>208</v>
      </c>
      <c r="H100" s="82"/>
      <c r="I100" s="83" t="s">
        <v>206</v>
      </c>
      <c r="J100" s="85" t="n">
        <v>0.484</v>
      </c>
      <c r="K100" s="86" t="n">
        <v>0</v>
      </c>
      <c r="L100" s="86" t="n">
        <v>0.0022</v>
      </c>
      <c r="M100" s="86" t="n">
        <v>0</v>
      </c>
      <c r="N100" s="86" t="n">
        <v>0</v>
      </c>
      <c r="O100" s="87" t="n">
        <v>0</v>
      </c>
      <c r="P100" s="86" t="n">
        <f aca="false">SUM(J100:N100)</f>
        <v>0.4862</v>
      </c>
      <c r="Q100" s="130" t="n">
        <v>3.8072</v>
      </c>
      <c r="R100" s="83" t="n">
        <v>556</v>
      </c>
      <c r="S100" s="82" t="str">
        <f aca="false">+S99</f>
        <v>#022537</v>
      </c>
      <c r="T100" s="89" t="n">
        <f aca="false">+J100*R100</f>
        <v>269.104</v>
      </c>
      <c r="U100" s="90"/>
      <c r="V100" s="91" t="n">
        <v>588646</v>
      </c>
      <c r="W100" s="133" t="s">
        <v>185</v>
      </c>
      <c r="X100" s="92"/>
      <c r="Y100" s="92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2.75" hidden="false" customHeight="false" outlineLevel="0" collapsed="false">
      <c r="A101" s="81"/>
      <c r="B101" s="82" t="s">
        <v>60</v>
      </c>
      <c r="C101" s="83" t="s">
        <v>177</v>
      </c>
      <c r="D101" s="83" t="s">
        <v>178</v>
      </c>
      <c r="E101" s="84" t="n">
        <v>36923</v>
      </c>
      <c r="F101" s="84" t="n">
        <v>36950</v>
      </c>
      <c r="G101" s="82" t="s">
        <v>205</v>
      </c>
      <c r="H101" s="82"/>
      <c r="I101" s="83" t="s">
        <v>206</v>
      </c>
      <c r="J101" s="85" t="n">
        <v>0.0481</v>
      </c>
      <c r="K101" s="86" t="n">
        <v>0</v>
      </c>
      <c r="L101" s="86" t="n">
        <v>0.0022</v>
      </c>
      <c r="M101" s="86" t="n">
        <v>0</v>
      </c>
      <c r="N101" s="86" t="n">
        <v>0</v>
      </c>
      <c r="O101" s="87" t="n">
        <v>0</v>
      </c>
      <c r="P101" s="86" t="n">
        <f aca="false">SUM(J101:N101)</f>
        <v>0.0503</v>
      </c>
      <c r="Q101" s="130" t="n">
        <v>3.8084</v>
      </c>
      <c r="R101" s="83" t="n">
        <v>221</v>
      </c>
      <c r="S101" s="82" t="s">
        <v>210</v>
      </c>
      <c r="T101" s="89" t="n">
        <f aca="false">+J101*R101</f>
        <v>10.6301</v>
      </c>
      <c r="U101" s="90"/>
      <c r="V101" s="91" t="n">
        <v>588716</v>
      </c>
      <c r="W101" s="133" t="s">
        <v>185</v>
      </c>
      <c r="X101" s="92"/>
      <c r="Y101" s="92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2.75" hidden="false" customHeight="false" outlineLevel="0" collapsed="false">
      <c r="A102" s="81"/>
      <c r="B102" s="82" t="s">
        <v>60</v>
      </c>
      <c r="C102" s="83" t="s">
        <v>177</v>
      </c>
      <c r="D102" s="83" t="s">
        <v>178</v>
      </c>
      <c r="E102" s="84" t="n">
        <v>36923</v>
      </c>
      <c r="F102" s="84" t="n">
        <v>36950</v>
      </c>
      <c r="G102" s="82" t="s">
        <v>208</v>
      </c>
      <c r="H102" s="82"/>
      <c r="I102" s="83" t="s">
        <v>206</v>
      </c>
      <c r="J102" s="85" t="n">
        <v>0.484</v>
      </c>
      <c r="K102" s="86" t="n">
        <v>0</v>
      </c>
      <c r="L102" s="86" t="n">
        <v>0.0022</v>
      </c>
      <c r="M102" s="86" t="n">
        <v>0</v>
      </c>
      <c r="N102" s="86" t="n">
        <v>0</v>
      </c>
      <c r="O102" s="87" t="n">
        <v>0</v>
      </c>
      <c r="P102" s="86" t="n">
        <f aca="false">SUM(J102:N102)</f>
        <v>0.4862</v>
      </c>
      <c r="Q102" s="130" t="n">
        <v>3.8084</v>
      </c>
      <c r="R102" s="83" t="n">
        <v>22</v>
      </c>
      <c r="S102" s="82" t="str">
        <f aca="false">+S101</f>
        <v>#022525</v>
      </c>
      <c r="T102" s="89" t="n">
        <f aca="false">+J102*R102</f>
        <v>10.648</v>
      </c>
      <c r="U102" s="90"/>
      <c r="V102" s="91" t="n">
        <v>588716</v>
      </c>
      <c r="W102" s="133" t="s">
        <v>185</v>
      </c>
      <c r="X102" s="92"/>
      <c r="Y102" s="92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2.75" hidden="false" customHeight="false" outlineLevel="0" collapsed="false">
      <c r="A103" s="81"/>
      <c r="B103" s="82" t="s">
        <v>60</v>
      </c>
      <c r="C103" s="83" t="s">
        <v>177</v>
      </c>
      <c r="D103" s="83" t="s">
        <v>178</v>
      </c>
      <c r="E103" s="84" t="n">
        <v>36923</v>
      </c>
      <c r="F103" s="84" t="n">
        <v>36950</v>
      </c>
      <c r="G103" s="82" t="s">
        <v>211</v>
      </c>
      <c r="H103" s="82" t="s">
        <v>180</v>
      </c>
      <c r="I103" s="83" t="s">
        <v>212</v>
      </c>
      <c r="J103" s="85" t="n">
        <f aca="false">14.9577/J1</f>
        <v>0.482506451612903</v>
      </c>
      <c r="K103" s="86"/>
      <c r="L103" s="86"/>
      <c r="M103" s="86"/>
      <c r="N103" s="86"/>
      <c r="O103" s="87"/>
      <c r="P103" s="86"/>
      <c r="Q103" s="134" t="n">
        <v>3.8053</v>
      </c>
      <c r="R103" s="129" t="n">
        <v>11</v>
      </c>
      <c r="S103" s="133" t="s">
        <v>213</v>
      </c>
      <c r="T103" s="89" t="n">
        <f aca="false">+J103*R103</f>
        <v>5.30757096774194</v>
      </c>
      <c r="U103" s="135"/>
      <c r="V103" s="136" t="n">
        <v>588530</v>
      </c>
      <c r="W103" s="133" t="s">
        <v>185</v>
      </c>
      <c r="X103" s="137"/>
      <c r="Y103" s="137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false" customHeight="false" outlineLevel="0" collapsed="false">
      <c r="A104" s="81"/>
      <c r="B104" s="82" t="s">
        <v>60</v>
      </c>
      <c r="C104" s="83" t="s">
        <v>177</v>
      </c>
      <c r="D104" s="83" t="s">
        <v>178</v>
      </c>
      <c r="E104" s="84" t="n">
        <v>36923</v>
      </c>
      <c r="F104" s="84" t="n">
        <v>36950</v>
      </c>
      <c r="G104" s="82" t="s">
        <v>211</v>
      </c>
      <c r="H104" s="82" t="s">
        <v>180</v>
      </c>
      <c r="I104" s="83" t="s">
        <v>212</v>
      </c>
      <c r="J104" s="85" t="n">
        <f aca="false">14.9577/J1</f>
        <v>0.482506451612903</v>
      </c>
      <c r="K104" s="86"/>
      <c r="L104" s="86"/>
      <c r="M104" s="86"/>
      <c r="N104" s="86"/>
      <c r="O104" s="87"/>
      <c r="P104" s="86"/>
      <c r="Q104" s="134" t="n">
        <v>3.8018</v>
      </c>
      <c r="R104" s="129" t="n">
        <v>919</v>
      </c>
      <c r="S104" s="133" t="s">
        <v>214</v>
      </c>
      <c r="T104" s="89" t="n">
        <f aca="false">+J104*R104</f>
        <v>443.423429032258</v>
      </c>
      <c r="U104" s="135"/>
      <c r="V104" s="136" t="n">
        <v>587380</v>
      </c>
      <c r="W104" s="133" t="s">
        <v>185</v>
      </c>
      <c r="X104" s="137"/>
      <c r="Y104" s="137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12.75" hidden="false" customHeight="false" outlineLevel="0" collapsed="false">
      <c r="A105" s="138"/>
      <c r="B105" s="82" t="s">
        <v>60</v>
      </c>
      <c r="C105" s="83" t="s">
        <v>177</v>
      </c>
      <c r="D105" s="83" t="s">
        <v>178</v>
      </c>
      <c r="E105" s="84" t="n">
        <v>36923</v>
      </c>
      <c r="F105" s="84" t="n">
        <v>37864</v>
      </c>
      <c r="G105" s="82" t="s">
        <v>215</v>
      </c>
      <c r="H105" s="82" t="s">
        <v>180</v>
      </c>
      <c r="I105" s="83" t="s">
        <v>216</v>
      </c>
      <c r="J105" s="139" t="n">
        <f aca="false">14.0775/J1</f>
        <v>0.454112903225807</v>
      </c>
      <c r="K105" s="86"/>
      <c r="L105" s="86"/>
      <c r="M105" s="86"/>
      <c r="N105" s="86"/>
      <c r="O105" s="87"/>
      <c r="P105" s="86"/>
      <c r="Q105" s="134" t="n">
        <v>3.7989</v>
      </c>
      <c r="R105" s="140" t="n">
        <v>3519</v>
      </c>
      <c r="S105" s="133" t="s">
        <v>217</v>
      </c>
      <c r="T105" s="89" t="n">
        <f aca="false">+J105*R105*J1</f>
        <v>49538.7225</v>
      </c>
      <c r="U105" s="135"/>
      <c r="V105" s="136" t="n">
        <v>586853</v>
      </c>
      <c r="W105" s="133" t="s">
        <v>185</v>
      </c>
      <c r="X105" s="137"/>
      <c r="Y105" s="137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8"/>
      <c r="BR105" s="138"/>
      <c r="BS105" s="138"/>
      <c r="BT105" s="138"/>
      <c r="BU105" s="138"/>
      <c r="BV105" s="138"/>
      <c r="BW105" s="138"/>
      <c r="BX105" s="138"/>
      <c r="BY105" s="138"/>
      <c r="BZ105" s="138"/>
      <c r="CA105" s="138"/>
      <c r="CB105" s="138"/>
      <c r="CC105" s="138"/>
      <c r="CD105" s="138"/>
      <c r="CE105" s="138"/>
      <c r="CF105" s="138"/>
      <c r="CG105" s="138"/>
      <c r="CH105" s="138"/>
      <c r="CI105" s="138"/>
      <c r="CJ105" s="138"/>
      <c r="CK105" s="138"/>
      <c r="CL105" s="138"/>
      <c r="CM105" s="138"/>
      <c r="CN105" s="138"/>
      <c r="CO105" s="138"/>
      <c r="CP105" s="138"/>
      <c r="CQ105" s="138"/>
      <c r="CR105" s="138"/>
      <c r="CS105" s="138"/>
      <c r="CT105" s="138"/>
      <c r="CU105" s="138"/>
      <c r="CV105" s="138"/>
      <c r="CW105" s="138"/>
      <c r="CX105" s="138"/>
      <c r="CY105" s="138"/>
      <c r="CZ105" s="138"/>
      <c r="DA105" s="138"/>
      <c r="DB105" s="138"/>
      <c r="DC105" s="138"/>
      <c r="DD105" s="138"/>
      <c r="DE105" s="138"/>
      <c r="DF105" s="138"/>
      <c r="DG105" s="138"/>
      <c r="DH105" s="138"/>
      <c r="DI105" s="138"/>
      <c r="DJ105" s="138"/>
      <c r="DK105" s="138"/>
      <c r="DL105" s="138"/>
      <c r="DM105" s="138"/>
      <c r="DN105" s="138"/>
      <c r="DO105" s="138"/>
      <c r="DP105" s="138"/>
      <c r="DQ105" s="138"/>
      <c r="DR105" s="138"/>
      <c r="DS105" s="138"/>
      <c r="DT105" s="138"/>
      <c r="DU105" s="138"/>
      <c r="DV105" s="138"/>
      <c r="DW105" s="138"/>
      <c r="DX105" s="138"/>
      <c r="DY105" s="138"/>
      <c r="DZ105" s="138"/>
      <c r="EA105" s="138"/>
      <c r="EB105" s="138"/>
      <c r="EC105" s="138"/>
      <c r="ED105" s="138"/>
      <c r="EE105" s="138"/>
      <c r="EF105" s="138"/>
      <c r="EG105" s="138"/>
      <c r="EH105" s="138"/>
      <c r="EI105" s="138"/>
      <c r="EJ105" s="138"/>
      <c r="EK105" s="138"/>
      <c r="EL105" s="138"/>
      <c r="EM105" s="138"/>
      <c r="EN105" s="138"/>
      <c r="EO105" s="138"/>
      <c r="EP105" s="138"/>
      <c r="EQ105" s="138"/>
      <c r="ER105" s="138"/>
      <c r="ES105" s="138"/>
      <c r="ET105" s="138"/>
      <c r="EU105" s="138"/>
      <c r="EV105" s="138"/>
      <c r="EW105" s="138"/>
      <c r="EX105" s="138"/>
      <c r="EY105" s="138"/>
      <c r="EZ105" s="138"/>
      <c r="FA105" s="138"/>
      <c r="FB105" s="138"/>
      <c r="FC105" s="138"/>
      <c r="FD105" s="138"/>
      <c r="FE105" s="138"/>
      <c r="FF105" s="138"/>
      <c r="FG105" s="138"/>
      <c r="FH105" s="138"/>
      <c r="FI105" s="138"/>
      <c r="FJ105" s="138"/>
      <c r="FK105" s="138"/>
      <c r="FL105" s="138"/>
      <c r="FM105" s="138"/>
      <c r="FN105" s="138"/>
      <c r="FO105" s="138"/>
      <c r="FP105" s="138"/>
      <c r="FQ105" s="138"/>
      <c r="FR105" s="138"/>
      <c r="FS105" s="138"/>
      <c r="FT105" s="138"/>
      <c r="FU105" s="138"/>
      <c r="FV105" s="138"/>
      <c r="FW105" s="138"/>
      <c r="FX105" s="138"/>
      <c r="FY105" s="138"/>
      <c r="FZ105" s="138"/>
      <c r="GA105" s="138"/>
      <c r="GB105" s="138"/>
      <c r="GC105" s="138"/>
      <c r="GD105" s="138"/>
      <c r="GE105" s="138"/>
      <c r="GF105" s="138"/>
      <c r="GG105" s="138"/>
      <c r="GH105" s="138"/>
      <c r="GI105" s="138"/>
      <c r="GJ105" s="138"/>
      <c r="GK105" s="138"/>
      <c r="GL105" s="138"/>
      <c r="GM105" s="138"/>
      <c r="GN105" s="138"/>
      <c r="GO105" s="138"/>
      <c r="GP105" s="138"/>
      <c r="GQ105" s="138"/>
      <c r="GR105" s="138"/>
      <c r="GS105" s="138"/>
      <c r="GT105" s="138"/>
      <c r="GU105" s="138"/>
      <c r="GV105" s="138"/>
      <c r="GW105" s="138"/>
      <c r="GX105" s="138"/>
      <c r="GY105" s="138"/>
      <c r="GZ105" s="138"/>
      <c r="HA105" s="138"/>
      <c r="HB105" s="138"/>
      <c r="HC105" s="138"/>
      <c r="HD105" s="138"/>
      <c r="HE105" s="138"/>
      <c r="HF105" s="138"/>
      <c r="HG105" s="138"/>
      <c r="HH105" s="138"/>
      <c r="HI105" s="138"/>
      <c r="HJ105" s="138"/>
      <c r="HK105" s="138"/>
      <c r="HL105" s="138"/>
      <c r="HM105" s="138"/>
      <c r="HN105" s="138"/>
      <c r="HO105" s="138"/>
      <c r="HP105" s="138"/>
      <c r="HQ105" s="138"/>
      <c r="HR105" s="138"/>
      <c r="HS105" s="138"/>
      <c r="HT105" s="138"/>
      <c r="HU105" s="138"/>
      <c r="HV105" s="138"/>
      <c r="HW105" s="138"/>
      <c r="HX105" s="138"/>
      <c r="HY105" s="138"/>
      <c r="HZ105" s="138"/>
      <c r="IA105" s="138"/>
      <c r="IB105" s="138"/>
      <c r="IC105" s="138"/>
      <c r="ID105" s="138"/>
      <c r="IE105" s="138"/>
      <c r="IF105" s="138"/>
      <c r="IG105" s="138"/>
      <c r="IH105" s="138"/>
      <c r="II105" s="138"/>
      <c r="IJ105" s="138"/>
      <c r="IK105" s="138"/>
      <c r="IL105" s="138"/>
      <c r="IM105" s="138"/>
      <c r="IN105" s="138"/>
      <c r="IO105" s="138"/>
      <c r="IP105" s="138"/>
      <c r="IQ105" s="138"/>
      <c r="IR105" s="138"/>
      <c r="IS105" s="138"/>
      <c r="IT105" s="138"/>
      <c r="IU105" s="138"/>
      <c r="IV105" s="138"/>
      <c r="IW105" s="138"/>
    </row>
    <row r="106" customFormat="false" ht="12.75" hidden="false" customHeight="false" outlineLevel="0" collapsed="false">
      <c r="A106" s="138"/>
      <c r="B106" s="82" t="s">
        <v>60</v>
      </c>
      <c r="C106" s="83" t="s">
        <v>177</v>
      </c>
      <c r="D106" s="83" t="s">
        <v>178</v>
      </c>
      <c r="E106" s="84" t="n">
        <v>36923</v>
      </c>
      <c r="F106" s="84" t="n">
        <v>36950</v>
      </c>
      <c r="G106" s="82" t="s">
        <v>215</v>
      </c>
      <c r="H106" s="82" t="s">
        <v>180</v>
      </c>
      <c r="I106" s="83" t="s">
        <v>216</v>
      </c>
      <c r="J106" s="139" t="n">
        <f aca="false">14.0775/J1</f>
        <v>0.454112903225807</v>
      </c>
      <c r="K106" s="86"/>
      <c r="L106" s="86"/>
      <c r="M106" s="86"/>
      <c r="N106" s="86"/>
      <c r="O106" s="87"/>
      <c r="P106" s="86"/>
      <c r="Q106" s="134" t="n">
        <v>3.8021</v>
      </c>
      <c r="R106" s="140" t="n">
        <v>1508</v>
      </c>
      <c r="S106" s="133" t="s">
        <v>218</v>
      </c>
      <c r="T106" s="89" t="n">
        <f aca="false">+J106*R106*$J$1</f>
        <v>21228.87</v>
      </c>
      <c r="U106" s="135"/>
      <c r="V106" s="136" t="n">
        <v>586887</v>
      </c>
      <c r="W106" s="133" t="s">
        <v>185</v>
      </c>
      <c r="X106" s="137"/>
      <c r="Y106" s="137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8"/>
      <c r="BR106" s="138"/>
      <c r="BS106" s="138"/>
      <c r="BT106" s="138"/>
      <c r="BU106" s="138"/>
      <c r="BV106" s="138"/>
      <c r="BW106" s="138"/>
      <c r="BX106" s="138"/>
      <c r="BY106" s="138"/>
      <c r="BZ106" s="138"/>
      <c r="CA106" s="138"/>
      <c r="CB106" s="138"/>
      <c r="CC106" s="138"/>
      <c r="CD106" s="138"/>
      <c r="CE106" s="138"/>
      <c r="CF106" s="138"/>
      <c r="CG106" s="138"/>
      <c r="CH106" s="138"/>
      <c r="CI106" s="138"/>
      <c r="CJ106" s="138"/>
      <c r="CK106" s="138"/>
      <c r="CL106" s="138"/>
      <c r="CM106" s="138"/>
      <c r="CN106" s="138"/>
      <c r="CO106" s="138"/>
      <c r="CP106" s="138"/>
      <c r="CQ106" s="138"/>
      <c r="CR106" s="138"/>
      <c r="CS106" s="138"/>
      <c r="CT106" s="138"/>
      <c r="CU106" s="138"/>
      <c r="CV106" s="138"/>
      <c r="CW106" s="138"/>
      <c r="CX106" s="138"/>
      <c r="CY106" s="138"/>
      <c r="CZ106" s="138"/>
      <c r="DA106" s="138"/>
      <c r="DB106" s="138"/>
      <c r="DC106" s="138"/>
      <c r="DD106" s="138"/>
      <c r="DE106" s="138"/>
      <c r="DF106" s="138"/>
      <c r="DG106" s="138"/>
      <c r="DH106" s="138"/>
      <c r="DI106" s="138"/>
      <c r="DJ106" s="138"/>
      <c r="DK106" s="138"/>
      <c r="DL106" s="138"/>
      <c r="DM106" s="138"/>
      <c r="DN106" s="138"/>
      <c r="DO106" s="138"/>
      <c r="DP106" s="138"/>
      <c r="DQ106" s="138"/>
      <c r="DR106" s="138"/>
      <c r="DS106" s="138"/>
      <c r="DT106" s="138"/>
      <c r="DU106" s="138"/>
      <c r="DV106" s="138"/>
      <c r="DW106" s="138"/>
      <c r="DX106" s="138"/>
      <c r="DY106" s="138"/>
      <c r="DZ106" s="138"/>
      <c r="EA106" s="138"/>
      <c r="EB106" s="138"/>
      <c r="EC106" s="138"/>
      <c r="ED106" s="138"/>
      <c r="EE106" s="138"/>
      <c r="EF106" s="138"/>
      <c r="EG106" s="138"/>
      <c r="EH106" s="138"/>
      <c r="EI106" s="138"/>
      <c r="EJ106" s="138"/>
      <c r="EK106" s="138"/>
      <c r="EL106" s="138"/>
      <c r="EM106" s="138"/>
      <c r="EN106" s="138"/>
      <c r="EO106" s="138"/>
      <c r="EP106" s="138"/>
      <c r="EQ106" s="138"/>
      <c r="ER106" s="138"/>
      <c r="ES106" s="138"/>
      <c r="ET106" s="138"/>
      <c r="EU106" s="138"/>
      <c r="EV106" s="138"/>
      <c r="EW106" s="138"/>
      <c r="EX106" s="138"/>
      <c r="EY106" s="138"/>
      <c r="EZ106" s="138"/>
      <c r="FA106" s="138"/>
      <c r="FB106" s="138"/>
      <c r="FC106" s="138"/>
      <c r="FD106" s="138"/>
      <c r="FE106" s="138"/>
      <c r="FF106" s="138"/>
      <c r="FG106" s="138"/>
      <c r="FH106" s="138"/>
      <c r="FI106" s="138"/>
      <c r="FJ106" s="138"/>
      <c r="FK106" s="138"/>
      <c r="FL106" s="138"/>
      <c r="FM106" s="138"/>
      <c r="FN106" s="138"/>
      <c r="FO106" s="138"/>
      <c r="FP106" s="138"/>
      <c r="FQ106" s="138"/>
      <c r="FR106" s="138"/>
      <c r="FS106" s="138"/>
      <c r="FT106" s="138"/>
      <c r="FU106" s="138"/>
      <c r="FV106" s="138"/>
      <c r="FW106" s="138"/>
      <c r="FX106" s="138"/>
      <c r="FY106" s="138"/>
      <c r="FZ106" s="138"/>
      <c r="GA106" s="138"/>
      <c r="GB106" s="138"/>
      <c r="GC106" s="138"/>
      <c r="GD106" s="138"/>
      <c r="GE106" s="138"/>
      <c r="GF106" s="138"/>
      <c r="GG106" s="138"/>
      <c r="GH106" s="138"/>
      <c r="GI106" s="138"/>
      <c r="GJ106" s="138"/>
      <c r="GK106" s="138"/>
      <c r="GL106" s="138"/>
      <c r="GM106" s="138"/>
      <c r="GN106" s="138"/>
      <c r="GO106" s="138"/>
      <c r="GP106" s="138"/>
      <c r="GQ106" s="138"/>
      <c r="GR106" s="138"/>
      <c r="GS106" s="138"/>
      <c r="GT106" s="138"/>
      <c r="GU106" s="138"/>
      <c r="GV106" s="138"/>
      <c r="GW106" s="138"/>
      <c r="GX106" s="138"/>
      <c r="GY106" s="138"/>
      <c r="GZ106" s="138"/>
      <c r="HA106" s="138"/>
      <c r="HB106" s="138"/>
      <c r="HC106" s="138"/>
      <c r="HD106" s="138"/>
      <c r="HE106" s="138"/>
      <c r="HF106" s="138"/>
      <c r="HG106" s="138"/>
      <c r="HH106" s="138"/>
      <c r="HI106" s="138"/>
      <c r="HJ106" s="138"/>
      <c r="HK106" s="138"/>
      <c r="HL106" s="138"/>
      <c r="HM106" s="138"/>
      <c r="HN106" s="138"/>
      <c r="HO106" s="138"/>
      <c r="HP106" s="138"/>
      <c r="HQ106" s="138"/>
      <c r="HR106" s="138"/>
      <c r="HS106" s="138"/>
      <c r="HT106" s="138"/>
      <c r="HU106" s="138"/>
      <c r="HV106" s="138"/>
      <c r="HW106" s="138"/>
      <c r="HX106" s="138"/>
      <c r="HY106" s="138"/>
      <c r="HZ106" s="138"/>
      <c r="IA106" s="138"/>
      <c r="IB106" s="138"/>
      <c r="IC106" s="138"/>
      <c r="ID106" s="138"/>
      <c r="IE106" s="138"/>
      <c r="IF106" s="138"/>
      <c r="IG106" s="138"/>
      <c r="IH106" s="138"/>
      <c r="II106" s="138"/>
      <c r="IJ106" s="138"/>
      <c r="IK106" s="138"/>
      <c r="IL106" s="138"/>
      <c r="IM106" s="138"/>
      <c r="IN106" s="138"/>
      <c r="IO106" s="138"/>
      <c r="IP106" s="138"/>
      <c r="IQ106" s="138"/>
      <c r="IR106" s="138"/>
      <c r="IS106" s="138"/>
      <c r="IT106" s="138"/>
      <c r="IU106" s="138"/>
      <c r="IV106" s="138"/>
      <c r="IW106" s="138"/>
    </row>
    <row r="107" customFormat="false" ht="12.75" hidden="false" customHeight="false" outlineLevel="0" collapsed="false">
      <c r="A107" s="138"/>
      <c r="B107" s="82" t="s">
        <v>60</v>
      </c>
      <c r="C107" s="83" t="s">
        <v>177</v>
      </c>
      <c r="D107" s="83" t="s">
        <v>178</v>
      </c>
      <c r="E107" s="84" t="n">
        <v>36923</v>
      </c>
      <c r="F107" s="84" t="n">
        <v>36950</v>
      </c>
      <c r="G107" s="82" t="s">
        <v>215</v>
      </c>
      <c r="H107" s="82" t="s">
        <v>180</v>
      </c>
      <c r="I107" s="83" t="s">
        <v>216</v>
      </c>
      <c r="J107" s="139" t="n">
        <f aca="false">14.0775/J1</f>
        <v>0.454112903225807</v>
      </c>
      <c r="K107" s="86"/>
      <c r="L107" s="86"/>
      <c r="M107" s="86"/>
      <c r="N107" s="86"/>
      <c r="O107" s="87"/>
      <c r="P107" s="86"/>
      <c r="Q107" s="134" t="n">
        <v>3.8056</v>
      </c>
      <c r="R107" s="140" t="n">
        <v>1531</v>
      </c>
      <c r="S107" s="133" t="s">
        <v>219</v>
      </c>
      <c r="T107" s="89" t="n">
        <f aca="false">+J107*R107*$J$1</f>
        <v>21552.6525</v>
      </c>
      <c r="U107" s="135"/>
      <c r="V107" s="136" t="n">
        <v>588487</v>
      </c>
      <c r="W107" s="133" t="s">
        <v>185</v>
      </c>
      <c r="X107" s="137"/>
      <c r="Y107" s="137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8"/>
      <c r="BR107" s="138"/>
      <c r="BS107" s="138"/>
      <c r="BT107" s="138"/>
      <c r="BU107" s="138"/>
      <c r="BV107" s="138"/>
      <c r="BW107" s="138"/>
      <c r="BX107" s="138"/>
      <c r="BY107" s="138"/>
      <c r="BZ107" s="138"/>
      <c r="CA107" s="138"/>
      <c r="CB107" s="138"/>
      <c r="CC107" s="138"/>
      <c r="CD107" s="138"/>
      <c r="CE107" s="138"/>
      <c r="CF107" s="138"/>
      <c r="CG107" s="138"/>
      <c r="CH107" s="138"/>
      <c r="CI107" s="138"/>
      <c r="CJ107" s="138"/>
      <c r="CK107" s="138"/>
      <c r="CL107" s="138"/>
      <c r="CM107" s="138"/>
      <c r="CN107" s="138"/>
      <c r="CO107" s="138"/>
      <c r="CP107" s="138"/>
      <c r="CQ107" s="138"/>
      <c r="CR107" s="138"/>
      <c r="CS107" s="138"/>
      <c r="CT107" s="138"/>
      <c r="CU107" s="138"/>
      <c r="CV107" s="138"/>
      <c r="CW107" s="138"/>
      <c r="CX107" s="138"/>
      <c r="CY107" s="138"/>
      <c r="CZ107" s="138"/>
      <c r="DA107" s="138"/>
      <c r="DB107" s="138"/>
      <c r="DC107" s="138"/>
      <c r="DD107" s="138"/>
      <c r="DE107" s="138"/>
      <c r="DF107" s="138"/>
      <c r="DG107" s="138"/>
      <c r="DH107" s="138"/>
      <c r="DI107" s="138"/>
      <c r="DJ107" s="138"/>
      <c r="DK107" s="138"/>
      <c r="DL107" s="138"/>
      <c r="DM107" s="138"/>
      <c r="DN107" s="138"/>
      <c r="DO107" s="138"/>
      <c r="DP107" s="138"/>
      <c r="DQ107" s="138"/>
      <c r="DR107" s="138"/>
      <c r="DS107" s="138"/>
      <c r="DT107" s="138"/>
      <c r="DU107" s="138"/>
      <c r="DV107" s="138"/>
      <c r="DW107" s="138"/>
      <c r="DX107" s="138"/>
      <c r="DY107" s="138"/>
      <c r="DZ107" s="138"/>
      <c r="EA107" s="138"/>
      <c r="EB107" s="138"/>
      <c r="EC107" s="138"/>
      <c r="ED107" s="138"/>
      <c r="EE107" s="138"/>
      <c r="EF107" s="138"/>
      <c r="EG107" s="138"/>
      <c r="EH107" s="138"/>
      <c r="EI107" s="138"/>
      <c r="EJ107" s="138"/>
      <c r="EK107" s="138"/>
      <c r="EL107" s="138"/>
      <c r="EM107" s="138"/>
      <c r="EN107" s="138"/>
      <c r="EO107" s="138"/>
      <c r="EP107" s="138"/>
      <c r="EQ107" s="138"/>
      <c r="ER107" s="138"/>
      <c r="ES107" s="138"/>
      <c r="ET107" s="138"/>
      <c r="EU107" s="138"/>
      <c r="EV107" s="138"/>
      <c r="EW107" s="138"/>
      <c r="EX107" s="138"/>
      <c r="EY107" s="138"/>
      <c r="EZ107" s="138"/>
      <c r="FA107" s="138"/>
      <c r="FB107" s="138"/>
      <c r="FC107" s="138"/>
      <c r="FD107" s="138"/>
      <c r="FE107" s="138"/>
      <c r="FF107" s="138"/>
      <c r="FG107" s="138"/>
      <c r="FH107" s="138"/>
      <c r="FI107" s="138"/>
      <c r="FJ107" s="138"/>
      <c r="FK107" s="138"/>
      <c r="FL107" s="138"/>
      <c r="FM107" s="138"/>
      <c r="FN107" s="138"/>
      <c r="FO107" s="138"/>
      <c r="FP107" s="138"/>
      <c r="FQ107" s="138"/>
      <c r="FR107" s="138"/>
      <c r="FS107" s="138"/>
      <c r="FT107" s="138"/>
      <c r="FU107" s="138"/>
      <c r="FV107" s="138"/>
      <c r="FW107" s="138"/>
      <c r="FX107" s="138"/>
      <c r="FY107" s="138"/>
      <c r="FZ107" s="138"/>
      <c r="GA107" s="138"/>
      <c r="GB107" s="138"/>
      <c r="GC107" s="138"/>
      <c r="GD107" s="138"/>
      <c r="GE107" s="138"/>
      <c r="GF107" s="138"/>
      <c r="GG107" s="138"/>
      <c r="GH107" s="138"/>
      <c r="GI107" s="138"/>
      <c r="GJ107" s="138"/>
      <c r="GK107" s="138"/>
      <c r="GL107" s="138"/>
      <c r="GM107" s="138"/>
      <c r="GN107" s="138"/>
      <c r="GO107" s="138"/>
      <c r="GP107" s="138"/>
      <c r="GQ107" s="138"/>
      <c r="GR107" s="138"/>
      <c r="GS107" s="138"/>
      <c r="GT107" s="138"/>
      <c r="GU107" s="138"/>
      <c r="GV107" s="138"/>
      <c r="GW107" s="138"/>
      <c r="GX107" s="138"/>
      <c r="GY107" s="138"/>
      <c r="GZ107" s="138"/>
      <c r="HA107" s="138"/>
      <c r="HB107" s="138"/>
      <c r="HC107" s="138"/>
      <c r="HD107" s="138"/>
      <c r="HE107" s="138"/>
      <c r="HF107" s="138"/>
      <c r="HG107" s="138"/>
      <c r="HH107" s="138"/>
      <c r="HI107" s="138"/>
      <c r="HJ107" s="138"/>
      <c r="HK107" s="138"/>
      <c r="HL107" s="138"/>
      <c r="HM107" s="138"/>
      <c r="HN107" s="138"/>
      <c r="HO107" s="138"/>
      <c r="HP107" s="138"/>
      <c r="HQ107" s="138"/>
      <c r="HR107" s="138"/>
      <c r="HS107" s="138"/>
      <c r="HT107" s="138"/>
      <c r="HU107" s="138"/>
      <c r="HV107" s="138"/>
      <c r="HW107" s="138"/>
      <c r="HX107" s="138"/>
      <c r="HY107" s="138"/>
      <c r="HZ107" s="138"/>
      <c r="IA107" s="138"/>
      <c r="IB107" s="138"/>
      <c r="IC107" s="138"/>
      <c r="ID107" s="138"/>
      <c r="IE107" s="138"/>
      <c r="IF107" s="138"/>
      <c r="IG107" s="138"/>
      <c r="IH107" s="138"/>
      <c r="II107" s="138"/>
      <c r="IJ107" s="138"/>
      <c r="IK107" s="138"/>
      <c r="IL107" s="138"/>
      <c r="IM107" s="138"/>
      <c r="IN107" s="138"/>
      <c r="IO107" s="138"/>
      <c r="IP107" s="138"/>
      <c r="IQ107" s="138"/>
      <c r="IR107" s="138"/>
      <c r="IS107" s="138"/>
      <c r="IT107" s="138"/>
      <c r="IU107" s="138"/>
      <c r="IV107" s="138"/>
      <c r="IW107" s="138"/>
    </row>
    <row r="108" customFormat="false" ht="12.75" hidden="false" customHeight="false" outlineLevel="0" collapsed="false">
      <c r="A108" s="138"/>
      <c r="B108" s="82" t="s">
        <v>60</v>
      </c>
      <c r="C108" s="83" t="s">
        <v>177</v>
      </c>
      <c r="D108" s="83" t="s">
        <v>178</v>
      </c>
      <c r="E108" s="84" t="n">
        <v>36923</v>
      </c>
      <c r="F108" s="84" t="n">
        <v>36950</v>
      </c>
      <c r="G108" s="82" t="s">
        <v>215</v>
      </c>
      <c r="H108" s="82" t="s">
        <v>180</v>
      </c>
      <c r="I108" s="83" t="s">
        <v>216</v>
      </c>
      <c r="J108" s="139" t="n">
        <f aca="false">11.9593/J1</f>
        <v>0.385783870967742</v>
      </c>
      <c r="K108" s="86"/>
      <c r="L108" s="86"/>
      <c r="M108" s="86"/>
      <c r="N108" s="86"/>
      <c r="O108" s="87"/>
      <c r="P108" s="86"/>
      <c r="Q108" s="134" t="n">
        <v>3.8054</v>
      </c>
      <c r="R108" s="140" t="n">
        <v>46</v>
      </c>
      <c r="S108" s="133" t="s">
        <v>220</v>
      </c>
      <c r="T108" s="89" t="n">
        <f aca="false">+J108*R108*$J$1</f>
        <v>550.1278</v>
      </c>
      <c r="U108" s="135"/>
      <c r="V108" s="136" t="n">
        <v>587320</v>
      </c>
      <c r="W108" s="133" t="s">
        <v>185</v>
      </c>
      <c r="X108" s="137"/>
      <c r="Y108" s="137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8"/>
      <c r="BR108" s="138"/>
      <c r="BS108" s="138"/>
      <c r="BT108" s="138"/>
      <c r="BU108" s="138"/>
      <c r="BV108" s="138"/>
      <c r="BW108" s="138"/>
      <c r="BX108" s="138"/>
      <c r="BY108" s="138"/>
      <c r="BZ108" s="138"/>
      <c r="CA108" s="138"/>
      <c r="CB108" s="138"/>
      <c r="CC108" s="138"/>
      <c r="CD108" s="138"/>
      <c r="CE108" s="138"/>
      <c r="CF108" s="138"/>
      <c r="CG108" s="138"/>
      <c r="CH108" s="138"/>
      <c r="CI108" s="138"/>
      <c r="CJ108" s="138"/>
      <c r="CK108" s="138"/>
      <c r="CL108" s="138"/>
      <c r="CM108" s="138"/>
      <c r="CN108" s="138"/>
      <c r="CO108" s="138"/>
      <c r="CP108" s="138"/>
      <c r="CQ108" s="138"/>
      <c r="CR108" s="138"/>
      <c r="CS108" s="138"/>
      <c r="CT108" s="138"/>
      <c r="CU108" s="138"/>
      <c r="CV108" s="138"/>
      <c r="CW108" s="138"/>
      <c r="CX108" s="138"/>
      <c r="CY108" s="138"/>
      <c r="CZ108" s="138"/>
      <c r="DA108" s="138"/>
      <c r="DB108" s="138"/>
      <c r="DC108" s="138"/>
      <c r="DD108" s="138"/>
      <c r="DE108" s="138"/>
      <c r="DF108" s="138"/>
      <c r="DG108" s="138"/>
      <c r="DH108" s="138"/>
      <c r="DI108" s="138"/>
      <c r="DJ108" s="138"/>
      <c r="DK108" s="138"/>
      <c r="DL108" s="138"/>
      <c r="DM108" s="138"/>
      <c r="DN108" s="138"/>
      <c r="DO108" s="138"/>
      <c r="DP108" s="138"/>
      <c r="DQ108" s="138"/>
      <c r="DR108" s="138"/>
      <c r="DS108" s="138"/>
      <c r="DT108" s="138"/>
      <c r="DU108" s="138"/>
      <c r="DV108" s="138"/>
      <c r="DW108" s="138"/>
      <c r="DX108" s="138"/>
      <c r="DY108" s="138"/>
      <c r="DZ108" s="138"/>
      <c r="EA108" s="138"/>
      <c r="EB108" s="138"/>
      <c r="EC108" s="138"/>
      <c r="ED108" s="138"/>
      <c r="EE108" s="138"/>
      <c r="EF108" s="138"/>
      <c r="EG108" s="138"/>
      <c r="EH108" s="138"/>
      <c r="EI108" s="138"/>
      <c r="EJ108" s="138"/>
      <c r="EK108" s="138"/>
      <c r="EL108" s="138"/>
      <c r="EM108" s="138"/>
      <c r="EN108" s="138"/>
      <c r="EO108" s="138"/>
      <c r="EP108" s="138"/>
      <c r="EQ108" s="138"/>
      <c r="ER108" s="138"/>
      <c r="ES108" s="138"/>
      <c r="ET108" s="138"/>
      <c r="EU108" s="138"/>
      <c r="EV108" s="138"/>
      <c r="EW108" s="138"/>
      <c r="EX108" s="138"/>
      <c r="EY108" s="138"/>
      <c r="EZ108" s="138"/>
      <c r="FA108" s="138"/>
      <c r="FB108" s="138"/>
      <c r="FC108" s="138"/>
      <c r="FD108" s="138"/>
      <c r="FE108" s="138"/>
      <c r="FF108" s="138"/>
      <c r="FG108" s="138"/>
      <c r="FH108" s="138"/>
      <c r="FI108" s="138"/>
      <c r="FJ108" s="138"/>
      <c r="FK108" s="138"/>
      <c r="FL108" s="138"/>
      <c r="FM108" s="138"/>
      <c r="FN108" s="138"/>
      <c r="FO108" s="138"/>
      <c r="FP108" s="138"/>
      <c r="FQ108" s="138"/>
      <c r="FR108" s="138"/>
      <c r="FS108" s="138"/>
      <c r="FT108" s="138"/>
      <c r="FU108" s="138"/>
      <c r="FV108" s="138"/>
      <c r="FW108" s="138"/>
      <c r="FX108" s="138"/>
      <c r="FY108" s="138"/>
      <c r="FZ108" s="138"/>
      <c r="GA108" s="138"/>
      <c r="GB108" s="138"/>
      <c r="GC108" s="138"/>
      <c r="GD108" s="138"/>
      <c r="GE108" s="138"/>
      <c r="GF108" s="138"/>
      <c r="GG108" s="138"/>
      <c r="GH108" s="138"/>
      <c r="GI108" s="138"/>
      <c r="GJ108" s="138"/>
      <c r="GK108" s="138"/>
      <c r="GL108" s="138"/>
      <c r="GM108" s="138"/>
      <c r="GN108" s="138"/>
      <c r="GO108" s="138"/>
      <c r="GP108" s="138"/>
      <c r="GQ108" s="138"/>
      <c r="GR108" s="138"/>
      <c r="GS108" s="138"/>
      <c r="GT108" s="138"/>
      <c r="GU108" s="138"/>
      <c r="GV108" s="138"/>
      <c r="GW108" s="138"/>
      <c r="GX108" s="138"/>
      <c r="GY108" s="138"/>
      <c r="GZ108" s="138"/>
      <c r="HA108" s="138"/>
      <c r="HB108" s="138"/>
      <c r="HC108" s="138"/>
      <c r="HD108" s="138"/>
      <c r="HE108" s="138"/>
      <c r="HF108" s="138"/>
      <c r="HG108" s="138"/>
      <c r="HH108" s="138"/>
      <c r="HI108" s="138"/>
      <c r="HJ108" s="138"/>
      <c r="HK108" s="138"/>
      <c r="HL108" s="138"/>
      <c r="HM108" s="138"/>
      <c r="HN108" s="138"/>
      <c r="HO108" s="138"/>
      <c r="HP108" s="138"/>
      <c r="HQ108" s="138"/>
      <c r="HR108" s="138"/>
      <c r="HS108" s="138"/>
      <c r="HT108" s="138"/>
      <c r="HU108" s="138"/>
      <c r="HV108" s="138"/>
      <c r="HW108" s="138"/>
      <c r="HX108" s="138"/>
      <c r="HY108" s="138"/>
      <c r="HZ108" s="138"/>
      <c r="IA108" s="138"/>
      <c r="IB108" s="138"/>
      <c r="IC108" s="138"/>
      <c r="ID108" s="138"/>
      <c r="IE108" s="138"/>
      <c r="IF108" s="138"/>
      <c r="IG108" s="138"/>
      <c r="IH108" s="138"/>
      <c r="II108" s="138"/>
      <c r="IJ108" s="138"/>
      <c r="IK108" s="138"/>
      <c r="IL108" s="138"/>
      <c r="IM108" s="138"/>
      <c r="IN108" s="138"/>
      <c r="IO108" s="138"/>
      <c r="IP108" s="138"/>
      <c r="IQ108" s="138"/>
      <c r="IR108" s="138"/>
      <c r="IS108" s="138"/>
      <c r="IT108" s="138"/>
      <c r="IU108" s="138"/>
      <c r="IV108" s="138"/>
      <c r="IW108" s="138"/>
    </row>
    <row r="109" customFormat="false" ht="13.5" hidden="false" customHeight="false" outlineLevel="0" collapsed="false">
      <c r="B109" s="49"/>
      <c r="C109" s="52"/>
      <c r="D109" s="52"/>
      <c r="E109" s="53"/>
      <c r="F109" s="53"/>
      <c r="G109" s="54"/>
      <c r="H109" s="54"/>
      <c r="I109" s="52"/>
      <c r="J109" s="57"/>
      <c r="K109" s="57"/>
      <c r="L109" s="57"/>
      <c r="M109" s="57"/>
      <c r="N109" s="57"/>
      <c r="O109" s="58"/>
      <c r="P109" s="57"/>
      <c r="Q109" s="141"/>
      <c r="R109" s="142"/>
      <c r="S109" s="61"/>
      <c r="T109" s="143" t="n">
        <f aca="false">SUM(T62:T108)</f>
        <v>202428.497</v>
      </c>
      <c r="U109" s="61"/>
      <c r="V109" s="62"/>
      <c r="W109" s="63"/>
      <c r="X109" s="64"/>
      <c r="Y109" s="64"/>
    </row>
    <row r="110" customFormat="false" ht="13.5" hidden="false" customHeight="false" outlineLevel="0" collapsed="false">
      <c r="B110" s="49"/>
      <c r="C110" s="52"/>
      <c r="D110" s="52"/>
      <c r="E110" s="53"/>
      <c r="F110" s="53"/>
      <c r="G110" s="54"/>
      <c r="H110" s="54"/>
      <c r="I110" s="52"/>
      <c r="J110" s="57"/>
      <c r="K110" s="57"/>
      <c r="L110" s="57"/>
      <c r="M110" s="57"/>
      <c r="N110" s="57"/>
      <c r="O110" s="58"/>
      <c r="P110" s="57"/>
      <c r="Q110" s="141"/>
      <c r="R110" s="142"/>
      <c r="S110" s="61"/>
      <c r="T110" s="61"/>
      <c r="U110" s="63"/>
      <c r="V110" s="62"/>
      <c r="W110" s="63"/>
      <c r="X110" s="144"/>
      <c r="Y110" s="64"/>
    </row>
    <row r="111" customFormat="false" ht="12.75" hidden="false" customHeight="false" outlineLevel="0" collapsed="false">
      <c r="B111" s="49"/>
      <c r="C111" s="52"/>
      <c r="D111" s="52"/>
      <c r="E111" s="53"/>
      <c r="F111" s="53"/>
      <c r="G111" s="54"/>
      <c r="H111" s="54"/>
      <c r="I111" s="52"/>
      <c r="J111" s="57"/>
      <c r="K111" s="57"/>
      <c r="L111" s="57"/>
      <c r="M111" s="57"/>
      <c r="N111" s="57"/>
      <c r="O111" s="58"/>
      <c r="P111" s="57"/>
      <c r="Q111" s="141"/>
      <c r="R111" s="142"/>
      <c r="S111" s="61"/>
      <c r="T111" s="61"/>
      <c r="U111" s="61"/>
      <c r="V111" s="62"/>
      <c r="W111" s="63"/>
      <c r="X111" s="64"/>
      <c r="Y111" s="64"/>
    </row>
    <row r="112" customFormat="false" ht="12.75" hidden="false" customHeight="false" outlineLevel="0" collapsed="false">
      <c r="B112" s="49"/>
      <c r="C112" s="52"/>
      <c r="D112" s="52"/>
      <c r="E112" s="53"/>
      <c r="F112" s="53"/>
      <c r="G112" s="54"/>
      <c r="H112" s="54"/>
      <c r="I112" s="52"/>
      <c r="J112" s="57"/>
      <c r="K112" s="57"/>
      <c r="L112" s="57"/>
      <c r="M112" s="57"/>
      <c r="N112" s="57"/>
      <c r="O112" s="58"/>
      <c r="P112" s="57"/>
      <c r="Q112" s="141"/>
      <c r="R112" s="142"/>
      <c r="S112" s="61"/>
      <c r="T112" s="61"/>
      <c r="U112" s="61"/>
      <c r="V112" s="62"/>
      <c r="W112" s="63"/>
      <c r="X112" s="64"/>
      <c r="Y112" s="64"/>
    </row>
    <row r="113" customFormat="false" ht="13.5" hidden="false" customHeight="false" outlineLevel="0" collapsed="false">
      <c r="B113" s="49"/>
      <c r="C113" s="52"/>
      <c r="D113" s="52"/>
      <c r="E113" s="80"/>
      <c r="F113" s="53"/>
      <c r="G113" s="54"/>
      <c r="H113" s="54"/>
      <c r="I113" s="52"/>
      <c r="J113" s="66"/>
      <c r="K113" s="57"/>
      <c r="L113" s="57"/>
      <c r="M113" s="57"/>
      <c r="N113" s="57"/>
      <c r="O113" s="58"/>
      <c r="P113" s="57"/>
      <c r="Q113" s="141"/>
      <c r="R113" s="142"/>
      <c r="S113" s="144"/>
      <c r="T113" s="145" t="n">
        <f aca="false">+T109+T57+T27</f>
        <v>648729.095623042</v>
      </c>
      <c r="U113" s="63" t="s">
        <v>221</v>
      </c>
      <c r="V113" s="62"/>
      <c r="W113" s="63"/>
      <c r="X113" s="64"/>
      <c r="Y113" s="64"/>
    </row>
    <row r="114" customFormat="false" ht="13.5" hidden="false" customHeight="false" outlineLevel="0" collapsed="false">
      <c r="B114" s="49"/>
      <c r="C114" s="52"/>
      <c r="D114" s="52"/>
      <c r="E114" s="80"/>
      <c r="F114" s="53"/>
      <c r="G114" s="54"/>
      <c r="H114" s="54"/>
      <c r="I114" s="52"/>
      <c r="J114" s="66"/>
      <c r="K114" s="57"/>
      <c r="L114" s="57"/>
      <c r="M114" s="57"/>
      <c r="N114" s="57"/>
      <c r="O114" s="58"/>
      <c r="P114" s="57"/>
      <c r="Q114" s="141"/>
      <c r="R114" s="142"/>
      <c r="S114" s="144"/>
      <c r="T114" s="61"/>
      <c r="U114" s="61"/>
      <c r="V114" s="62"/>
      <c r="W114" s="63"/>
      <c r="X114" s="64"/>
      <c r="Y114" s="64"/>
    </row>
    <row r="115" customFormat="false" ht="12.75" hidden="false" customHeight="false" outlineLevel="0" collapsed="false">
      <c r="E115" s="12"/>
      <c r="Q115" s="146"/>
      <c r="R115" s="146"/>
      <c r="S115" s="146"/>
      <c r="T115" s="146"/>
      <c r="U115" s="146"/>
      <c r="V115" s="147"/>
      <c r="W115" s="148"/>
      <c r="X115" s="147"/>
    </row>
    <row r="116" customFormat="false" ht="12.75" hidden="false" customHeight="false" outlineLevel="0" collapsed="false">
      <c r="E116" s="12"/>
      <c r="Q116" s="146"/>
      <c r="R116" s="146"/>
      <c r="S116" s="146"/>
      <c r="T116" s="146"/>
      <c r="U116" s="146"/>
      <c r="V116" s="147"/>
      <c r="W116" s="148"/>
      <c r="X116" s="147"/>
    </row>
    <row r="117" customFormat="false" ht="12.75" hidden="false" customHeight="false" outlineLevel="0" collapsed="false">
      <c r="E117" s="12"/>
    </row>
    <row r="118" customFormat="false" ht="12.75" hidden="false" customHeight="false" outlineLevel="0" collapsed="false">
      <c r="E118" s="12"/>
    </row>
    <row r="119" customFormat="false" ht="12.75" hidden="false" customHeight="false" outlineLevel="0" collapsed="false">
      <c r="E119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10" activeCellId="0" sqref="A10:IV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49" width="12.42"/>
    <col collapsed="false" customWidth="true" hidden="false" outlineLevel="0" max="8" min="8" style="49" width="16.42"/>
    <col collapsed="false" customWidth="true" hidden="false" outlineLevel="0" max="9" min="9" style="9" width="9.28"/>
    <col collapsed="false" customWidth="true" hidden="false" outlineLevel="0" max="10" min="10" style="9" width="7.7"/>
    <col collapsed="false" customWidth="false" hidden="true" outlineLevel="0" max="14" min="11" style="9" width="9.14"/>
    <col collapsed="false" customWidth="false" hidden="true" outlineLevel="0" max="15" min="15" style="50" width="9.14"/>
    <col collapsed="false" customWidth="false" hidden="true" outlineLevel="0" max="16" min="16" style="9" width="9.14"/>
    <col collapsed="false" customWidth="true" hidden="false" outlineLevel="0" max="17" min="17" style="9" width="11.13"/>
    <col collapsed="false" customWidth="true" hidden="false" outlineLevel="0" max="18" min="18" style="9" width="10.85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12" width="14.85"/>
    <col collapsed="false" customWidth="true" hidden="false" outlineLevel="0" max="22" min="22" style="49" width="42.28"/>
    <col collapsed="false" customWidth="false" hidden="false" outlineLevel="0" max="24" min="23" style="12" width="9.14"/>
    <col collapsed="false" customWidth="true" hidden="false" outlineLevel="0" max="25" min="25" style="9" width="12.42"/>
    <col collapsed="false" customWidth="false" hidden="false" outlineLevel="0" max="257" min="26" style="9" width="9.14"/>
  </cols>
  <sheetData>
    <row r="1" customFormat="false" ht="12.75" hidden="false" customHeight="false" outlineLevel="0" collapsed="false">
      <c r="B1" s="51" t="s">
        <v>104</v>
      </c>
      <c r="C1" s="52"/>
      <c r="D1" s="52"/>
      <c r="E1" s="53"/>
      <c r="F1" s="53"/>
      <c r="G1" s="54"/>
      <c r="H1" s="54"/>
      <c r="I1" s="52" t="s">
        <v>105</v>
      </c>
      <c r="J1" s="55" t="n">
        <v>31</v>
      </c>
      <c r="K1" s="56" t="s">
        <v>106</v>
      </c>
      <c r="L1" s="57"/>
      <c r="M1" s="57"/>
      <c r="N1" s="57"/>
      <c r="O1" s="58"/>
      <c r="P1" s="57"/>
      <c r="Q1" s="59"/>
      <c r="R1" s="60"/>
      <c r="S1" s="61" t="s">
        <v>222</v>
      </c>
      <c r="T1" s="61"/>
      <c r="U1" s="62"/>
      <c r="V1" s="63"/>
      <c r="W1" s="64"/>
      <c r="X1" s="64"/>
    </row>
    <row r="2" customFormat="false" ht="12.75" hidden="false" customHeight="false" outlineLevel="0" collapsed="false">
      <c r="B2" s="54"/>
      <c r="C2" s="54"/>
      <c r="D2" s="54"/>
      <c r="E2" s="53"/>
      <c r="F2" s="53"/>
      <c r="G2" s="54"/>
      <c r="H2" s="54"/>
      <c r="I2" s="52"/>
      <c r="J2" s="55"/>
      <c r="K2" s="56" t="s">
        <v>108</v>
      </c>
      <c r="L2" s="57"/>
      <c r="M2" s="57"/>
      <c r="N2" s="57"/>
      <c r="O2" s="58"/>
      <c r="P2" s="57"/>
      <c r="Q2" s="59"/>
      <c r="R2" s="60"/>
      <c r="S2" s="61"/>
      <c r="T2" s="61"/>
      <c r="U2" s="62"/>
      <c r="V2" s="63"/>
      <c r="W2" s="64"/>
      <c r="X2" s="64"/>
    </row>
    <row r="3" customFormat="false" ht="12.75" hidden="false" customHeight="false" outlineLevel="0" collapsed="false">
      <c r="B3" s="54"/>
      <c r="C3" s="54"/>
      <c r="D3" s="54"/>
      <c r="E3" s="53"/>
      <c r="F3" s="53"/>
      <c r="G3" s="65" t="s">
        <v>110</v>
      </c>
      <c r="H3" s="54" t="s">
        <v>110</v>
      </c>
      <c r="I3" s="60" t="s">
        <v>110</v>
      </c>
      <c r="J3" s="66"/>
      <c r="K3" s="67" t="s">
        <v>110</v>
      </c>
      <c r="L3" s="57"/>
      <c r="M3" s="67" t="s">
        <v>110</v>
      </c>
      <c r="N3" s="57"/>
      <c r="O3" s="58"/>
      <c r="P3" s="67" t="s">
        <v>110</v>
      </c>
      <c r="Q3" s="59"/>
      <c r="R3" s="60"/>
      <c r="S3" s="61"/>
      <c r="T3" s="61"/>
      <c r="U3" s="62"/>
      <c r="V3" s="63"/>
      <c r="W3" s="64"/>
      <c r="X3" s="64"/>
    </row>
    <row r="4" customFormat="false" ht="12.75" hidden="false" customHeight="false" outlineLevel="0" collapsed="false">
      <c r="B4" s="54"/>
      <c r="C4" s="52"/>
      <c r="D4" s="52"/>
      <c r="E4" s="53"/>
      <c r="F4" s="53"/>
      <c r="G4" s="68"/>
      <c r="H4" s="54"/>
      <c r="I4" s="68"/>
      <c r="J4" s="66"/>
      <c r="K4" s="68"/>
      <c r="L4" s="57"/>
      <c r="M4" s="68"/>
      <c r="N4" s="60"/>
      <c r="O4" s="58"/>
      <c r="P4" s="60"/>
      <c r="Q4" s="59"/>
      <c r="R4" s="60"/>
      <c r="S4" s="61"/>
      <c r="T4" s="69"/>
      <c r="U4" s="70"/>
      <c r="V4" s="63"/>
      <c r="W4" s="64"/>
      <c r="X4" s="64"/>
    </row>
    <row r="5" customFormat="false" ht="12.75" hidden="false" customHeight="false" outlineLevel="0" collapsed="false">
      <c r="B5" s="54"/>
      <c r="C5" s="52"/>
      <c r="D5" s="52"/>
      <c r="E5" s="53"/>
      <c r="F5" s="53"/>
      <c r="G5" s="68"/>
      <c r="H5" s="54"/>
      <c r="I5" s="68"/>
      <c r="J5" s="66"/>
      <c r="K5" s="68"/>
      <c r="L5" s="57"/>
      <c r="M5" s="68"/>
      <c r="N5" s="60"/>
      <c r="O5" s="58"/>
      <c r="P5" s="60"/>
      <c r="Q5" s="59"/>
      <c r="R5" s="60"/>
      <c r="S5" s="61"/>
      <c r="T5" s="69"/>
      <c r="U5" s="70"/>
      <c r="V5" s="63"/>
      <c r="W5" s="64"/>
      <c r="X5" s="64"/>
    </row>
    <row r="6" customFormat="false" ht="12.75" hidden="false" customHeight="false" outlineLevel="0" collapsed="false">
      <c r="B6" s="149" t="s">
        <v>110</v>
      </c>
      <c r="C6" s="150" t="s">
        <v>110</v>
      </c>
      <c r="D6" s="151" t="s">
        <v>110</v>
      </c>
      <c r="E6" s="152" t="s">
        <v>110</v>
      </c>
      <c r="F6" s="152"/>
      <c r="G6" s="149" t="s">
        <v>110</v>
      </c>
      <c r="H6" s="153" t="s">
        <v>110</v>
      </c>
      <c r="I6" s="150" t="s">
        <v>110</v>
      </c>
      <c r="J6" s="154"/>
      <c r="K6" s="155"/>
      <c r="L6" s="155"/>
      <c r="M6" s="155"/>
      <c r="N6" s="155"/>
      <c r="O6" s="156"/>
      <c r="P6" s="155"/>
      <c r="Q6" s="157" t="s">
        <v>110</v>
      </c>
      <c r="R6" s="150"/>
      <c r="S6" s="149" t="s">
        <v>110</v>
      </c>
      <c r="T6" s="158"/>
      <c r="U6" s="159"/>
      <c r="V6" s="149"/>
      <c r="W6" s="80"/>
      <c r="X6" s="80"/>
    </row>
    <row r="7" customFormat="false" ht="12.75" hidden="false" customHeight="false" outlineLevel="0" collapsed="false">
      <c r="B7" s="71" t="s">
        <v>113</v>
      </c>
      <c r="C7" s="72" t="s">
        <v>114</v>
      </c>
      <c r="D7" s="72" t="s">
        <v>115</v>
      </c>
      <c r="E7" s="73" t="s">
        <v>116</v>
      </c>
      <c r="F7" s="73"/>
      <c r="G7" s="71" t="s">
        <v>117</v>
      </c>
      <c r="H7" s="71" t="s">
        <v>118</v>
      </c>
      <c r="I7" s="72" t="s">
        <v>119</v>
      </c>
      <c r="J7" s="74" t="s">
        <v>120</v>
      </c>
      <c r="K7" s="72" t="s">
        <v>121</v>
      </c>
      <c r="L7" s="72" t="s">
        <v>122</v>
      </c>
      <c r="M7" s="72" t="s">
        <v>123</v>
      </c>
      <c r="N7" s="72" t="s">
        <v>124</v>
      </c>
      <c r="O7" s="75" t="s">
        <v>125</v>
      </c>
      <c r="P7" s="72" t="s">
        <v>126</v>
      </c>
      <c r="Q7" s="76" t="s">
        <v>127</v>
      </c>
      <c r="R7" s="72" t="s">
        <v>128</v>
      </c>
      <c r="S7" s="71" t="s">
        <v>129</v>
      </c>
      <c r="T7" s="77" t="s">
        <v>130</v>
      </c>
      <c r="U7" s="78" t="s">
        <v>132</v>
      </c>
      <c r="V7" s="79" t="e">
        <f aca="false">+#REF!</f>
        <v>#REF!</v>
      </c>
      <c r="W7" s="80"/>
      <c r="X7" s="80"/>
    </row>
    <row r="8" customFormat="false" ht="12.75" hidden="false" customHeight="false" outlineLevel="0" collapsed="false">
      <c r="A8" s="105"/>
      <c r="B8" s="54" t="s">
        <v>60</v>
      </c>
      <c r="C8" s="52" t="s">
        <v>223</v>
      </c>
      <c r="D8" s="52" t="s">
        <v>224</v>
      </c>
      <c r="E8" s="53" t="n">
        <v>36617</v>
      </c>
      <c r="F8" s="53" t="n">
        <v>36830</v>
      </c>
      <c r="G8" s="54" t="s">
        <v>225</v>
      </c>
      <c r="H8" s="54" t="s">
        <v>151</v>
      </c>
      <c r="I8" s="52" t="s">
        <v>226</v>
      </c>
      <c r="J8" s="66" t="n">
        <v>0</v>
      </c>
      <c r="K8" s="57" t="n">
        <v>0</v>
      </c>
      <c r="L8" s="57" t="n">
        <v>0</v>
      </c>
      <c r="M8" s="57" t="n">
        <v>0</v>
      </c>
      <c r="N8" s="57" t="n">
        <v>0</v>
      </c>
      <c r="O8" s="58" t="n">
        <v>0</v>
      </c>
      <c r="P8" s="57" t="n">
        <f aca="false">SUM(J8:N8)</f>
        <v>0</v>
      </c>
      <c r="Q8" s="59" t="n">
        <v>51407</v>
      </c>
      <c r="R8" s="52" t="n">
        <v>73754</v>
      </c>
      <c r="S8" s="54" t="s">
        <v>227</v>
      </c>
      <c r="T8" s="106"/>
      <c r="U8" s="107" t="n">
        <v>156569</v>
      </c>
      <c r="V8" s="54"/>
      <c r="W8" s="80"/>
      <c r="X8" s="80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05"/>
      <c r="DZ8" s="105"/>
      <c r="EA8" s="105"/>
      <c r="EB8" s="105"/>
      <c r="EC8" s="105"/>
      <c r="ED8" s="105"/>
      <c r="EE8" s="105"/>
      <c r="EF8" s="105"/>
      <c r="EG8" s="105"/>
      <c r="EH8" s="105"/>
      <c r="EI8" s="105"/>
      <c r="EJ8" s="105"/>
      <c r="EK8" s="105"/>
      <c r="EL8" s="105"/>
      <c r="EM8" s="105"/>
      <c r="EN8" s="105"/>
      <c r="EO8" s="105"/>
      <c r="EP8" s="105"/>
      <c r="EQ8" s="105"/>
      <c r="ER8" s="105"/>
      <c r="ES8" s="105"/>
      <c r="ET8" s="105"/>
      <c r="EU8" s="105"/>
      <c r="EV8" s="105"/>
      <c r="EW8" s="105"/>
      <c r="EX8" s="105"/>
      <c r="EY8" s="105"/>
      <c r="EZ8" s="105"/>
      <c r="FA8" s="105"/>
      <c r="FB8" s="105"/>
      <c r="FC8" s="105"/>
      <c r="FD8" s="105"/>
      <c r="FE8" s="105"/>
      <c r="FF8" s="105"/>
      <c r="FG8" s="105"/>
      <c r="FH8" s="105"/>
      <c r="FI8" s="105"/>
      <c r="FJ8" s="105"/>
      <c r="FK8" s="105"/>
      <c r="FL8" s="105"/>
      <c r="FM8" s="105"/>
      <c r="FN8" s="105"/>
      <c r="FO8" s="105"/>
      <c r="FP8" s="105"/>
      <c r="FQ8" s="105"/>
      <c r="FR8" s="105"/>
      <c r="FS8" s="105"/>
      <c r="FT8" s="105"/>
      <c r="FU8" s="105"/>
      <c r="FV8" s="105"/>
      <c r="FW8" s="105"/>
      <c r="FX8" s="105"/>
      <c r="FY8" s="105"/>
      <c r="FZ8" s="105"/>
      <c r="GA8" s="105"/>
      <c r="GB8" s="105"/>
      <c r="GC8" s="105"/>
      <c r="GD8" s="105"/>
      <c r="GE8" s="105"/>
      <c r="GF8" s="105"/>
      <c r="GG8" s="105"/>
      <c r="GH8" s="105"/>
      <c r="GI8" s="105"/>
      <c r="GJ8" s="105"/>
      <c r="GK8" s="105"/>
      <c r="GL8" s="105"/>
      <c r="GM8" s="105"/>
      <c r="GN8" s="105"/>
      <c r="GO8" s="105"/>
      <c r="GP8" s="105"/>
      <c r="GQ8" s="105"/>
      <c r="GR8" s="105"/>
      <c r="GS8" s="105"/>
      <c r="GT8" s="105"/>
      <c r="GU8" s="105"/>
      <c r="GV8" s="105"/>
      <c r="GW8" s="105"/>
      <c r="GX8" s="105"/>
      <c r="GY8" s="105"/>
      <c r="GZ8" s="105"/>
      <c r="HA8" s="105"/>
      <c r="HB8" s="105"/>
      <c r="HC8" s="105"/>
      <c r="HD8" s="105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</row>
    <row r="9" customFormat="false" ht="12.75" hidden="false" customHeight="false" outlineLevel="0" collapsed="false">
      <c r="A9" s="105"/>
      <c r="B9" s="54" t="s">
        <v>60</v>
      </c>
      <c r="C9" s="52" t="s">
        <v>223</v>
      </c>
      <c r="D9" s="52" t="s">
        <v>224</v>
      </c>
      <c r="E9" s="53" t="n">
        <v>36617</v>
      </c>
      <c r="F9" s="53" t="n">
        <v>36830</v>
      </c>
      <c r="G9" s="54" t="s">
        <v>225</v>
      </c>
      <c r="H9" s="54" t="s">
        <v>152</v>
      </c>
      <c r="I9" s="52" t="s">
        <v>226</v>
      </c>
      <c r="J9" s="66" t="n">
        <v>0</v>
      </c>
      <c r="K9" s="57" t="n">
        <v>0</v>
      </c>
      <c r="L9" s="57" t="n">
        <v>0</v>
      </c>
      <c r="M9" s="57" t="n">
        <v>0</v>
      </c>
      <c r="N9" s="57" t="n">
        <v>0</v>
      </c>
      <c r="O9" s="58" t="n">
        <v>0</v>
      </c>
      <c r="P9" s="57" t="n">
        <f aca="false">SUM(J9:N9)</f>
        <v>0</v>
      </c>
      <c r="Q9" s="59" t="n">
        <v>51407</v>
      </c>
      <c r="R9" s="52" t="n">
        <v>73754</v>
      </c>
      <c r="S9" s="54" t="s">
        <v>227</v>
      </c>
      <c r="T9" s="106"/>
      <c r="U9" s="107" t="n">
        <v>156569</v>
      </c>
      <c r="V9" s="54"/>
      <c r="W9" s="80"/>
      <c r="X9" s="80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05"/>
      <c r="DZ9" s="105"/>
      <c r="EA9" s="105"/>
      <c r="EB9" s="105"/>
      <c r="EC9" s="105"/>
      <c r="ED9" s="105"/>
      <c r="EE9" s="105"/>
      <c r="EF9" s="105"/>
      <c r="EG9" s="105"/>
      <c r="EH9" s="105"/>
      <c r="EI9" s="105"/>
      <c r="EJ9" s="105"/>
      <c r="EK9" s="105"/>
      <c r="EL9" s="105"/>
      <c r="EM9" s="105"/>
      <c r="EN9" s="105"/>
      <c r="EO9" s="105"/>
      <c r="EP9" s="105"/>
      <c r="EQ9" s="105"/>
      <c r="ER9" s="105"/>
      <c r="ES9" s="105"/>
      <c r="ET9" s="105"/>
      <c r="EU9" s="105"/>
      <c r="EV9" s="105"/>
      <c r="EW9" s="105"/>
      <c r="EX9" s="105"/>
      <c r="EY9" s="105"/>
      <c r="EZ9" s="105"/>
      <c r="FA9" s="105"/>
      <c r="FB9" s="105"/>
      <c r="FC9" s="105"/>
      <c r="FD9" s="105"/>
      <c r="FE9" s="105"/>
      <c r="FF9" s="105"/>
      <c r="FG9" s="105"/>
      <c r="FH9" s="105"/>
      <c r="FI9" s="105"/>
      <c r="FJ9" s="105"/>
      <c r="FK9" s="105"/>
      <c r="FL9" s="105"/>
      <c r="FM9" s="105"/>
      <c r="FN9" s="105"/>
      <c r="FO9" s="105"/>
      <c r="FP9" s="105"/>
      <c r="FQ9" s="105"/>
      <c r="FR9" s="105"/>
      <c r="FS9" s="105"/>
      <c r="FT9" s="105"/>
      <c r="FU9" s="105"/>
      <c r="FV9" s="105"/>
      <c r="FW9" s="105"/>
      <c r="FX9" s="105"/>
      <c r="FY9" s="105"/>
      <c r="FZ9" s="105"/>
      <c r="GA9" s="105"/>
      <c r="GB9" s="105"/>
      <c r="GC9" s="105"/>
      <c r="GD9" s="105"/>
      <c r="GE9" s="105"/>
      <c r="GF9" s="105"/>
      <c r="GG9" s="105"/>
      <c r="GH9" s="105"/>
      <c r="GI9" s="105"/>
      <c r="GJ9" s="105"/>
      <c r="GK9" s="105"/>
      <c r="GL9" s="105"/>
      <c r="GM9" s="105"/>
      <c r="GN9" s="105"/>
      <c r="GO9" s="105"/>
      <c r="GP9" s="105"/>
      <c r="GQ9" s="105"/>
      <c r="GR9" s="105"/>
      <c r="GS9" s="105"/>
      <c r="GT9" s="105"/>
      <c r="GU9" s="105"/>
      <c r="GV9" s="105"/>
      <c r="GW9" s="105"/>
      <c r="GX9" s="105"/>
      <c r="GY9" s="105"/>
      <c r="GZ9" s="105"/>
      <c r="HA9" s="105"/>
      <c r="HB9" s="105"/>
      <c r="HC9" s="105"/>
      <c r="HD9" s="105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  <c r="IU9" s="105"/>
      <c r="IV9" s="105"/>
      <c r="IW9" s="105"/>
    </row>
    <row r="10" customFormat="false" ht="12.75" hidden="false" customHeight="false" outlineLevel="0" collapsed="false">
      <c r="A10" s="81"/>
      <c r="B10" s="82" t="s">
        <v>60</v>
      </c>
      <c r="C10" s="83" t="s">
        <v>223</v>
      </c>
      <c r="D10" s="83" t="s">
        <v>31</v>
      </c>
      <c r="E10" s="84" t="n">
        <v>36923</v>
      </c>
      <c r="F10" s="84" t="n">
        <v>37287</v>
      </c>
      <c r="G10" s="82" t="s">
        <v>228</v>
      </c>
      <c r="H10" s="82" t="s">
        <v>229</v>
      </c>
      <c r="I10" s="83" t="s">
        <v>80</v>
      </c>
      <c r="J10" s="85" t="n">
        <f aca="false">6.285/J$1</f>
        <v>0.202741935483871</v>
      </c>
      <c r="K10" s="86"/>
      <c r="L10" s="86"/>
      <c r="M10" s="86"/>
      <c r="N10" s="86"/>
      <c r="O10" s="87"/>
      <c r="P10" s="86"/>
      <c r="Q10" s="88" t="n">
        <v>70357</v>
      </c>
      <c r="R10" s="83" t="n">
        <v>1</v>
      </c>
      <c r="S10" s="82" t="s">
        <v>230</v>
      </c>
      <c r="T10" s="90" t="n">
        <f aca="false">J10*J$1*R10</f>
        <v>6.285</v>
      </c>
      <c r="U10" s="91" t="n">
        <v>575478</v>
      </c>
      <c r="V10" s="82"/>
      <c r="W10" s="92"/>
      <c r="X10" s="92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</row>
    <row r="11" customFormat="false" ht="12.75" hidden="false" customHeight="false" outlineLevel="0" collapsed="false">
      <c r="A11" s="105"/>
      <c r="B11" s="54" t="s">
        <v>60</v>
      </c>
      <c r="C11" s="52" t="s">
        <v>223</v>
      </c>
      <c r="D11" s="52" t="s">
        <v>231</v>
      </c>
      <c r="E11" s="53" t="n">
        <v>36617</v>
      </c>
      <c r="F11" s="53" t="s">
        <v>232</v>
      </c>
      <c r="G11" s="54" t="s">
        <v>233</v>
      </c>
      <c r="H11" s="54"/>
      <c r="I11" s="52" t="s">
        <v>234</v>
      </c>
      <c r="J11" s="66"/>
      <c r="K11" s="57"/>
      <c r="L11" s="57"/>
      <c r="M11" s="57"/>
      <c r="N11" s="57"/>
      <c r="O11" s="58"/>
      <c r="P11" s="57"/>
      <c r="Q11" s="59" t="n">
        <v>66917</v>
      </c>
      <c r="R11" s="52"/>
      <c r="S11" s="54"/>
      <c r="T11" s="106" t="n">
        <f aca="false">J11*J$1*R11</f>
        <v>0</v>
      </c>
      <c r="U11" s="107" t="n">
        <v>228085</v>
      </c>
      <c r="V11" s="54"/>
      <c r="W11" s="80"/>
      <c r="X11" s="80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  <c r="DK11" s="105"/>
      <c r="DL11" s="105"/>
      <c r="DM11" s="105"/>
      <c r="DN11" s="105"/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105"/>
      <c r="DZ11" s="105"/>
      <c r="EA11" s="105"/>
      <c r="EB11" s="105"/>
      <c r="EC11" s="105"/>
      <c r="ED11" s="105"/>
      <c r="EE11" s="105"/>
      <c r="EF11" s="105"/>
      <c r="EG11" s="105"/>
      <c r="EH11" s="105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  <c r="EZ11" s="105"/>
      <c r="FA11" s="105"/>
      <c r="FB11" s="105"/>
      <c r="FC11" s="105"/>
      <c r="FD11" s="105"/>
      <c r="FE11" s="105"/>
      <c r="FF11" s="105"/>
      <c r="FG11" s="105"/>
      <c r="FH11" s="105"/>
      <c r="FI11" s="105"/>
      <c r="FJ11" s="105"/>
      <c r="FK11" s="105"/>
      <c r="FL11" s="105"/>
      <c r="FM11" s="105"/>
      <c r="FN11" s="105"/>
      <c r="FO11" s="105"/>
      <c r="FP11" s="105"/>
      <c r="FQ11" s="105"/>
      <c r="FR11" s="105"/>
      <c r="FS11" s="105"/>
      <c r="FT11" s="105"/>
      <c r="FU11" s="105"/>
      <c r="FV11" s="105"/>
      <c r="FW11" s="105"/>
      <c r="FX11" s="105"/>
      <c r="FY11" s="105"/>
      <c r="FZ11" s="105"/>
      <c r="GA11" s="105"/>
      <c r="GB11" s="105"/>
      <c r="GC11" s="105"/>
      <c r="GD11" s="105"/>
      <c r="GE11" s="105"/>
      <c r="GF11" s="105"/>
      <c r="GG11" s="105"/>
      <c r="GH11" s="105"/>
      <c r="GI11" s="105"/>
      <c r="GJ11" s="105"/>
      <c r="GK11" s="105"/>
      <c r="GL11" s="105"/>
      <c r="GM11" s="105"/>
      <c r="GN11" s="105"/>
      <c r="GO11" s="105"/>
      <c r="GP11" s="105"/>
      <c r="GQ11" s="105"/>
      <c r="GR11" s="105"/>
      <c r="GS11" s="105"/>
      <c r="GT11" s="105"/>
      <c r="GU11" s="105"/>
      <c r="GV11" s="105"/>
      <c r="GW11" s="105"/>
      <c r="GX11" s="105"/>
      <c r="GY11" s="105"/>
      <c r="GZ11" s="105"/>
      <c r="HA11" s="105"/>
      <c r="HB11" s="105"/>
      <c r="HC11" s="105"/>
      <c r="HD11" s="105"/>
      <c r="HE11" s="105"/>
      <c r="HF11" s="105"/>
      <c r="HG11" s="105"/>
      <c r="HH11" s="105"/>
      <c r="HI11" s="105"/>
      <c r="HJ11" s="105"/>
      <c r="HK11" s="105"/>
      <c r="HL11" s="105"/>
      <c r="HM11" s="105"/>
      <c r="HN11" s="105"/>
      <c r="HO11" s="105"/>
      <c r="HP11" s="105"/>
      <c r="HQ11" s="105"/>
      <c r="HR11" s="105"/>
      <c r="HS11" s="105"/>
      <c r="HT11" s="105"/>
      <c r="HU11" s="105"/>
      <c r="HV11" s="105"/>
      <c r="HW11" s="105"/>
      <c r="HX11" s="105"/>
      <c r="HY11" s="105"/>
      <c r="HZ11" s="105"/>
      <c r="IA11" s="105"/>
      <c r="IB11" s="105"/>
      <c r="IC11" s="105"/>
      <c r="ID11" s="105"/>
      <c r="IE11" s="105"/>
      <c r="IF11" s="105"/>
      <c r="IG11" s="105"/>
      <c r="IH11" s="105"/>
      <c r="II11" s="105"/>
      <c r="IJ11" s="105"/>
      <c r="IK11" s="105"/>
      <c r="IL11" s="105"/>
      <c r="IM11" s="105"/>
      <c r="IN11" s="105"/>
      <c r="IO11" s="105"/>
      <c r="IP11" s="105"/>
      <c r="IQ11" s="105"/>
      <c r="IR11" s="105"/>
      <c r="IS11" s="105"/>
      <c r="IT11" s="105"/>
      <c r="IU11" s="105"/>
      <c r="IV11" s="105"/>
      <c r="IW11" s="105"/>
    </row>
    <row r="12" customFormat="false" ht="12.75" hidden="false" customHeight="false" outlineLevel="0" collapsed="false">
      <c r="A12" s="81"/>
      <c r="B12" s="82" t="s">
        <v>60</v>
      </c>
      <c r="C12" s="83" t="s">
        <v>223</v>
      </c>
      <c r="D12" s="83" t="s">
        <v>31</v>
      </c>
      <c r="E12" s="84" t="n">
        <v>36617</v>
      </c>
      <c r="F12" s="84" t="n">
        <v>36981</v>
      </c>
      <c r="G12" s="82" t="s">
        <v>228</v>
      </c>
      <c r="H12" s="82" t="s">
        <v>235</v>
      </c>
      <c r="I12" s="83" t="s">
        <v>80</v>
      </c>
      <c r="J12" s="85" t="n">
        <f aca="false">6.431/$J$1</f>
        <v>0.207451612903226</v>
      </c>
      <c r="K12" s="86"/>
      <c r="L12" s="86"/>
      <c r="M12" s="86"/>
      <c r="N12" s="86"/>
      <c r="O12" s="87"/>
      <c r="P12" s="86"/>
      <c r="Q12" s="88" t="n">
        <v>66939</v>
      </c>
      <c r="R12" s="83" t="n">
        <v>3</v>
      </c>
      <c r="S12" s="82" t="s">
        <v>236</v>
      </c>
      <c r="T12" s="90" t="n">
        <f aca="false">J12*J$1*R12</f>
        <v>19.293</v>
      </c>
      <c r="U12" s="91"/>
      <c r="V12" s="82"/>
      <c r="W12" s="92"/>
      <c r="X12" s="92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</row>
    <row r="13" customFormat="false" ht="12.75" hidden="false" customHeight="false" outlineLevel="0" collapsed="false">
      <c r="A13" s="81"/>
      <c r="B13" s="82" t="s">
        <v>60</v>
      </c>
      <c r="C13" s="83" t="s">
        <v>223</v>
      </c>
      <c r="D13" s="83" t="s">
        <v>31</v>
      </c>
      <c r="E13" s="84" t="n">
        <v>36617</v>
      </c>
      <c r="F13" s="84" t="n">
        <v>36981</v>
      </c>
      <c r="G13" s="82" t="s">
        <v>228</v>
      </c>
      <c r="H13" s="82" t="s">
        <v>237</v>
      </c>
      <c r="I13" s="83" t="s">
        <v>80</v>
      </c>
      <c r="J13" s="85" t="n">
        <f aca="false">6.431/$J$1</f>
        <v>0.207451612903226</v>
      </c>
      <c r="K13" s="86"/>
      <c r="L13" s="86"/>
      <c r="M13" s="86"/>
      <c r="N13" s="86"/>
      <c r="O13" s="87"/>
      <c r="P13" s="86"/>
      <c r="Q13" s="88" t="n">
        <v>66939</v>
      </c>
      <c r="R13" s="83" t="n">
        <v>5</v>
      </c>
      <c r="S13" s="82" t="s">
        <v>236</v>
      </c>
      <c r="T13" s="90" t="n">
        <f aca="false">J13*J$1*R13</f>
        <v>32.155</v>
      </c>
      <c r="U13" s="91"/>
      <c r="V13" s="82"/>
      <c r="W13" s="92"/>
      <c r="X13" s="92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customFormat="false" ht="12.75" hidden="false" customHeight="false" outlineLevel="0" collapsed="false">
      <c r="A14" s="81"/>
      <c r="B14" s="82" t="s">
        <v>60</v>
      </c>
      <c r="C14" s="83" t="s">
        <v>223</v>
      </c>
      <c r="D14" s="83" t="s">
        <v>31</v>
      </c>
      <c r="E14" s="84" t="n">
        <v>36617</v>
      </c>
      <c r="F14" s="84" t="n">
        <v>36981</v>
      </c>
      <c r="G14" s="82" t="s">
        <v>228</v>
      </c>
      <c r="H14" s="82" t="s">
        <v>238</v>
      </c>
      <c r="I14" s="83" t="s">
        <v>80</v>
      </c>
      <c r="J14" s="85" t="n">
        <f aca="false">6.431/$J$1</f>
        <v>0.207451612903226</v>
      </c>
      <c r="K14" s="86"/>
      <c r="L14" s="86"/>
      <c r="M14" s="86"/>
      <c r="N14" s="86"/>
      <c r="O14" s="87"/>
      <c r="P14" s="86"/>
      <c r="Q14" s="88" t="n">
        <v>66939</v>
      </c>
      <c r="R14" s="83" t="n">
        <v>17</v>
      </c>
      <c r="S14" s="82" t="s">
        <v>236</v>
      </c>
      <c r="T14" s="90" t="n">
        <f aca="false">J14*J$1*R14</f>
        <v>109.327</v>
      </c>
      <c r="U14" s="91"/>
      <c r="V14" s="82"/>
      <c r="W14" s="92"/>
      <c r="X14" s="92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12.75" hidden="false" customHeight="false" outlineLevel="0" collapsed="false">
      <c r="A15" s="81"/>
      <c r="B15" s="82" t="s">
        <v>60</v>
      </c>
      <c r="C15" s="83" t="s">
        <v>223</v>
      </c>
      <c r="D15" s="83" t="s">
        <v>31</v>
      </c>
      <c r="E15" s="84" t="n">
        <v>36617</v>
      </c>
      <c r="F15" s="84" t="n">
        <v>36981</v>
      </c>
      <c r="G15" s="82" t="s">
        <v>228</v>
      </c>
      <c r="H15" s="82" t="s">
        <v>229</v>
      </c>
      <c r="I15" s="83" t="s">
        <v>80</v>
      </c>
      <c r="J15" s="85" t="n">
        <f aca="false">6.431/$J$1</f>
        <v>0.207451612903226</v>
      </c>
      <c r="K15" s="86"/>
      <c r="L15" s="86"/>
      <c r="M15" s="86"/>
      <c r="N15" s="86"/>
      <c r="O15" s="87"/>
      <c r="P15" s="86"/>
      <c r="Q15" s="88" t="n">
        <v>66939</v>
      </c>
      <c r="R15" s="83" t="n">
        <v>27</v>
      </c>
      <c r="S15" s="82" t="s">
        <v>236</v>
      </c>
      <c r="T15" s="90" t="n">
        <f aca="false">J15*J$1*R15</f>
        <v>173.637</v>
      </c>
      <c r="U15" s="91"/>
      <c r="V15" s="82"/>
      <c r="W15" s="92"/>
      <c r="X15" s="92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2.75" hidden="false" customHeight="false" outlineLevel="0" collapsed="false">
      <c r="A16" s="81"/>
      <c r="B16" s="82" t="s">
        <v>60</v>
      </c>
      <c r="C16" s="83" t="s">
        <v>223</v>
      </c>
      <c r="D16" s="83" t="s">
        <v>33</v>
      </c>
      <c r="E16" s="84" t="n">
        <v>36617</v>
      </c>
      <c r="F16" s="84" t="n">
        <v>36981</v>
      </c>
      <c r="G16" s="82" t="s">
        <v>239</v>
      </c>
      <c r="H16" s="82" t="s">
        <v>240</v>
      </c>
      <c r="I16" s="83" t="s">
        <v>80</v>
      </c>
      <c r="J16" s="85" t="n">
        <f aca="false">6.431/$J$1</f>
        <v>0.207451612903226</v>
      </c>
      <c r="K16" s="86"/>
      <c r="L16" s="86"/>
      <c r="M16" s="86"/>
      <c r="N16" s="86"/>
      <c r="O16" s="87"/>
      <c r="P16" s="86"/>
      <c r="Q16" s="88" t="n">
        <v>66940</v>
      </c>
      <c r="R16" s="83" t="n">
        <v>1</v>
      </c>
      <c r="S16" s="82" t="s">
        <v>241</v>
      </c>
      <c r="T16" s="90" t="n">
        <f aca="false">J16*J$1*R16</f>
        <v>6.431</v>
      </c>
      <c r="U16" s="91" t="n">
        <v>228134</v>
      </c>
      <c r="V16" s="82"/>
      <c r="W16" s="92"/>
      <c r="X16" s="92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2.75" hidden="false" customHeight="false" outlineLevel="0" collapsed="false">
      <c r="A17" s="81"/>
      <c r="B17" s="82" t="s">
        <v>60</v>
      </c>
      <c r="C17" s="83" t="s">
        <v>223</v>
      </c>
      <c r="D17" s="83" t="s">
        <v>33</v>
      </c>
      <c r="E17" s="84" t="n">
        <v>36617</v>
      </c>
      <c r="F17" s="84" t="n">
        <v>36981</v>
      </c>
      <c r="G17" s="82" t="s">
        <v>239</v>
      </c>
      <c r="H17" s="82" t="s">
        <v>242</v>
      </c>
      <c r="I17" s="83" t="s">
        <v>80</v>
      </c>
      <c r="J17" s="85" t="n">
        <f aca="false">6.431/$J$1</f>
        <v>0.207451612903226</v>
      </c>
      <c r="K17" s="86"/>
      <c r="L17" s="86"/>
      <c r="M17" s="86"/>
      <c r="N17" s="86"/>
      <c r="O17" s="87"/>
      <c r="P17" s="86"/>
      <c r="Q17" s="88" t="n">
        <v>66940</v>
      </c>
      <c r="R17" s="83" t="n">
        <v>1</v>
      </c>
      <c r="S17" s="82" t="s">
        <v>241</v>
      </c>
      <c r="T17" s="90" t="n">
        <f aca="false">J17*J$1*R17</f>
        <v>6.431</v>
      </c>
      <c r="U17" s="91" t="n">
        <v>228134</v>
      </c>
      <c r="V17" s="82"/>
      <c r="W17" s="92"/>
      <c r="X17" s="92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2.75" hidden="false" customHeight="false" outlineLevel="0" collapsed="false">
      <c r="A18" s="105"/>
      <c r="B18" s="54" t="s">
        <v>60</v>
      </c>
      <c r="C18" s="52" t="s">
        <v>223</v>
      </c>
      <c r="D18" s="52" t="s">
        <v>224</v>
      </c>
      <c r="E18" s="53" t="n">
        <v>36800</v>
      </c>
      <c r="F18" s="53" t="n">
        <v>36981</v>
      </c>
      <c r="G18" s="54" t="s">
        <v>225</v>
      </c>
      <c r="H18" s="54" t="s">
        <v>243</v>
      </c>
      <c r="I18" s="52" t="s">
        <v>244</v>
      </c>
      <c r="J18" s="85" t="n">
        <f aca="false">6.059/$J$1</f>
        <v>0.195451612903226</v>
      </c>
      <c r="K18" s="57" t="n">
        <v>0.013</v>
      </c>
      <c r="L18" s="57" t="n">
        <v>0.0022</v>
      </c>
      <c r="M18" s="57" t="n">
        <v>0.0072</v>
      </c>
      <c r="N18" s="57" t="n">
        <v>0</v>
      </c>
      <c r="O18" s="58" t="n">
        <v>0.02116</v>
      </c>
      <c r="P18" s="57" t="n">
        <f aca="false">SUM(J18:N18)</f>
        <v>0.217851612903226</v>
      </c>
      <c r="Q18" s="59" t="n">
        <v>67694</v>
      </c>
      <c r="R18" s="52" t="n">
        <v>108648</v>
      </c>
      <c r="S18" s="54" t="s">
        <v>110</v>
      </c>
      <c r="T18" s="106" t="n">
        <f aca="false">J18*J$1*R18</f>
        <v>658298.232</v>
      </c>
      <c r="U18" s="107" t="n">
        <v>231723</v>
      </c>
      <c r="V18" s="54"/>
      <c r="W18" s="80"/>
      <c r="X18" s="80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  <c r="DC18" s="105"/>
      <c r="DD18" s="105"/>
      <c r="DE18" s="105"/>
      <c r="DF18" s="105"/>
      <c r="DG18" s="105"/>
      <c r="DH18" s="105"/>
      <c r="DI18" s="105"/>
      <c r="DJ18" s="105"/>
      <c r="DK18" s="105"/>
      <c r="DL18" s="105"/>
      <c r="DM18" s="105"/>
      <c r="DN18" s="105"/>
      <c r="DO18" s="105"/>
      <c r="DP18" s="105"/>
      <c r="DQ18" s="105"/>
      <c r="DR18" s="105"/>
      <c r="DS18" s="105"/>
      <c r="DT18" s="105"/>
      <c r="DU18" s="105"/>
      <c r="DV18" s="105"/>
      <c r="DW18" s="105"/>
      <c r="DX18" s="105"/>
      <c r="DY18" s="105"/>
      <c r="DZ18" s="105"/>
      <c r="EA18" s="105"/>
      <c r="EB18" s="105"/>
      <c r="EC18" s="105"/>
      <c r="ED18" s="105"/>
      <c r="EE18" s="105"/>
      <c r="EF18" s="105"/>
      <c r="EG18" s="105"/>
      <c r="EH18" s="105"/>
      <c r="EI18" s="105"/>
      <c r="EJ18" s="105"/>
      <c r="EK18" s="105"/>
      <c r="EL18" s="105"/>
      <c r="EM18" s="105"/>
      <c r="EN18" s="105"/>
      <c r="EO18" s="105"/>
      <c r="EP18" s="105"/>
      <c r="EQ18" s="105"/>
      <c r="ER18" s="105"/>
      <c r="ES18" s="105"/>
      <c r="ET18" s="105"/>
      <c r="EU18" s="105"/>
      <c r="EV18" s="105"/>
      <c r="EW18" s="105"/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/>
      <c r="FI18" s="105"/>
      <c r="FJ18" s="105"/>
      <c r="FK18" s="105"/>
      <c r="FL18" s="105"/>
      <c r="FM18" s="105"/>
      <c r="FN18" s="105"/>
      <c r="FO18" s="105"/>
      <c r="FP18" s="105"/>
      <c r="FQ18" s="105"/>
      <c r="FR18" s="105"/>
      <c r="FS18" s="105"/>
      <c r="FT18" s="105"/>
      <c r="FU18" s="105"/>
      <c r="FV18" s="105"/>
      <c r="FW18" s="105"/>
      <c r="FX18" s="105"/>
      <c r="FY18" s="105"/>
      <c r="FZ18" s="105"/>
      <c r="GA18" s="105"/>
      <c r="GB18" s="105"/>
      <c r="GC18" s="105"/>
      <c r="GD18" s="105"/>
      <c r="GE18" s="105"/>
      <c r="GF18" s="105"/>
      <c r="GG18" s="105"/>
      <c r="GH18" s="105"/>
      <c r="GI18" s="105"/>
      <c r="GJ18" s="105"/>
      <c r="GK18" s="105"/>
      <c r="GL18" s="105"/>
      <c r="GM18" s="105"/>
      <c r="GN18" s="105"/>
      <c r="GO18" s="105"/>
      <c r="GP18" s="105"/>
      <c r="GQ18" s="105"/>
      <c r="GR18" s="105"/>
      <c r="GS18" s="105"/>
      <c r="GT18" s="105"/>
      <c r="GU18" s="105"/>
      <c r="GV18" s="105"/>
      <c r="GW18" s="105"/>
      <c r="GX18" s="105"/>
      <c r="GY18" s="105"/>
      <c r="GZ18" s="105"/>
      <c r="HA18" s="105"/>
      <c r="HB18" s="105"/>
      <c r="HC18" s="105"/>
      <c r="HD18" s="105"/>
      <c r="HE18" s="105"/>
      <c r="HF18" s="105"/>
      <c r="HG18" s="105"/>
      <c r="HH18" s="105"/>
      <c r="HI18" s="105"/>
      <c r="HJ18" s="105"/>
      <c r="HK18" s="105"/>
      <c r="HL18" s="105"/>
      <c r="HM18" s="105"/>
      <c r="HN18" s="105"/>
      <c r="HO18" s="105"/>
      <c r="HP18" s="105"/>
      <c r="HQ18" s="105"/>
      <c r="HR18" s="105"/>
      <c r="HS18" s="105"/>
      <c r="HT18" s="105"/>
      <c r="HU18" s="105"/>
      <c r="HV18" s="105"/>
      <c r="HW18" s="105"/>
      <c r="HX18" s="105"/>
      <c r="HY18" s="105"/>
      <c r="HZ18" s="105"/>
      <c r="IA18" s="105"/>
      <c r="IB18" s="105"/>
      <c r="IC18" s="105"/>
      <c r="ID18" s="105"/>
      <c r="IE18" s="105"/>
      <c r="IF18" s="105"/>
      <c r="IG18" s="105"/>
      <c r="IH18" s="105"/>
      <c r="II18" s="105"/>
      <c r="IJ18" s="105"/>
      <c r="IK18" s="105"/>
      <c r="IL18" s="105"/>
      <c r="IM18" s="105"/>
      <c r="IN18" s="105"/>
      <c r="IO18" s="105"/>
      <c r="IP18" s="105"/>
      <c r="IQ18" s="105"/>
      <c r="IR18" s="105"/>
      <c r="IS18" s="105"/>
      <c r="IT18" s="105"/>
      <c r="IU18" s="105"/>
      <c r="IV18" s="105"/>
      <c r="IW18" s="105"/>
    </row>
    <row r="19" customFormat="false" ht="12.75" hidden="false" customHeight="false" outlineLevel="0" collapsed="false">
      <c r="A19" s="105"/>
      <c r="B19" s="54" t="s">
        <v>60</v>
      </c>
      <c r="C19" s="52" t="s">
        <v>223</v>
      </c>
      <c r="D19" s="52" t="s">
        <v>224</v>
      </c>
      <c r="E19" s="53" t="n">
        <v>36617</v>
      </c>
      <c r="F19" s="53" t="n">
        <v>36981</v>
      </c>
      <c r="G19" s="54" t="s">
        <v>225</v>
      </c>
      <c r="H19" s="54" t="s">
        <v>152</v>
      </c>
      <c r="I19" s="52" t="s">
        <v>226</v>
      </c>
      <c r="J19" s="85" t="n">
        <v>1.524</v>
      </c>
      <c r="K19" s="57" t="n">
        <v>0</v>
      </c>
      <c r="L19" s="57" t="n">
        <v>0</v>
      </c>
      <c r="M19" s="57" t="n">
        <v>0</v>
      </c>
      <c r="N19" s="57" t="n">
        <v>0</v>
      </c>
      <c r="O19" s="58" t="n">
        <v>0</v>
      </c>
      <c r="P19" s="57" t="n">
        <f aca="false">SUM(J19:N19)</f>
        <v>1.524</v>
      </c>
      <c r="Q19" s="59" t="n">
        <v>67712</v>
      </c>
      <c r="R19" s="52" t="n">
        <v>108648</v>
      </c>
      <c r="S19" s="54" t="s">
        <v>245</v>
      </c>
      <c r="T19" s="106" t="n">
        <f aca="false">J19*R19</f>
        <v>165579.552</v>
      </c>
      <c r="U19" s="107" t="n">
        <v>235876</v>
      </c>
      <c r="V19" s="54" t="n">
        <v>231698</v>
      </c>
      <c r="W19" s="80"/>
      <c r="X19" s="80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2.75" hidden="false" customHeight="false" outlineLevel="0" collapsed="false">
      <c r="A20" s="105"/>
      <c r="B20" s="54" t="s">
        <v>60</v>
      </c>
      <c r="C20" s="52" t="s">
        <v>223</v>
      </c>
      <c r="D20" s="52" t="s">
        <v>224</v>
      </c>
      <c r="E20" s="53" t="n">
        <v>36617</v>
      </c>
      <c r="F20" s="53" t="n">
        <v>36981</v>
      </c>
      <c r="G20" s="54" t="s">
        <v>225</v>
      </c>
      <c r="H20" s="54" t="s">
        <v>151</v>
      </c>
      <c r="I20" s="52" t="s">
        <v>226</v>
      </c>
      <c r="J20" s="85" t="n">
        <v>0.0293</v>
      </c>
      <c r="K20" s="57" t="n">
        <v>0</v>
      </c>
      <c r="L20" s="57" t="n">
        <v>0</v>
      </c>
      <c r="M20" s="57" t="n">
        <v>0</v>
      </c>
      <c r="N20" s="57" t="n">
        <v>0</v>
      </c>
      <c r="O20" s="58" t="n">
        <v>0</v>
      </c>
      <c r="P20" s="57" t="n">
        <f aca="false">SUM(J20:N20)</f>
        <v>0.0293</v>
      </c>
      <c r="Q20" s="59" t="n">
        <v>67712</v>
      </c>
      <c r="R20" s="52" t="n">
        <v>6050607</v>
      </c>
      <c r="S20" s="54" t="s">
        <v>245</v>
      </c>
      <c r="T20" s="106" t="n">
        <f aca="false">J20*R20</f>
        <v>177282.7851</v>
      </c>
      <c r="U20" s="107" t="n">
        <v>235876</v>
      </c>
      <c r="V20" s="54" t="n">
        <v>231698</v>
      </c>
      <c r="W20" s="80"/>
      <c r="X20" s="80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5"/>
      <c r="CO20" s="105"/>
      <c r="CP20" s="105"/>
      <c r="CQ20" s="105"/>
      <c r="CR20" s="105"/>
      <c r="CS20" s="105"/>
      <c r="CT20" s="105"/>
      <c r="CU20" s="105"/>
      <c r="CV20" s="105"/>
      <c r="CW20" s="105"/>
      <c r="CX20" s="105"/>
      <c r="CY20" s="105"/>
      <c r="CZ20" s="105"/>
      <c r="DA20" s="105"/>
      <c r="DB20" s="105"/>
      <c r="DC20" s="105"/>
      <c r="DD20" s="105"/>
      <c r="DE20" s="105"/>
      <c r="DF20" s="105"/>
      <c r="DG20" s="105"/>
      <c r="DH20" s="105"/>
      <c r="DI20" s="105"/>
      <c r="DJ20" s="105"/>
      <c r="DK20" s="105"/>
      <c r="DL20" s="105"/>
      <c r="DM20" s="105"/>
      <c r="DN20" s="105"/>
      <c r="DO20" s="105"/>
      <c r="DP20" s="105"/>
      <c r="DQ20" s="105"/>
      <c r="DR20" s="105"/>
      <c r="DS20" s="105"/>
      <c r="DT20" s="105"/>
      <c r="DU20" s="105"/>
      <c r="DV20" s="105"/>
      <c r="DW20" s="105"/>
      <c r="DX20" s="105"/>
      <c r="DY20" s="105"/>
      <c r="DZ20" s="105"/>
      <c r="EA20" s="105"/>
      <c r="EB20" s="105"/>
      <c r="EC20" s="105"/>
      <c r="ED20" s="105"/>
      <c r="EE20" s="105"/>
      <c r="EF20" s="105"/>
      <c r="EG20" s="105"/>
      <c r="EH20" s="105"/>
      <c r="EI20" s="105"/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105"/>
      <c r="EV20" s="105"/>
      <c r="EW20" s="105"/>
      <c r="EX20" s="105"/>
      <c r="EY20" s="105"/>
      <c r="EZ20" s="105"/>
      <c r="FA20" s="105"/>
      <c r="FB20" s="105"/>
      <c r="FC20" s="105"/>
      <c r="FD20" s="105"/>
      <c r="FE20" s="105"/>
      <c r="FF20" s="105"/>
      <c r="FG20" s="105"/>
      <c r="FH20" s="105"/>
      <c r="FI20" s="105"/>
      <c r="FJ20" s="105"/>
      <c r="FK20" s="105"/>
      <c r="FL20" s="105"/>
      <c r="FM20" s="105"/>
      <c r="FN20" s="105"/>
      <c r="FO20" s="105"/>
      <c r="FP20" s="105"/>
      <c r="FQ20" s="105"/>
      <c r="FR20" s="105"/>
      <c r="FS20" s="105"/>
      <c r="FT20" s="105"/>
      <c r="FU20" s="105"/>
      <c r="FV20" s="105"/>
      <c r="FW20" s="105"/>
      <c r="FX20" s="105"/>
      <c r="FY20" s="105"/>
      <c r="FZ20" s="105"/>
      <c r="GA20" s="105"/>
      <c r="GB20" s="105"/>
      <c r="GC20" s="105"/>
      <c r="GD20" s="105"/>
      <c r="GE20" s="105"/>
      <c r="GF20" s="105"/>
      <c r="GG20" s="105"/>
      <c r="GH20" s="105"/>
      <c r="GI20" s="105"/>
      <c r="GJ20" s="105"/>
      <c r="GK20" s="105"/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5"/>
      <c r="HI20" s="105"/>
      <c r="HJ20" s="105"/>
      <c r="HK20" s="105"/>
      <c r="HL20" s="105"/>
      <c r="HM20" s="105"/>
      <c r="HN20" s="105"/>
      <c r="HO20" s="105"/>
      <c r="HP20" s="105"/>
      <c r="HQ20" s="105"/>
      <c r="HR20" s="105"/>
      <c r="HS20" s="105"/>
      <c r="HT20" s="105"/>
      <c r="HU20" s="105"/>
      <c r="HV20" s="105"/>
      <c r="HW20" s="105"/>
      <c r="HX20" s="105"/>
      <c r="HY20" s="105"/>
      <c r="HZ20" s="105"/>
      <c r="IA20" s="105"/>
      <c r="IB20" s="105"/>
      <c r="IC20" s="105"/>
      <c r="ID20" s="105"/>
      <c r="IE20" s="105"/>
      <c r="IF20" s="105"/>
      <c r="IG20" s="105"/>
      <c r="IH20" s="105"/>
      <c r="II20" s="105"/>
      <c r="IJ20" s="105"/>
      <c r="IK20" s="105"/>
      <c r="IL20" s="105"/>
      <c r="IM20" s="105"/>
      <c r="IN20" s="105"/>
      <c r="IO20" s="105"/>
      <c r="IP20" s="105"/>
      <c r="IQ20" s="105"/>
      <c r="IR20" s="105"/>
      <c r="IS20" s="105"/>
      <c r="IT20" s="105"/>
      <c r="IU20" s="105"/>
      <c r="IV20" s="105"/>
      <c r="IW20" s="105"/>
    </row>
    <row r="21" customFormat="false" ht="12.75" hidden="false" customHeight="false" outlineLevel="0" collapsed="false">
      <c r="A21" s="105"/>
      <c r="B21" s="54" t="s">
        <v>60</v>
      </c>
      <c r="C21" s="52" t="s">
        <v>223</v>
      </c>
      <c r="D21" s="52" t="s">
        <v>224</v>
      </c>
      <c r="E21" s="53" t="n">
        <v>36617</v>
      </c>
      <c r="F21" s="53" t="n">
        <v>36981</v>
      </c>
      <c r="G21" s="54" t="s">
        <v>225</v>
      </c>
      <c r="H21" s="54" t="s">
        <v>151</v>
      </c>
      <c r="I21" s="52" t="s">
        <v>226</v>
      </c>
      <c r="J21" s="66" t="n">
        <v>0</v>
      </c>
      <c r="K21" s="57" t="n">
        <v>0</v>
      </c>
      <c r="L21" s="57" t="n">
        <v>0</v>
      </c>
      <c r="M21" s="57" t="n">
        <v>0</v>
      </c>
      <c r="N21" s="57" t="n">
        <v>0</v>
      </c>
      <c r="O21" s="58" t="n">
        <v>0</v>
      </c>
      <c r="P21" s="57" t="n">
        <f aca="false">SUM(J21:N21)</f>
        <v>0</v>
      </c>
      <c r="Q21" s="59" t="n">
        <v>67713</v>
      </c>
      <c r="R21" s="52" t="n">
        <v>0</v>
      </c>
      <c r="S21" s="54" t="s">
        <v>246</v>
      </c>
      <c r="T21" s="106" t="n">
        <f aca="false">J21*R21</f>
        <v>0</v>
      </c>
      <c r="U21" s="107" t="n">
        <v>235876</v>
      </c>
      <c r="V21" s="54"/>
      <c r="W21" s="80"/>
      <c r="X21" s="80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  <c r="FW21" s="105"/>
      <c r="FX21" s="105"/>
      <c r="FY21" s="105"/>
      <c r="FZ21" s="105"/>
      <c r="GA21" s="105"/>
      <c r="GB21" s="105"/>
      <c r="GC21" s="105"/>
      <c r="GD21" s="105"/>
      <c r="GE21" s="105"/>
      <c r="GF21" s="105"/>
      <c r="GG21" s="105"/>
      <c r="GH21" s="105"/>
      <c r="GI21" s="105"/>
      <c r="GJ21" s="105"/>
      <c r="GK21" s="105"/>
      <c r="GL21" s="105"/>
      <c r="GM21" s="105"/>
      <c r="GN21" s="105"/>
      <c r="GO21" s="105"/>
      <c r="GP21" s="105"/>
      <c r="GQ21" s="105"/>
      <c r="GR21" s="105"/>
      <c r="GS21" s="105"/>
      <c r="GT21" s="105"/>
      <c r="GU21" s="105"/>
      <c r="GV21" s="105"/>
      <c r="GW21" s="105"/>
      <c r="GX21" s="105"/>
      <c r="GY21" s="105"/>
      <c r="GZ21" s="105"/>
      <c r="HA21" s="105"/>
      <c r="HB21" s="105"/>
      <c r="HC21" s="105"/>
      <c r="HD21" s="105"/>
      <c r="HE21" s="105"/>
      <c r="HF21" s="105"/>
      <c r="HG21" s="105"/>
      <c r="HH21" s="105"/>
      <c r="HI21" s="105"/>
      <c r="HJ21" s="105"/>
      <c r="HK21" s="105"/>
      <c r="HL21" s="105"/>
      <c r="HM21" s="105"/>
      <c r="HN21" s="105"/>
      <c r="HO21" s="105"/>
      <c r="HP21" s="105"/>
      <c r="HQ21" s="105"/>
      <c r="HR21" s="105"/>
      <c r="HS21" s="105"/>
      <c r="HT21" s="105"/>
      <c r="HU21" s="105"/>
      <c r="HV21" s="105"/>
      <c r="HW21" s="105"/>
      <c r="HX21" s="105"/>
      <c r="HY21" s="105"/>
      <c r="HZ21" s="105"/>
      <c r="IA21" s="105"/>
      <c r="IB21" s="105"/>
      <c r="IC21" s="105"/>
      <c r="ID21" s="105"/>
      <c r="IE21" s="105"/>
      <c r="IF21" s="105"/>
      <c r="IG21" s="105"/>
      <c r="IH21" s="105"/>
      <c r="II21" s="105"/>
      <c r="IJ21" s="105"/>
      <c r="IK21" s="105"/>
      <c r="IL21" s="105"/>
      <c r="IM21" s="105"/>
      <c r="IN21" s="105"/>
      <c r="IO21" s="105"/>
      <c r="IP21" s="105"/>
      <c r="IQ21" s="105"/>
      <c r="IR21" s="105"/>
      <c r="IS21" s="105"/>
      <c r="IT21" s="105"/>
      <c r="IU21" s="105"/>
      <c r="IV21" s="105"/>
      <c r="IW21" s="105"/>
    </row>
    <row r="22" customFormat="false" ht="12.75" hidden="false" customHeight="false" outlineLevel="0" collapsed="false">
      <c r="A22" s="105"/>
      <c r="B22" s="54" t="s">
        <v>60</v>
      </c>
      <c r="C22" s="52" t="s">
        <v>223</v>
      </c>
      <c r="D22" s="52" t="s">
        <v>224</v>
      </c>
      <c r="E22" s="53" t="n">
        <v>36617</v>
      </c>
      <c r="F22" s="53" t="n">
        <v>36981</v>
      </c>
      <c r="G22" s="54" t="s">
        <v>225</v>
      </c>
      <c r="H22" s="54" t="s">
        <v>152</v>
      </c>
      <c r="I22" s="52" t="s">
        <v>226</v>
      </c>
      <c r="J22" s="66" t="n">
        <v>0</v>
      </c>
      <c r="K22" s="57" t="n">
        <v>0</v>
      </c>
      <c r="L22" s="57" t="n">
        <v>0</v>
      </c>
      <c r="M22" s="57" t="n">
        <v>0</v>
      </c>
      <c r="N22" s="57" t="n">
        <v>0</v>
      </c>
      <c r="O22" s="58" t="n">
        <v>0</v>
      </c>
      <c r="P22" s="57" t="n">
        <f aca="false">SUM(J22:N22)</f>
        <v>0</v>
      </c>
      <c r="Q22" s="59" t="n">
        <v>67713</v>
      </c>
      <c r="R22" s="52" t="n">
        <v>0</v>
      </c>
      <c r="S22" s="54" t="s">
        <v>246</v>
      </c>
      <c r="T22" s="106" t="n">
        <f aca="false">J22*R22</f>
        <v>0</v>
      </c>
      <c r="U22" s="107" t="n">
        <v>235876</v>
      </c>
      <c r="V22" s="54"/>
      <c r="W22" s="80"/>
      <c r="X22" s="80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N22" s="105"/>
      <c r="DO22" s="105"/>
      <c r="DP22" s="105"/>
      <c r="DQ22" s="105"/>
      <c r="DR22" s="105"/>
      <c r="DS22" s="105"/>
      <c r="DT22" s="105"/>
      <c r="DU22" s="105"/>
      <c r="DV22" s="105"/>
      <c r="DW22" s="105"/>
      <c r="DX22" s="105"/>
      <c r="DY22" s="105"/>
      <c r="DZ22" s="105"/>
      <c r="EA22" s="105"/>
      <c r="EB22" s="105"/>
      <c r="EC22" s="105"/>
      <c r="ED22" s="105"/>
      <c r="EE22" s="105"/>
      <c r="EF22" s="105"/>
      <c r="EG22" s="105"/>
      <c r="EH22" s="105"/>
      <c r="EI22" s="105"/>
      <c r="EJ22" s="105"/>
      <c r="EK22" s="105"/>
      <c r="EL22" s="105"/>
      <c r="EM22" s="105"/>
      <c r="EN22" s="105"/>
      <c r="EO22" s="105"/>
      <c r="EP22" s="105"/>
      <c r="EQ22" s="105"/>
      <c r="ER22" s="105"/>
      <c r="ES22" s="105"/>
      <c r="ET22" s="105"/>
      <c r="EU22" s="105"/>
      <c r="EV22" s="105"/>
      <c r="EW22" s="105"/>
      <c r="EX22" s="105"/>
      <c r="EY22" s="105"/>
      <c r="EZ22" s="105"/>
      <c r="FA22" s="105"/>
      <c r="FB22" s="105"/>
      <c r="FC22" s="105"/>
      <c r="FD22" s="105"/>
      <c r="FE22" s="105"/>
      <c r="FF22" s="105"/>
      <c r="FG22" s="105"/>
      <c r="FH22" s="105"/>
      <c r="FI22" s="105"/>
      <c r="FJ22" s="105"/>
      <c r="FK22" s="105"/>
      <c r="FL22" s="105"/>
      <c r="FM22" s="105"/>
      <c r="FN22" s="105"/>
      <c r="FO22" s="105"/>
      <c r="FP22" s="105"/>
      <c r="FQ22" s="105"/>
      <c r="FR22" s="105"/>
      <c r="FS22" s="105"/>
      <c r="FT22" s="105"/>
      <c r="FU22" s="105"/>
      <c r="FV22" s="105"/>
      <c r="FW22" s="105"/>
      <c r="FX22" s="105"/>
      <c r="FY22" s="105"/>
      <c r="FZ22" s="105"/>
      <c r="GA22" s="105"/>
      <c r="GB22" s="105"/>
      <c r="GC22" s="105"/>
      <c r="GD22" s="105"/>
      <c r="GE22" s="105"/>
      <c r="GF22" s="105"/>
      <c r="GG22" s="105"/>
      <c r="GH22" s="105"/>
      <c r="GI22" s="105"/>
      <c r="GJ22" s="105"/>
      <c r="GK22" s="105"/>
      <c r="GL22" s="105"/>
      <c r="GM22" s="105"/>
      <c r="GN22" s="105"/>
      <c r="GO22" s="105"/>
      <c r="GP22" s="105"/>
      <c r="GQ22" s="105"/>
      <c r="GR22" s="105"/>
      <c r="GS22" s="105"/>
      <c r="GT22" s="105"/>
      <c r="GU22" s="105"/>
      <c r="GV22" s="105"/>
      <c r="GW22" s="105"/>
      <c r="GX22" s="105"/>
      <c r="GY22" s="105"/>
      <c r="GZ22" s="105"/>
      <c r="HA22" s="105"/>
      <c r="HB22" s="105"/>
      <c r="HC22" s="105"/>
      <c r="HD22" s="105"/>
      <c r="HE22" s="105"/>
      <c r="HF22" s="105"/>
      <c r="HG22" s="105"/>
      <c r="HH22" s="105"/>
      <c r="HI22" s="105"/>
      <c r="HJ22" s="105"/>
      <c r="HK22" s="105"/>
      <c r="HL22" s="105"/>
      <c r="HM22" s="105"/>
      <c r="HN22" s="105"/>
      <c r="HO22" s="105"/>
      <c r="HP22" s="105"/>
      <c r="HQ22" s="105"/>
      <c r="HR22" s="105"/>
      <c r="HS22" s="105"/>
      <c r="HT22" s="105"/>
      <c r="HU22" s="105"/>
      <c r="HV22" s="105"/>
      <c r="HW22" s="105"/>
      <c r="HX22" s="105"/>
      <c r="HY22" s="105"/>
      <c r="HZ22" s="105"/>
      <c r="IA22" s="105"/>
      <c r="IB22" s="105"/>
      <c r="IC22" s="105"/>
      <c r="ID22" s="105"/>
      <c r="IE22" s="105"/>
      <c r="IF22" s="105"/>
      <c r="IG22" s="105"/>
      <c r="IH22" s="105"/>
      <c r="II22" s="105"/>
      <c r="IJ22" s="105"/>
      <c r="IK22" s="105"/>
      <c r="IL22" s="105"/>
      <c r="IM22" s="105"/>
      <c r="IN22" s="105"/>
      <c r="IO22" s="105"/>
      <c r="IP22" s="105"/>
      <c r="IQ22" s="105"/>
      <c r="IR22" s="105"/>
      <c r="IS22" s="105"/>
      <c r="IT22" s="105"/>
      <c r="IU22" s="105"/>
      <c r="IV22" s="105"/>
      <c r="IW22" s="105"/>
    </row>
    <row r="23" customFormat="false" ht="12.75" hidden="false" customHeight="false" outlineLevel="0" collapsed="false">
      <c r="A23" s="81"/>
      <c r="B23" s="82" t="s">
        <v>60</v>
      </c>
      <c r="C23" s="83" t="s">
        <v>223</v>
      </c>
      <c r="D23" s="83" t="s">
        <v>33</v>
      </c>
      <c r="E23" s="84" t="n">
        <v>36647</v>
      </c>
      <c r="F23" s="84" t="n">
        <v>37011</v>
      </c>
      <c r="G23" s="82" t="s">
        <v>247</v>
      </c>
      <c r="H23" s="82" t="s">
        <v>248</v>
      </c>
      <c r="I23" s="83" t="s">
        <v>80</v>
      </c>
      <c r="J23" s="85" t="n">
        <f aca="false">6.431/$J$1</f>
        <v>0.207451612903226</v>
      </c>
      <c r="K23" s="86"/>
      <c r="L23" s="86"/>
      <c r="M23" s="86"/>
      <c r="N23" s="86"/>
      <c r="O23" s="87"/>
      <c r="P23" s="86"/>
      <c r="Q23" s="88" t="n">
        <v>68188</v>
      </c>
      <c r="R23" s="83" t="n">
        <v>1</v>
      </c>
      <c r="S23" s="82" t="s">
        <v>249</v>
      </c>
      <c r="T23" s="90" t="n">
        <f aca="false">J23*J$1*R23</f>
        <v>6.431</v>
      </c>
      <c r="U23" s="91" t="n">
        <v>253195</v>
      </c>
      <c r="V23" s="82"/>
      <c r="W23" s="92"/>
      <c r="X23" s="92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2.75" hidden="false" customHeight="false" outlineLevel="0" collapsed="false">
      <c r="A24" s="160"/>
      <c r="B24" s="133" t="s">
        <v>60</v>
      </c>
      <c r="C24" s="129" t="s">
        <v>223</v>
      </c>
      <c r="D24" s="129" t="s">
        <v>34</v>
      </c>
      <c r="E24" s="161" t="n">
        <v>36647</v>
      </c>
      <c r="F24" s="161" t="n">
        <v>37011</v>
      </c>
      <c r="G24" s="133" t="s">
        <v>228</v>
      </c>
      <c r="H24" s="133" t="s">
        <v>250</v>
      </c>
      <c r="I24" s="129" t="s">
        <v>80</v>
      </c>
      <c r="J24" s="85" t="n">
        <f aca="false">6.431/$J$1</f>
        <v>0.207451612903226</v>
      </c>
      <c r="K24" s="162"/>
      <c r="L24" s="162"/>
      <c r="M24" s="162"/>
      <c r="N24" s="162"/>
      <c r="O24" s="163"/>
      <c r="P24" s="162"/>
      <c r="Q24" s="164" t="n">
        <v>68257</v>
      </c>
      <c r="R24" s="129" t="n">
        <v>21</v>
      </c>
      <c r="S24" s="133" t="s">
        <v>251</v>
      </c>
      <c r="T24" s="90" t="n">
        <f aca="false">J24*J$1*R24</f>
        <v>135.051</v>
      </c>
      <c r="U24" s="136" t="n">
        <v>254718</v>
      </c>
      <c r="V24" s="133"/>
      <c r="W24" s="137"/>
      <c r="X24" s="137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  <c r="FW24" s="160"/>
      <c r="FX24" s="160"/>
      <c r="FY24" s="160"/>
      <c r="FZ24" s="160"/>
      <c r="GA24" s="160"/>
      <c r="GB24" s="160"/>
      <c r="GC24" s="160"/>
      <c r="GD24" s="160"/>
      <c r="GE24" s="160"/>
      <c r="GF24" s="160"/>
      <c r="GG24" s="160"/>
      <c r="GH24" s="160"/>
      <c r="GI24" s="160"/>
      <c r="GJ24" s="160"/>
      <c r="GK24" s="160"/>
      <c r="GL24" s="160"/>
      <c r="GM24" s="160"/>
      <c r="GN24" s="160"/>
      <c r="GO24" s="160"/>
      <c r="GP24" s="160"/>
      <c r="GQ24" s="160"/>
      <c r="GR24" s="160"/>
      <c r="GS24" s="160"/>
      <c r="GT24" s="160"/>
      <c r="GU24" s="160"/>
      <c r="GV24" s="160"/>
      <c r="GW24" s="160"/>
      <c r="GX24" s="160"/>
      <c r="GY24" s="160"/>
      <c r="GZ24" s="160"/>
      <c r="HA24" s="160"/>
      <c r="HB24" s="160"/>
      <c r="HC24" s="160"/>
      <c r="HD24" s="160"/>
      <c r="HE24" s="160"/>
      <c r="HF24" s="160"/>
      <c r="HG24" s="160"/>
      <c r="HH24" s="160"/>
      <c r="HI24" s="160"/>
      <c r="HJ24" s="160"/>
      <c r="HK24" s="160"/>
      <c r="HL24" s="160"/>
      <c r="HM24" s="160"/>
      <c r="HN24" s="160"/>
      <c r="HO24" s="160"/>
      <c r="HP24" s="160"/>
      <c r="HQ24" s="160"/>
      <c r="HR24" s="160"/>
      <c r="HS24" s="160"/>
      <c r="HT24" s="160"/>
      <c r="HU24" s="160"/>
      <c r="HV24" s="160"/>
      <c r="HW24" s="160"/>
      <c r="HX24" s="160"/>
      <c r="HY24" s="160"/>
      <c r="HZ24" s="160"/>
      <c r="IA24" s="160"/>
      <c r="IB24" s="160"/>
      <c r="IC24" s="160"/>
      <c r="ID24" s="160"/>
      <c r="IE24" s="160"/>
      <c r="IF24" s="160"/>
      <c r="IG24" s="160"/>
      <c r="IH24" s="160"/>
      <c r="II24" s="160"/>
      <c r="IJ24" s="160"/>
      <c r="IK24" s="160"/>
      <c r="IL24" s="160"/>
      <c r="IM24" s="160"/>
      <c r="IN24" s="160"/>
      <c r="IO24" s="160"/>
      <c r="IP24" s="160"/>
      <c r="IQ24" s="160"/>
      <c r="IR24" s="160"/>
      <c r="IS24" s="160"/>
      <c r="IT24" s="160"/>
      <c r="IU24" s="160"/>
      <c r="IV24" s="160"/>
      <c r="IW24" s="160"/>
    </row>
    <row r="25" customFormat="false" ht="12.75" hidden="false" customHeight="false" outlineLevel="0" collapsed="false">
      <c r="A25" s="81"/>
      <c r="B25" s="82" t="s">
        <v>60</v>
      </c>
      <c r="C25" s="83" t="s">
        <v>223</v>
      </c>
      <c r="D25" s="83" t="s">
        <v>31</v>
      </c>
      <c r="E25" s="84" t="n">
        <v>36656</v>
      </c>
      <c r="F25" s="84" t="n">
        <v>36950</v>
      </c>
      <c r="G25" s="82" t="s">
        <v>228</v>
      </c>
      <c r="H25" s="82" t="s">
        <v>229</v>
      </c>
      <c r="I25" s="83" t="s">
        <v>80</v>
      </c>
      <c r="J25" s="85" t="n">
        <f aca="false">6.431/$J$1</f>
        <v>0.207451612903226</v>
      </c>
      <c r="K25" s="86"/>
      <c r="L25" s="86"/>
      <c r="M25" s="86"/>
      <c r="N25" s="86"/>
      <c r="O25" s="87"/>
      <c r="P25" s="86"/>
      <c r="Q25" s="88" t="n">
        <v>68308</v>
      </c>
      <c r="R25" s="83" t="n">
        <v>4</v>
      </c>
      <c r="S25" s="82" t="s">
        <v>252</v>
      </c>
      <c r="T25" s="90" t="n">
        <f aca="false">J25*J$1*R25</f>
        <v>25.724</v>
      </c>
      <c r="U25" s="91" t="n">
        <v>262094</v>
      </c>
      <c r="V25" s="82"/>
      <c r="W25" s="92"/>
      <c r="X25" s="92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12.75" hidden="false" customHeight="false" outlineLevel="0" collapsed="false">
      <c r="A26" s="81"/>
      <c r="B26" s="82" t="s">
        <v>60</v>
      </c>
      <c r="C26" s="83" t="s">
        <v>223</v>
      </c>
      <c r="D26" s="83" t="s">
        <v>31</v>
      </c>
      <c r="E26" s="84" t="n">
        <v>36656</v>
      </c>
      <c r="F26" s="84" t="n">
        <v>36950</v>
      </c>
      <c r="G26" s="82" t="s">
        <v>228</v>
      </c>
      <c r="H26" s="82" t="s">
        <v>237</v>
      </c>
      <c r="I26" s="83" t="s">
        <v>80</v>
      </c>
      <c r="J26" s="85" t="n">
        <f aca="false">6.431/$J$1</f>
        <v>0.207451612903226</v>
      </c>
      <c r="K26" s="86"/>
      <c r="L26" s="86"/>
      <c r="M26" s="86"/>
      <c r="N26" s="86"/>
      <c r="O26" s="87"/>
      <c r="P26" s="86"/>
      <c r="Q26" s="88" t="n">
        <v>68308</v>
      </c>
      <c r="R26" s="83" t="n">
        <v>5</v>
      </c>
      <c r="S26" s="82" t="s">
        <v>252</v>
      </c>
      <c r="T26" s="90" t="n">
        <f aca="false">J26*J$1*R26</f>
        <v>32.155</v>
      </c>
      <c r="U26" s="91" t="n">
        <v>262094</v>
      </c>
      <c r="V26" s="82"/>
      <c r="W26" s="92"/>
      <c r="X26" s="92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12.75" hidden="false" customHeight="false" outlineLevel="0" collapsed="false">
      <c r="A27" s="81"/>
      <c r="B27" s="82" t="s">
        <v>60</v>
      </c>
      <c r="C27" s="83" t="s">
        <v>223</v>
      </c>
      <c r="D27" s="83" t="s">
        <v>253</v>
      </c>
      <c r="E27" s="84" t="n">
        <v>36678</v>
      </c>
      <c r="F27" s="84" t="n">
        <v>37042</v>
      </c>
      <c r="G27" s="82" t="s">
        <v>254</v>
      </c>
      <c r="H27" s="82" t="s">
        <v>255</v>
      </c>
      <c r="I27" s="83" t="s">
        <v>80</v>
      </c>
      <c r="J27" s="85" t="n">
        <f aca="false">6.431/$J$1</f>
        <v>0.207451612903226</v>
      </c>
      <c r="K27" s="86" t="n">
        <v>0.0132</v>
      </c>
      <c r="L27" s="86" t="n">
        <v>0.0022</v>
      </c>
      <c r="M27" s="86" t="n">
        <v>0.0072</v>
      </c>
      <c r="N27" s="86" t="n">
        <v>0</v>
      </c>
      <c r="O27" s="87" t="n">
        <v>0.02116</v>
      </c>
      <c r="P27" s="86" t="n">
        <f aca="false">SUM(J27:N27)</f>
        <v>0.230051612903226</v>
      </c>
      <c r="Q27" s="88" t="n">
        <v>68359</v>
      </c>
      <c r="R27" s="83" t="n">
        <v>285</v>
      </c>
      <c r="S27" s="82" t="s">
        <v>256</v>
      </c>
      <c r="T27" s="90" t="n">
        <f aca="false">J27*J$1*R27</f>
        <v>1832.835</v>
      </c>
      <c r="U27" s="91" t="n">
        <v>271307</v>
      </c>
      <c r="V27" s="82"/>
      <c r="W27" s="92"/>
      <c r="X27" s="92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</row>
    <row r="28" customFormat="false" ht="12.75" hidden="false" customHeight="false" outlineLevel="0" collapsed="false">
      <c r="A28" s="81"/>
      <c r="B28" s="82" t="s">
        <v>60</v>
      </c>
      <c r="C28" s="83" t="s">
        <v>223</v>
      </c>
      <c r="D28" s="83" t="s">
        <v>257</v>
      </c>
      <c r="E28" s="84" t="n">
        <v>36678</v>
      </c>
      <c r="F28" s="84" t="n">
        <v>37042</v>
      </c>
      <c r="G28" s="82" t="s">
        <v>254</v>
      </c>
      <c r="H28" s="82" t="s">
        <v>258</v>
      </c>
      <c r="I28" s="83" t="s">
        <v>80</v>
      </c>
      <c r="J28" s="85" t="n">
        <f aca="false">6.431/$J$1</f>
        <v>0.207451612903226</v>
      </c>
      <c r="K28" s="86" t="n">
        <v>0.0132</v>
      </c>
      <c r="L28" s="86" t="n">
        <v>0.0022</v>
      </c>
      <c r="M28" s="86" t="n">
        <v>0.0072</v>
      </c>
      <c r="N28" s="86" t="n">
        <v>0</v>
      </c>
      <c r="O28" s="87" t="n">
        <v>0.02116</v>
      </c>
      <c r="P28" s="86" t="n">
        <f aca="false">SUM(J28:N28)</f>
        <v>0.230051612903226</v>
      </c>
      <c r="Q28" s="88" t="n">
        <v>68384</v>
      </c>
      <c r="R28" s="83" t="n">
        <v>23</v>
      </c>
      <c r="S28" s="82" t="s">
        <v>259</v>
      </c>
      <c r="T28" s="90" t="n">
        <f aca="false">J28*J$1*R28</f>
        <v>147.913</v>
      </c>
      <c r="U28" s="91" t="n">
        <v>280570</v>
      </c>
      <c r="V28" s="82"/>
      <c r="W28" s="92"/>
      <c r="X28" s="92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</row>
    <row r="29" customFormat="false" ht="12.75" hidden="false" customHeight="false" outlineLevel="0" collapsed="false">
      <c r="A29" s="81"/>
      <c r="B29" s="82" t="s">
        <v>60</v>
      </c>
      <c r="C29" s="83" t="s">
        <v>223</v>
      </c>
      <c r="D29" s="83" t="s">
        <v>257</v>
      </c>
      <c r="E29" s="84" t="n">
        <v>36678</v>
      </c>
      <c r="F29" s="84" t="n">
        <v>37042</v>
      </c>
      <c r="G29" s="82" t="s">
        <v>254</v>
      </c>
      <c r="H29" s="82" t="s">
        <v>260</v>
      </c>
      <c r="I29" s="83" t="s">
        <v>80</v>
      </c>
      <c r="J29" s="85" t="n">
        <f aca="false">6.431/$J$1</f>
        <v>0.207451612903226</v>
      </c>
      <c r="K29" s="86" t="n">
        <v>0.0132</v>
      </c>
      <c r="L29" s="86" t="n">
        <v>0.0022</v>
      </c>
      <c r="M29" s="86" t="n">
        <v>0.0072</v>
      </c>
      <c r="N29" s="86" t="n">
        <v>0</v>
      </c>
      <c r="O29" s="87" t="n">
        <v>0.02116</v>
      </c>
      <c r="P29" s="86" t="n">
        <f aca="false">SUM(J29:N29)</f>
        <v>0.230051612903226</v>
      </c>
      <c r="Q29" s="88" t="n">
        <v>68384</v>
      </c>
      <c r="R29" s="83" t="n">
        <v>88</v>
      </c>
      <c r="S29" s="82" t="s">
        <v>259</v>
      </c>
      <c r="T29" s="90" t="n">
        <f aca="false">J29*J$1*R29</f>
        <v>565.928</v>
      </c>
      <c r="U29" s="91" t="n">
        <v>280570</v>
      </c>
      <c r="V29" s="82"/>
      <c r="W29" s="92"/>
      <c r="X29" s="92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</row>
    <row r="30" customFormat="false" ht="12.75" hidden="false" customHeight="false" outlineLevel="0" collapsed="false">
      <c r="A30" s="81"/>
      <c r="B30" s="82" t="s">
        <v>60</v>
      </c>
      <c r="C30" s="83" t="s">
        <v>223</v>
      </c>
      <c r="D30" s="83" t="s">
        <v>257</v>
      </c>
      <c r="E30" s="84" t="n">
        <v>36678</v>
      </c>
      <c r="F30" s="84" t="n">
        <v>37042</v>
      </c>
      <c r="G30" s="82" t="s">
        <v>254</v>
      </c>
      <c r="H30" s="82" t="s">
        <v>261</v>
      </c>
      <c r="I30" s="83" t="s">
        <v>80</v>
      </c>
      <c r="J30" s="85" t="n">
        <f aca="false">6.431/$J$1</f>
        <v>0.207451612903226</v>
      </c>
      <c r="K30" s="86" t="n">
        <v>0.0132</v>
      </c>
      <c r="L30" s="86" t="n">
        <v>0.0022</v>
      </c>
      <c r="M30" s="86" t="n">
        <v>0.0072</v>
      </c>
      <c r="N30" s="86" t="n">
        <v>0</v>
      </c>
      <c r="O30" s="87" t="n">
        <v>0.02116</v>
      </c>
      <c r="P30" s="86" t="n">
        <f aca="false">SUM(J30:N30)</f>
        <v>0.230051612903226</v>
      </c>
      <c r="Q30" s="88" t="n">
        <v>68384</v>
      </c>
      <c r="R30" s="83" t="n">
        <v>19</v>
      </c>
      <c r="S30" s="82" t="s">
        <v>259</v>
      </c>
      <c r="T30" s="90" t="n">
        <f aca="false">J30*J$1*R30</f>
        <v>122.189</v>
      </c>
      <c r="U30" s="91" t="n">
        <v>280570</v>
      </c>
      <c r="V30" s="82"/>
      <c r="W30" s="92"/>
      <c r="X30" s="92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</row>
    <row r="31" customFormat="false" ht="12.75" hidden="false" customHeight="false" outlineLevel="0" collapsed="false">
      <c r="A31" s="81"/>
      <c r="B31" s="82" t="s">
        <v>60</v>
      </c>
      <c r="C31" s="83" t="s">
        <v>223</v>
      </c>
      <c r="D31" s="83" t="s">
        <v>257</v>
      </c>
      <c r="E31" s="84" t="n">
        <v>36678</v>
      </c>
      <c r="F31" s="84" t="n">
        <v>37042</v>
      </c>
      <c r="G31" s="82" t="s">
        <v>254</v>
      </c>
      <c r="H31" s="82" t="s">
        <v>238</v>
      </c>
      <c r="I31" s="83" t="s">
        <v>80</v>
      </c>
      <c r="J31" s="85" t="n">
        <f aca="false">6.431/$J$1</f>
        <v>0.207451612903226</v>
      </c>
      <c r="K31" s="86" t="n">
        <v>0.0132</v>
      </c>
      <c r="L31" s="86" t="n">
        <v>0.0022</v>
      </c>
      <c r="M31" s="86" t="n">
        <v>0.0072</v>
      </c>
      <c r="N31" s="86" t="n">
        <v>0</v>
      </c>
      <c r="O31" s="87" t="n">
        <v>0.02116</v>
      </c>
      <c r="P31" s="86" t="n">
        <f aca="false">SUM(J31:N31)</f>
        <v>0.230051612903226</v>
      </c>
      <c r="Q31" s="88" t="n">
        <v>68384</v>
      </c>
      <c r="R31" s="83" t="n">
        <v>88</v>
      </c>
      <c r="S31" s="82" t="s">
        <v>259</v>
      </c>
      <c r="T31" s="90" t="n">
        <f aca="false">J31*J$1*R31</f>
        <v>565.928</v>
      </c>
      <c r="U31" s="91" t="n">
        <v>280570</v>
      </c>
      <c r="V31" s="82"/>
      <c r="W31" s="92"/>
      <c r="X31" s="92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</row>
    <row r="32" customFormat="false" ht="12.75" hidden="false" customHeight="false" outlineLevel="0" collapsed="false">
      <c r="A32" s="81"/>
      <c r="B32" s="82" t="s">
        <v>60</v>
      </c>
      <c r="C32" s="83" t="s">
        <v>223</v>
      </c>
      <c r="D32" s="83" t="s">
        <v>253</v>
      </c>
      <c r="E32" s="84" t="n">
        <v>36708</v>
      </c>
      <c r="F32" s="84" t="n">
        <v>37072</v>
      </c>
      <c r="G32" s="82" t="s">
        <v>254</v>
      </c>
      <c r="H32" s="82" t="s">
        <v>250</v>
      </c>
      <c r="I32" s="83" t="s">
        <v>80</v>
      </c>
      <c r="J32" s="85" t="n">
        <f aca="false">6.431/$J$1</f>
        <v>0.207451612903226</v>
      </c>
      <c r="K32" s="86" t="n">
        <v>0.0132</v>
      </c>
      <c r="L32" s="86" t="n">
        <v>0.0022</v>
      </c>
      <c r="M32" s="86" t="n">
        <v>0.0072</v>
      </c>
      <c r="N32" s="86" t="n">
        <v>0</v>
      </c>
      <c r="O32" s="87" t="n">
        <v>0.02116</v>
      </c>
      <c r="P32" s="86" t="n">
        <f aca="false">SUM(J32:N32)</f>
        <v>0.230051612903226</v>
      </c>
      <c r="Q32" s="88" t="n">
        <v>68616</v>
      </c>
      <c r="R32" s="83" t="n">
        <v>900</v>
      </c>
      <c r="S32" s="82" t="s">
        <v>262</v>
      </c>
      <c r="T32" s="90" t="n">
        <f aca="false">J32*J$1*R32</f>
        <v>5787.9</v>
      </c>
      <c r="U32" s="91" t="n">
        <v>309723</v>
      </c>
      <c r="V32" s="82" t="s">
        <v>263</v>
      </c>
      <c r="W32" s="92"/>
      <c r="X32" s="92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</row>
    <row r="33" customFormat="false" ht="12.75" hidden="false" customHeight="false" outlineLevel="0" collapsed="false">
      <c r="A33" s="81"/>
      <c r="B33" s="82" t="s">
        <v>60</v>
      </c>
      <c r="C33" s="83" t="s">
        <v>223</v>
      </c>
      <c r="D33" s="83" t="s">
        <v>257</v>
      </c>
      <c r="E33" s="84" t="n">
        <v>36708</v>
      </c>
      <c r="F33" s="84" t="n">
        <v>37072</v>
      </c>
      <c r="G33" s="82" t="s">
        <v>254</v>
      </c>
      <c r="H33" s="82" t="s">
        <v>258</v>
      </c>
      <c r="I33" s="83" t="s">
        <v>80</v>
      </c>
      <c r="J33" s="85" t="n">
        <f aca="false">6.431/$J$1</f>
        <v>0.207451612903226</v>
      </c>
      <c r="K33" s="86" t="n">
        <v>0.0132</v>
      </c>
      <c r="L33" s="86" t="n">
        <v>0.0022</v>
      </c>
      <c r="M33" s="86" t="n">
        <v>0.0072</v>
      </c>
      <c r="N33" s="86" t="n">
        <v>0</v>
      </c>
      <c r="O33" s="87" t="n">
        <v>0.02116</v>
      </c>
      <c r="P33" s="86" t="n">
        <f aca="false">SUM(J33:N33)</f>
        <v>0.230051612903226</v>
      </c>
      <c r="Q33" s="88" t="n">
        <v>68635</v>
      </c>
      <c r="R33" s="83" t="n">
        <v>1</v>
      </c>
      <c r="S33" s="82" t="s">
        <v>264</v>
      </c>
      <c r="T33" s="90" t="n">
        <f aca="false">J33*J$1*R33</f>
        <v>6.431</v>
      </c>
      <c r="U33" s="91" t="n">
        <v>312333</v>
      </c>
      <c r="V33" s="82"/>
      <c r="W33" s="92"/>
      <c r="X33" s="92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12.75" hidden="false" customHeight="false" outlineLevel="0" collapsed="false">
      <c r="A34" s="81"/>
      <c r="B34" s="82" t="s">
        <v>60</v>
      </c>
      <c r="C34" s="83" t="s">
        <v>223</v>
      </c>
      <c r="D34" s="83" t="s">
        <v>79</v>
      </c>
      <c r="E34" s="84" t="n">
        <v>36831</v>
      </c>
      <c r="F34" s="84" t="n">
        <v>37195</v>
      </c>
      <c r="G34" s="82" t="s">
        <v>265</v>
      </c>
      <c r="H34" s="82" t="s">
        <v>266</v>
      </c>
      <c r="I34" s="83" t="s">
        <v>80</v>
      </c>
      <c r="J34" s="85" t="n">
        <f aca="false">5.171/J$1</f>
        <v>0.166806451612903</v>
      </c>
      <c r="K34" s="86" t="n">
        <v>0.0132</v>
      </c>
      <c r="L34" s="86" t="n">
        <v>0.0022</v>
      </c>
      <c r="M34" s="86" t="n">
        <v>0.0072</v>
      </c>
      <c r="N34" s="86" t="n">
        <v>0</v>
      </c>
      <c r="O34" s="87" t="n">
        <v>0.02116</v>
      </c>
      <c r="P34" s="86" t="n">
        <f aca="false">SUM(J34:N34)</f>
        <v>0.189406451612903</v>
      </c>
      <c r="Q34" s="88" t="n">
        <v>68915</v>
      </c>
      <c r="R34" s="83" t="n">
        <v>2400</v>
      </c>
      <c r="S34" s="82" t="s">
        <v>267</v>
      </c>
      <c r="T34" s="90" t="n">
        <f aca="false">J34*J$1*R34</f>
        <v>12410.4</v>
      </c>
      <c r="U34" s="91" t="s">
        <v>268</v>
      </c>
      <c r="V34" s="82"/>
      <c r="W34" s="92"/>
      <c r="X34" s="92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12.75" hidden="false" customHeight="false" outlineLevel="0" collapsed="false">
      <c r="A35" s="81"/>
      <c r="B35" s="82" t="s">
        <v>60</v>
      </c>
      <c r="C35" s="83" t="s">
        <v>223</v>
      </c>
      <c r="D35" s="83" t="s">
        <v>79</v>
      </c>
      <c r="E35" s="84" t="n">
        <v>36831</v>
      </c>
      <c r="F35" s="84" t="n">
        <v>37195</v>
      </c>
      <c r="G35" s="82" t="s">
        <v>269</v>
      </c>
      <c r="H35" s="82" t="s">
        <v>270</v>
      </c>
      <c r="I35" s="83" t="s">
        <v>80</v>
      </c>
      <c r="J35" s="85" t="n">
        <f aca="false">5.18/J$1</f>
        <v>0.167096774193548</v>
      </c>
      <c r="K35" s="86" t="n">
        <v>0.0132</v>
      </c>
      <c r="L35" s="86" t="n">
        <v>0.0022</v>
      </c>
      <c r="M35" s="86" t="n">
        <v>0.0072</v>
      </c>
      <c r="N35" s="86" t="n">
        <v>0</v>
      </c>
      <c r="O35" s="87" t="n">
        <v>0.02116</v>
      </c>
      <c r="P35" s="86" t="n">
        <f aca="false">SUM(J35:N35)</f>
        <v>0.189696774193548</v>
      </c>
      <c r="Q35" s="88" t="n">
        <v>68916</v>
      </c>
      <c r="R35" s="83" t="n">
        <v>1915</v>
      </c>
      <c r="S35" s="82" t="s">
        <v>271</v>
      </c>
      <c r="T35" s="90" t="n">
        <f aca="false">J35*J$1*R35</f>
        <v>9919.7</v>
      </c>
      <c r="U35" s="91" t="s">
        <v>272</v>
      </c>
      <c r="V35" s="82"/>
      <c r="W35" s="92"/>
      <c r="X35" s="92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12.75" hidden="false" customHeight="false" outlineLevel="0" collapsed="false">
      <c r="A36" s="81"/>
      <c r="B36" s="82" t="s">
        <v>60</v>
      </c>
      <c r="C36" s="83" t="s">
        <v>223</v>
      </c>
      <c r="D36" s="83" t="s">
        <v>79</v>
      </c>
      <c r="E36" s="84" t="n">
        <v>36831</v>
      </c>
      <c r="F36" s="84" t="n">
        <v>37195</v>
      </c>
      <c r="G36" s="82" t="s">
        <v>269</v>
      </c>
      <c r="H36" s="82" t="s">
        <v>270</v>
      </c>
      <c r="I36" s="83" t="s">
        <v>80</v>
      </c>
      <c r="J36" s="85" t="n">
        <f aca="false">5.1807/J$1</f>
        <v>0.16711935483871</v>
      </c>
      <c r="K36" s="86" t="n">
        <v>0.0132</v>
      </c>
      <c r="L36" s="86" t="n">
        <v>0.0022</v>
      </c>
      <c r="M36" s="86" t="n">
        <v>0.0072</v>
      </c>
      <c r="N36" s="86" t="n">
        <v>0</v>
      </c>
      <c r="O36" s="87" t="n">
        <v>0.02116</v>
      </c>
      <c r="P36" s="86" t="n">
        <f aca="false">SUM(J36:N36)</f>
        <v>0.18971935483871</v>
      </c>
      <c r="Q36" s="88" t="n">
        <v>68917</v>
      </c>
      <c r="R36" s="83" t="n">
        <v>85</v>
      </c>
      <c r="S36" s="82" t="s">
        <v>271</v>
      </c>
      <c r="T36" s="90" t="n">
        <f aca="false">J36*J$1*R36</f>
        <v>440.3595</v>
      </c>
      <c r="U36" s="91" t="s">
        <v>273</v>
      </c>
      <c r="V36" s="82"/>
      <c r="W36" s="92"/>
      <c r="X36" s="92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12.75" hidden="false" customHeight="false" outlineLevel="0" collapsed="false">
      <c r="A37" s="81"/>
      <c r="B37" s="82" t="s">
        <v>60</v>
      </c>
      <c r="C37" s="83" t="s">
        <v>223</v>
      </c>
      <c r="D37" s="83" t="s">
        <v>79</v>
      </c>
      <c r="E37" s="84" t="n">
        <v>36831</v>
      </c>
      <c r="F37" s="84" t="n">
        <v>37195</v>
      </c>
      <c r="G37" s="82" t="s">
        <v>274</v>
      </c>
      <c r="H37" s="82" t="s">
        <v>275</v>
      </c>
      <c r="I37" s="83" t="s">
        <v>80</v>
      </c>
      <c r="J37" s="85" t="n">
        <f aca="false">5.171/J$1</f>
        <v>0.166806451612903</v>
      </c>
      <c r="K37" s="86" t="n">
        <v>0.0132</v>
      </c>
      <c r="L37" s="86" t="n">
        <v>0.0022</v>
      </c>
      <c r="M37" s="86" t="n">
        <v>0.0072</v>
      </c>
      <c r="N37" s="86" t="n">
        <v>0</v>
      </c>
      <c r="O37" s="87" t="n">
        <v>0.02116</v>
      </c>
      <c r="P37" s="86" t="n">
        <f aca="false">SUM(J37:N37)</f>
        <v>0.189406451612903</v>
      </c>
      <c r="Q37" s="88" t="n">
        <v>68918</v>
      </c>
      <c r="R37" s="83" t="n">
        <v>1000</v>
      </c>
      <c r="S37" s="82" t="s">
        <v>276</v>
      </c>
      <c r="T37" s="90" t="n">
        <f aca="false">J37*J$1*R37</f>
        <v>5171</v>
      </c>
      <c r="U37" s="91" t="s">
        <v>277</v>
      </c>
      <c r="V37" s="82"/>
      <c r="W37" s="92"/>
      <c r="X37" s="92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12.75" hidden="false" customHeight="false" outlineLevel="0" collapsed="false">
      <c r="A38" s="81"/>
      <c r="B38" s="82" t="s">
        <v>60</v>
      </c>
      <c r="C38" s="83" t="s">
        <v>223</v>
      </c>
      <c r="D38" s="83" t="s">
        <v>79</v>
      </c>
      <c r="E38" s="84" t="n">
        <v>36831</v>
      </c>
      <c r="F38" s="84" t="n">
        <v>37195</v>
      </c>
      <c r="G38" s="82" t="s">
        <v>269</v>
      </c>
      <c r="H38" s="82" t="s">
        <v>275</v>
      </c>
      <c r="I38" s="83" t="s">
        <v>80</v>
      </c>
      <c r="J38" s="85" t="n">
        <f aca="false">5.171/J$1</f>
        <v>0.166806451612903</v>
      </c>
      <c r="K38" s="86" t="n">
        <v>0.0132</v>
      </c>
      <c r="L38" s="86" t="n">
        <v>0.0022</v>
      </c>
      <c r="M38" s="86" t="n">
        <v>0.0072</v>
      </c>
      <c r="N38" s="86" t="n">
        <v>0</v>
      </c>
      <c r="O38" s="87" t="n">
        <v>0.02116</v>
      </c>
      <c r="P38" s="86" t="n">
        <f aca="false">SUM(J38:N38)</f>
        <v>0.189406451612903</v>
      </c>
      <c r="Q38" s="88" t="n">
        <v>68918</v>
      </c>
      <c r="R38" s="83" t="n">
        <v>2000</v>
      </c>
      <c r="S38" s="82" t="s">
        <v>276</v>
      </c>
      <c r="T38" s="90" t="n">
        <f aca="false">J38*J$1*R38</f>
        <v>10342</v>
      </c>
      <c r="U38" s="91" t="s">
        <v>277</v>
      </c>
      <c r="V38" s="82"/>
      <c r="W38" s="92"/>
      <c r="X38" s="92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12.75" hidden="false" customHeight="false" outlineLevel="0" collapsed="false">
      <c r="A39" s="81"/>
      <c r="B39" s="82" t="s">
        <v>60</v>
      </c>
      <c r="C39" s="83" t="s">
        <v>223</v>
      </c>
      <c r="D39" s="83" t="s">
        <v>79</v>
      </c>
      <c r="E39" s="84" t="n">
        <v>36831</v>
      </c>
      <c r="F39" s="84" t="n">
        <v>37195</v>
      </c>
      <c r="G39" s="82" t="s">
        <v>278</v>
      </c>
      <c r="H39" s="82" t="s">
        <v>275</v>
      </c>
      <c r="I39" s="83" t="s">
        <v>80</v>
      </c>
      <c r="J39" s="85" t="n">
        <f aca="false">5.171/J$1</f>
        <v>0.166806451612903</v>
      </c>
      <c r="K39" s="86" t="n">
        <v>0.0132</v>
      </c>
      <c r="L39" s="86" t="n">
        <v>0.0022</v>
      </c>
      <c r="M39" s="86" t="n">
        <v>0.0072</v>
      </c>
      <c r="N39" s="86" t="n">
        <v>0</v>
      </c>
      <c r="O39" s="87" t="n">
        <v>0.02116</v>
      </c>
      <c r="P39" s="86" t="n">
        <f aca="false">SUM(J39:N39)</f>
        <v>0.189406451612903</v>
      </c>
      <c r="Q39" s="88" t="n">
        <v>68918</v>
      </c>
      <c r="R39" s="83" t="n">
        <v>5000</v>
      </c>
      <c r="S39" s="82" t="s">
        <v>276</v>
      </c>
      <c r="T39" s="90" t="n">
        <f aca="false">J39*J$1*R39</f>
        <v>25855</v>
      </c>
      <c r="U39" s="91" t="s">
        <v>277</v>
      </c>
      <c r="V39" s="82"/>
      <c r="W39" s="92"/>
      <c r="X39" s="92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12.75" hidden="false" customHeight="false" outlineLevel="0" collapsed="false">
      <c r="A40" s="81"/>
      <c r="B40" s="82" t="s">
        <v>60</v>
      </c>
      <c r="C40" s="83" t="s">
        <v>223</v>
      </c>
      <c r="D40" s="83" t="s">
        <v>257</v>
      </c>
      <c r="E40" s="84" t="n">
        <v>36739</v>
      </c>
      <c r="F40" s="84" t="n">
        <v>37103</v>
      </c>
      <c r="G40" s="82" t="s">
        <v>254</v>
      </c>
      <c r="H40" s="82" t="s">
        <v>279</v>
      </c>
      <c r="I40" s="83" t="s">
        <v>80</v>
      </c>
      <c r="J40" s="85" t="n">
        <f aca="false">6.431/J$1</f>
        <v>0.207451612903226</v>
      </c>
      <c r="K40" s="86" t="n">
        <v>0.0132</v>
      </c>
      <c r="L40" s="86" t="n">
        <v>0.0022</v>
      </c>
      <c r="M40" s="86" t="n">
        <v>0.0072</v>
      </c>
      <c r="N40" s="86" t="n">
        <v>0</v>
      </c>
      <c r="O40" s="87" t="n">
        <v>0.02116</v>
      </c>
      <c r="P40" s="86" t="n">
        <f aca="false">SUM(J40:N40)</f>
        <v>0.230051612903226</v>
      </c>
      <c r="Q40" s="88" t="n">
        <v>68926</v>
      </c>
      <c r="R40" s="83" t="n">
        <v>2</v>
      </c>
      <c r="S40" s="82" t="s">
        <v>280</v>
      </c>
      <c r="T40" s="90" t="n">
        <f aca="false">J40*J$1*R40</f>
        <v>12.862</v>
      </c>
      <c r="U40" s="91" t="n">
        <v>345125</v>
      </c>
      <c r="V40" s="82"/>
      <c r="W40" s="92"/>
      <c r="X40" s="92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12.75" hidden="false" customHeight="false" outlineLevel="0" collapsed="false">
      <c r="A41" s="81"/>
      <c r="B41" s="82" t="s">
        <v>60</v>
      </c>
      <c r="C41" s="83" t="s">
        <v>223</v>
      </c>
      <c r="D41" s="83" t="s">
        <v>257</v>
      </c>
      <c r="E41" s="84" t="n">
        <v>36739</v>
      </c>
      <c r="F41" s="84" t="n">
        <v>37103</v>
      </c>
      <c r="G41" s="82" t="s">
        <v>254</v>
      </c>
      <c r="H41" s="82" t="s">
        <v>281</v>
      </c>
      <c r="I41" s="83" t="s">
        <v>80</v>
      </c>
      <c r="J41" s="85" t="n">
        <f aca="false">6.431/J$1</f>
        <v>0.207451612903226</v>
      </c>
      <c r="K41" s="86" t="n">
        <v>0.0132</v>
      </c>
      <c r="L41" s="86" t="n">
        <v>0.0022</v>
      </c>
      <c r="M41" s="86" t="n">
        <v>0.0072</v>
      </c>
      <c r="N41" s="86" t="n">
        <v>0</v>
      </c>
      <c r="O41" s="87" t="n">
        <v>0.02116</v>
      </c>
      <c r="P41" s="86" t="n">
        <f aca="false">SUM(J41:N41)</f>
        <v>0.230051612903226</v>
      </c>
      <c r="Q41" s="88" t="n">
        <v>68926</v>
      </c>
      <c r="R41" s="83" t="n">
        <v>2</v>
      </c>
      <c r="S41" s="82" t="s">
        <v>280</v>
      </c>
      <c r="T41" s="90" t="n">
        <f aca="false">J41*J$1*R41</f>
        <v>12.862</v>
      </c>
      <c r="U41" s="91" t="n">
        <v>345125</v>
      </c>
      <c r="V41" s="82"/>
      <c r="W41" s="92"/>
      <c r="X41" s="92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  <c r="CX41" s="81"/>
      <c r="CY41" s="81"/>
      <c r="CZ41" s="81"/>
      <c r="DA41" s="81"/>
      <c r="DB41" s="81"/>
      <c r="DC41" s="81"/>
      <c r="DD41" s="81"/>
      <c r="DE41" s="81"/>
      <c r="DF41" s="81"/>
      <c r="DG41" s="81"/>
      <c r="DH41" s="81"/>
      <c r="DI41" s="81"/>
      <c r="DJ41" s="81"/>
      <c r="DK41" s="81"/>
      <c r="DL41" s="81"/>
      <c r="DM41" s="81"/>
      <c r="DN41" s="81"/>
      <c r="DO41" s="81"/>
      <c r="DP41" s="81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81"/>
      <c r="EB41" s="81"/>
      <c r="EC41" s="81"/>
      <c r="ED41" s="81"/>
      <c r="EE41" s="81"/>
      <c r="EF41" s="81"/>
      <c r="EG41" s="81"/>
      <c r="EH41" s="81"/>
      <c r="EI41" s="81"/>
      <c r="EJ41" s="81"/>
      <c r="EK41" s="81"/>
      <c r="EL41" s="81"/>
      <c r="EM41" s="81"/>
      <c r="EN41" s="81"/>
      <c r="EO41" s="81"/>
      <c r="EP41" s="81"/>
      <c r="EQ41" s="81"/>
      <c r="ER41" s="81"/>
      <c r="ES41" s="81"/>
      <c r="ET41" s="81"/>
      <c r="EU41" s="81"/>
      <c r="EV41" s="81"/>
      <c r="EW41" s="81"/>
      <c r="EX41" s="81"/>
      <c r="EY41" s="81"/>
      <c r="EZ41" s="81"/>
      <c r="FA41" s="81"/>
      <c r="FB41" s="81"/>
      <c r="FC41" s="81"/>
      <c r="FD41" s="81"/>
      <c r="FE41" s="81"/>
      <c r="FF41" s="81"/>
      <c r="FG41" s="81"/>
      <c r="FH41" s="81"/>
      <c r="FI41" s="81"/>
      <c r="FJ41" s="81"/>
      <c r="FK41" s="81"/>
      <c r="FL41" s="81"/>
      <c r="FM41" s="81"/>
      <c r="FN41" s="81"/>
      <c r="FO41" s="81"/>
      <c r="FP41" s="81"/>
      <c r="FQ41" s="81"/>
      <c r="FR41" s="81"/>
      <c r="FS41" s="81"/>
      <c r="FT41" s="81"/>
      <c r="FU41" s="81"/>
      <c r="FV41" s="81"/>
      <c r="FW41" s="81"/>
      <c r="FX41" s="81"/>
      <c r="FY41" s="81"/>
      <c r="FZ41" s="81"/>
      <c r="GA41" s="81"/>
      <c r="GB41" s="81"/>
      <c r="GC41" s="81"/>
      <c r="GD41" s="81"/>
      <c r="GE41" s="81"/>
      <c r="GF41" s="81"/>
      <c r="GG41" s="81"/>
      <c r="GH41" s="81"/>
      <c r="GI41" s="81"/>
      <c r="GJ41" s="81"/>
      <c r="GK41" s="81"/>
      <c r="GL41" s="81"/>
      <c r="GM41" s="81"/>
      <c r="GN41" s="81"/>
      <c r="GO41" s="81"/>
      <c r="GP41" s="81"/>
      <c r="GQ41" s="81"/>
      <c r="GR41" s="81"/>
      <c r="GS41" s="81"/>
      <c r="GT41" s="81"/>
      <c r="GU41" s="81"/>
      <c r="GV41" s="81"/>
      <c r="GW41" s="81"/>
      <c r="GX41" s="81"/>
      <c r="GY41" s="81"/>
      <c r="GZ41" s="81"/>
      <c r="HA41" s="81"/>
      <c r="HB41" s="81"/>
      <c r="HC41" s="81"/>
      <c r="HD41" s="81"/>
      <c r="HE41" s="81"/>
      <c r="HF41" s="81"/>
      <c r="HG41" s="81"/>
      <c r="HH41" s="81"/>
      <c r="HI41" s="81"/>
      <c r="HJ41" s="81"/>
      <c r="HK41" s="81"/>
      <c r="HL41" s="81"/>
      <c r="HM41" s="81"/>
      <c r="HN41" s="81"/>
      <c r="HO41" s="81"/>
      <c r="HP41" s="81"/>
      <c r="HQ41" s="81"/>
      <c r="HR41" s="81"/>
      <c r="HS41" s="81"/>
      <c r="HT41" s="81"/>
      <c r="HU41" s="81"/>
      <c r="HV41" s="81"/>
      <c r="HW41" s="81"/>
      <c r="HX41" s="81"/>
      <c r="HY41" s="81"/>
      <c r="HZ41" s="81"/>
      <c r="IA41" s="81"/>
      <c r="IB41" s="81"/>
      <c r="IC41" s="81"/>
      <c r="ID41" s="81"/>
      <c r="IE41" s="81"/>
      <c r="IF41" s="81"/>
      <c r="IG41" s="81"/>
      <c r="IH41" s="81"/>
      <c r="II41" s="81"/>
      <c r="IJ41" s="81"/>
      <c r="IK41" s="81"/>
      <c r="IL41" s="81"/>
      <c r="IM41" s="81"/>
      <c r="IN41" s="81"/>
      <c r="IO41" s="81"/>
      <c r="IP41" s="81"/>
      <c r="IQ41" s="81"/>
      <c r="IR41" s="81"/>
      <c r="IS41" s="81"/>
      <c r="IT41" s="81"/>
      <c r="IU41" s="81"/>
      <c r="IV41" s="81"/>
      <c r="IW41" s="81"/>
    </row>
    <row r="42" customFormat="false" ht="12.75" hidden="false" customHeight="false" outlineLevel="0" collapsed="false">
      <c r="A42" s="81"/>
      <c r="B42" s="133" t="s">
        <v>60</v>
      </c>
      <c r="C42" s="129" t="s">
        <v>223</v>
      </c>
      <c r="D42" s="129" t="s">
        <v>34</v>
      </c>
      <c r="E42" s="161" t="n">
        <v>36739</v>
      </c>
      <c r="F42" s="161" t="n">
        <v>37103</v>
      </c>
      <c r="G42" s="133" t="s">
        <v>228</v>
      </c>
      <c r="H42" s="133" t="s">
        <v>282</v>
      </c>
      <c r="I42" s="129" t="s">
        <v>80</v>
      </c>
      <c r="J42" s="85" t="n">
        <f aca="false">6.431/$J$1</f>
        <v>0.207451612903226</v>
      </c>
      <c r="K42" s="162"/>
      <c r="L42" s="162"/>
      <c r="M42" s="162"/>
      <c r="N42" s="162"/>
      <c r="O42" s="163"/>
      <c r="P42" s="162"/>
      <c r="Q42" s="164" t="n">
        <v>68928</v>
      </c>
      <c r="R42" s="129" t="n">
        <v>47</v>
      </c>
      <c r="S42" s="133" t="s">
        <v>283</v>
      </c>
      <c r="T42" s="90" t="n">
        <f aca="false">J42*J$1*R42</f>
        <v>302.257</v>
      </c>
      <c r="U42" s="136" t="n">
        <v>351966</v>
      </c>
      <c r="V42" s="133"/>
      <c r="W42" s="137"/>
      <c r="X42" s="137"/>
      <c r="Y42" s="160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  <c r="CX42" s="81"/>
      <c r="CY42" s="81"/>
      <c r="CZ42" s="81"/>
      <c r="DA42" s="81"/>
      <c r="DB42" s="81"/>
      <c r="DC42" s="81"/>
      <c r="DD42" s="81"/>
      <c r="DE42" s="81"/>
      <c r="DF42" s="81"/>
      <c r="DG42" s="81"/>
      <c r="DH42" s="81"/>
      <c r="DI42" s="81"/>
      <c r="DJ42" s="81"/>
      <c r="DK42" s="81"/>
      <c r="DL42" s="81"/>
      <c r="DM42" s="81"/>
      <c r="DN42" s="81"/>
      <c r="DO42" s="81"/>
      <c r="DP42" s="81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81"/>
      <c r="EB42" s="81"/>
      <c r="EC42" s="81"/>
      <c r="ED42" s="81"/>
      <c r="EE42" s="81"/>
      <c r="EF42" s="81"/>
      <c r="EG42" s="81"/>
      <c r="EH42" s="81"/>
      <c r="EI42" s="81"/>
      <c r="EJ42" s="81"/>
      <c r="EK42" s="81"/>
      <c r="EL42" s="81"/>
      <c r="EM42" s="81"/>
      <c r="EN42" s="81"/>
      <c r="EO42" s="81"/>
      <c r="EP42" s="81"/>
      <c r="EQ42" s="81"/>
      <c r="ER42" s="81"/>
      <c r="ES42" s="81"/>
      <c r="ET42" s="81"/>
      <c r="EU42" s="81"/>
      <c r="EV42" s="81"/>
      <c r="EW42" s="81"/>
      <c r="EX42" s="81"/>
      <c r="EY42" s="81"/>
      <c r="EZ42" s="81"/>
      <c r="FA42" s="81"/>
      <c r="FB42" s="81"/>
      <c r="FC42" s="81"/>
      <c r="FD42" s="81"/>
      <c r="FE42" s="81"/>
      <c r="FF42" s="81"/>
      <c r="FG42" s="81"/>
      <c r="FH42" s="81"/>
      <c r="FI42" s="81"/>
      <c r="FJ42" s="81"/>
      <c r="FK42" s="81"/>
      <c r="FL42" s="81"/>
      <c r="FM42" s="81"/>
      <c r="FN42" s="81"/>
      <c r="FO42" s="81"/>
      <c r="FP42" s="81"/>
      <c r="FQ42" s="81"/>
      <c r="FR42" s="81"/>
      <c r="FS42" s="81"/>
      <c r="FT42" s="81"/>
      <c r="FU42" s="81"/>
      <c r="FV42" s="81"/>
      <c r="FW42" s="81"/>
      <c r="FX42" s="81"/>
      <c r="FY42" s="81"/>
      <c r="FZ42" s="81"/>
      <c r="GA42" s="81"/>
      <c r="GB42" s="81"/>
      <c r="GC42" s="81"/>
      <c r="GD42" s="81"/>
      <c r="GE42" s="81"/>
      <c r="GF42" s="81"/>
      <c r="GG42" s="81"/>
      <c r="GH42" s="81"/>
      <c r="GI42" s="81"/>
      <c r="GJ42" s="81"/>
      <c r="GK42" s="81"/>
      <c r="GL42" s="81"/>
      <c r="GM42" s="81"/>
      <c r="GN42" s="81"/>
      <c r="GO42" s="81"/>
      <c r="GP42" s="81"/>
      <c r="GQ42" s="81"/>
      <c r="GR42" s="81"/>
      <c r="GS42" s="81"/>
      <c r="GT42" s="81"/>
      <c r="GU42" s="81"/>
      <c r="GV42" s="81"/>
      <c r="GW42" s="81"/>
      <c r="GX42" s="81"/>
      <c r="GY42" s="81"/>
      <c r="GZ42" s="81"/>
      <c r="HA42" s="81"/>
      <c r="HB42" s="81"/>
      <c r="HC42" s="81"/>
      <c r="HD42" s="81"/>
      <c r="HE42" s="81"/>
      <c r="HF42" s="81"/>
      <c r="HG42" s="81"/>
      <c r="HH42" s="81"/>
      <c r="HI42" s="81"/>
      <c r="HJ42" s="81"/>
      <c r="HK42" s="81"/>
      <c r="HL42" s="81"/>
      <c r="HM42" s="81"/>
      <c r="HN42" s="81"/>
      <c r="HO42" s="81"/>
      <c r="HP42" s="81"/>
      <c r="HQ42" s="81"/>
      <c r="HR42" s="81"/>
      <c r="HS42" s="81"/>
      <c r="HT42" s="81"/>
      <c r="HU42" s="81"/>
      <c r="HV42" s="81"/>
      <c r="HW42" s="81"/>
      <c r="HX42" s="81"/>
      <c r="HY42" s="81"/>
      <c r="HZ42" s="81"/>
      <c r="IA42" s="81"/>
      <c r="IB42" s="81"/>
      <c r="IC42" s="81"/>
      <c r="ID42" s="81"/>
      <c r="IE42" s="81"/>
      <c r="IF42" s="81"/>
      <c r="IG42" s="81"/>
      <c r="IH42" s="81"/>
      <c r="II42" s="81"/>
      <c r="IJ42" s="81"/>
      <c r="IK42" s="81"/>
      <c r="IL42" s="81"/>
      <c r="IM42" s="81"/>
      <c r="IN42" s="81"/>
      <c r="IO42" s="81"/>
      <c r="IP42" s="81"/>
      <c r="IQ42" s="81"/>
      <c r="IR42" s="81"/>
      <c r="IS42" s="81"/>
      <c r="IT42" s="81"/>
      <c r="IU42" s="81"/>
      <c r="IV42" s="81"/>
      <c r="IW42" s="81"/>
    </row>
    <row r="43" customFormat="false" ht="12.75" hidden="false" customHeight="false" outlineLevel="0" collapsed="false">
      <c r="A43" s="81"/>
      <c r="B43" s="133" t="s">
        <v>60</v>
      </c>
      <c r="C43" s="129" t="s">
        <v>223</v>
      </c>
      <c r="D43" s="129" t="s">
        <v>31</v>
      </c>
      <c r="E43" s="161" t="n">
        <v>36770</v>
      </c>
      <c r="F43" s="161" t="n">
        <v>37134</v>
      </c>
      <c r="G43" s="133" t="s">
        <v>228</v>
      </c>
      <c r="H43" s="133" t="s">
        <v>284</v>
      </c>
      <c r="I43" s="129" t="s">
        <v>80</v>
      </c>
      <c r="J43" s="85" t="n">
        <f aca="false">6.431/$J$1</f>
        <v>0.207451612903226</v>
      </c>
      <c r="K43" s="162"/>
      <c r="L43" s="162"/>
      <c r="M43" s="162"/>
      <c r="N43" s="162"/>
      <c r="O43" s="163"/>
      <c r="P43" s="162"/>
      <c r="Q43" s="164" t="n">
        <v>69144</v>
      </c>
      <c r="R43" s="129" t="n">
        <v>4</v>
      </c>
      <c r="S43" s="133" t="s">
        <v>285</v>
      </c>
      <c r="T43" s="90" t="n">
        <f aca="false">J43*J$1*R43</f>
        <v>25.724</v>
      </c>
      <c r="U43" s="136"/>
      <c r="V43" s="133"/>
      <c r="W43" s="137"/>
      <c r="X43" s="137"/>
      <c r="Y43" s="160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  <c r="CX43" s="81"/>
      <c r="CY43" s="81"/>
      <c r="CZ43" s="81"/>
      <c r="DA43" s="81"/>
      <c r="DB43" s="81"/>
      <c r="DC43" s="81"/>
      <c r="DD43" s="81"/>
      <c r="DE43" s="81"/>
      <c r="DF43" s="81"/>
      <c r="DG43" s="81"/>
      <c r="DH43" s="81"/>
      <c r="DI43" s="81"/>
      <c r="DJ43" s="81"/>
      <c r="DK43" s="81"/>
      <c r="DL43" s="81"/>
      <c r="DM43" s="81"/>
      <c r="DN43" s="81"/>
      <c r="DO43" s="81"/>
      <c r="DP43" s="81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81"/>
      <c r="EB43" s="81"/>
      <c r="EC43" s="81"/>
      <c r="ED43" s="81"/>
      <c r="EE43" s="81"/>
      <c r="EF43" s="81"/>
      <c r="EG43" s="81"/>
      <c r="EH43" s="81"/>
      <c r="EI43" s="81"/>
      <c r="EJ43" s="81"/>
      <c r="EK43" s="81"/>
      <c r="EL43" s="81"/>
      <c r="EM43" s="81"/>
      <c r="EN43" s="81"/>
      <c r="EO43" s="81"/>
      <c r="EP43" s="81"/>
      <c r="EQ43" s="81"/>
      <c r="ER43" s="81"/>
      <c r="ES43" s="81"/>
      <c r="ET43" s="81"/>
      <c r="EU43" s="81"/>
      <c r="EV43" s="81"/>
      <c r="EW43" s="81"/>
      <c r="EX43" s="81"/>
      <c r="EY43" s="81"/>
      <c r="EZ43" s="81"/>
      <c r="FA43" s="81"/>
      <c r="FB43" s="81"/>
      <c r="FC43" s="81"/>
      <c r="FD43" s="81"/>
      <c r="FE43" s="81"/>
      <c r="FF43" s="81"/>
      <c r="FG43" s="81"/>
      <c r="FH43" s="81"/>
      <c r="FI43" s="81"/>
      <c r="FJ43" s="81"/>
      <c r="FK43" s="81"/>
      <c r="FL43" s="81"/>
      <c r="FM43" s="81"/>
      <c r="FN43" s="81"/>
      <c r="FO43" s="81"/>
      <c r="FP43" s="81"/>
      <c r="FQ43" s="81"/>
      <c r="FR43" s="81"/>
      <c r="FS43" s="81"/>
      <c r="FT43" s="81"/>
      <c r="FU43" s="81"/>
      <c r="FV43" s="81"/>
      <c r="FW43" s="81"/>
      <c r="FX43" s="81"/>
      <c r="FY43" s="81"/>
      <c r="FZ43" s="81"/>
      <c r="GA43" s="81"/>
      <c r="GB43" s="81"/>
      <c r="GC43" s="81"/>
      <c r="GD43" s="81"/>
      <c r="GE43" s="81"/>
      <c r="GF43" s="81"/>
      <c r="GG43" s="81"/>
      <c r="GH43" s="81"/>
      <c r="GI43" s="81"/>
      <c r="GJ43" s="81"/>
      <c r="GK43" s="81"/>
      <c r="GL43" s="81"/>
      <c r="GM43" s="81"/>
      <c r="GN43" s="81"/>
      <c r="GO43" s="81"/>
      <c r="GP43" s="81"/>
      <c r="GQ43" s="81"/>
      <c r="GR43" s="81"/>
      <c r="GS43" s="81"/>
      <c r="GT43" s="81"/>
      <c r="GU43" s="81"/>
      <c r="GV43" s="81"/>
      <c r="GW43" s="81"/>
      <c r="GX43" s="81"/>
      <c r="GY43" s="81"/>
      <c r="GZ43" s="81"/>
      <c r="HA43" s="81"/>
      <c r="HB43" s="81"/>
      <c r="HC43" s="81"/>
      <c r="HD43" s="81"/>
      <c r="HE43" s="81"/>
      <c r="HF43" s="81"/>
      <c r="HG43" s="81"/>
      <c r="HH43" s="81"/>
      <c r="HI43" s="81"/>
      <c r="HJ43" s="81"/>
      <c r="HK43" s="81"/>
      <c r="HL43" s="81"/>
      <c r="HM43" s="81"/>
      <c r="HN43" s="81"/>
      <c r="HO43" s="81"/>
      <c r="HP43" s="81"/>
      <c r="HQ43" s="81"/>
      <c r="HR43" s="81"/>
      <c r="HS43" s="81"/>
      <c r="HT43" s="81"/>
      <c r="HU43" s="81"/>
      <c r="HV43" s="81"/>
      <c r="HW43" s="81"/>
      <c r="HX43" s="81"/>
      <c r="HY43" s="81"/>
      <c r="HZ43" s="81"/>
      <c r="IA43" s="81"/>
      <c r="IB43" s="81"/>
      <c r="IC43" s="81"/>
      <c r="ID43" s="81"/>
      <c r="IE43" s="81"/>
      <c r="IF43" s="81"/>
      <c r="IG43" s="81"/>
      <c r="IH43" s="81"/>
      <c r="II43" s="81"/>
      <c r="IJ43" s="81"/>
      <c r="IK43" s="81"/>
      <c r="IL43" s="81"/>
      <c r="IM43" s="81"/>
      <c r="IN43" s="81"/>
      <c r="IO43" s="81"/>
      <c r="IP43" s="81"/>
      <c r="IQ43" s="81"/>
      <c r="IR43" s="81"/>
      <c r="IS43" s="81"/>
      <c r="IT43" s="81"/>
      <c r="IU43" s="81"/>
      <c r="IV43" s="81"/>
      <c r="IW43" s="81"/>
    </row>
    <row r="44" customFormat="false" ht="12.75" hidden="false" customHeight="false" outlineLevel="0" collapsed="false">
      <c r="A44" s="81"/>
      <c r="B44" s="133" t="s">
        <v>60</v>
      </c>
      <c r="C44" s="129" t="s">
        <v>223</v>
      </c>
      <c r="D44" s="129" t="s">
        <v>31</v>
      </c>
      <c r="E44" s="161" t="n">
        <v>36770</v>
      </c>
      <c r="F44" s="161" t="n">
        <v>37134</v>
      </c>
      <c r="G44" s="133" t="s">
        <v>228</v>
      </c>
      <c r="H44" s="133" t="s">
        <v>279</v>
      </c>
      <c r="I44" s="129" t="s">
        <v>80</v>
      </c>
      <c r="J44" s="85" t="n">
        <f aca="false">6.431/$J$1</f>
        <v>0.207451612903226</v>
      </c>
      <c r="K44" s="162"/>
      <c r="L44" s="162"/>
      <c r="M44" s="162"/>
      <c r="N44" s="162"/>
      <c r="O44" s="163"/>
      <c r="P44" s="162"/>
      <c r="Q44" s="164" t="n">
        <v>69144</v>
      </c>
      <c r="R44" s="129" t="n">
        <v>23</v>
      </c>
      <c r="S44" s="133" t="s">
        <v>285</v>
      </c>
      <c r="T44" s="90" t="n">
        <f aca="false">J44*J$1*R44</f>
        <v>147.913</v>
      </c>
      <c r="U44" s="136"/>
      <c r="V44" s="133"/>
      <c r="W44" s="137"/>
      <c r="X44" s="137"/>
      <c r="Y44" s="160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1"/>
      <c r="FL44" s="81"/>
      <c r="FM44" s="81"/>
      <c r="FN44" s="81"/>
      <c r="FO44" s="81"/>
      <c r="FP44" s="81"/>
      <c r="FQ44" s="81"/>
      <c r="FR44" s="81"/>
      <c r="FS44" s="81"/>
      <c r="FT44" s="81"/>
      <c r="FU44" s="81"/>
      <c r="FV44" s="81"/>
      <c r="FW44" s="81"/>
      <c r="FX44" s="81"/>
      <c r="FY44" s="81"/>
      <c r="FZ44" s="81"/>
      <c r="GA44" s="81"/>
      <c r="GB44" s="81"/>
      <c r="GC44" s="81"/>
      <c r="GD44" s="81"/>
      <c r="GE44" s="81"/>
      <c r="GF44" s="81"/>
      <c r="GG44" s="81"/>
      <c r="GH44" s="81"/>
      <c r="GI44" s="81"/>
      <c r="GJ44" s="81"/>
      <c r="GK44" s="81"/>
      <c r="GL44" s="81"/>
      <c r="GM44" s="81"/>
      <c r="GN44" s="81"/>
      <c r="GO44" s="81"/>
      <c r="GP44" s="81"/>
      <c r="GQ44" s="81"/>
      <c r="GR44" s="81"/>
      <c r="GS44" s="81"/>
      <c r="GT44" s="81"/>
      <c r="GU44" s="81"/>
      <c r="GV44" s="81"/>
      <c r="GW44" s="81"/>
      <c r="GX44" s="81"/>
      <c r="GY44" s="81"/>
      <c r="GZ44" s="81"/>
      <c r="HA44" s="81"/>
      <c r="HB44" s="81"/>
      <c r="HC44" s="81"/>
      <c r="HD44" s="81"/>
      <c r="HE44" s="81"/>
      <c r="HF44" s="81"/>
      <c r="HG44" s="81"/>
      <c r="HH44" s="81"/>
      <c r="HI44" s="81"/>
      <c r="HJ44" s="81"/>
      <c r="HK44" s="81"/>
      <c r="HL44" s="81"/>
      <c r="HM44" s="81"/>
      <c r="HN44" s="81"/>
      <c r="HO44" s="81"/>
      <c r="HP44" s="81"/>
      <c r="HQ44" s="81"/>
      <c r="HR44" s="81"/>
      <c r="HS44" s="81"/>
      <c r="HT44" s="81"/>
      <c r="HU44" s="81"/>
      <c r="HV44" s="81"/>
      <c r="HW44" s="81"/>
      <c r="HX44" s="81"/>
      <c r="HY44" s="81"/>
      <c r="HZ44" s="81"/>
      <c r="IA44" s="81"/>
      <c r="IB44" s="81"/>
      <c r="IC44" s="81"/>
      <c r="ID44" s="81"/>
      <c r="IE44" s="81"/>
      <c r="IF44" s="81"/>
      <c r="IG44" s="81"/>
      <c r="IH44" s="81"/>
      <c r="II44" s="81"/>
      <c r="IJ44" s="81"/>
      <c r="IK44" s="81"/>
      <c r="IL44" s="81"/>
      <c r="IM44" s="81"/>
      <c r="IN44" s="81"/>
      <c r="IO44" s="81"/>
      <c r="IP44" s="81"/>
      <c r="IQ44" s="81"/>
      <c r="IR44" s="81"/>
      <c r="IS44" s="81"/>
      <c r="IT44" s="81"/>
      <c r="IU44" s="81"/>
      <c r="IV44" s="81"/>
      <c r="IW44" s="81"/>
    </row>
    <row r="45" customFormat="false" ht="12.75" hidden="false" customHeight="false" outlineLevel="0" collapsed="false">
      <c r="A45" s="81"/>
      <c r="B45" s="133" t="s">
        <v>60</v>
      </c>
      <c r="C45" s="129" t="s">
        <v>223</v>
      </c>
      <c r="D45" s="129" t="s">
        <v>31</v>
      </c>
      <c r="E45" s="161" t="n">
        <v>36770</v>
      </c>
      <c r="F45" s="161" t="n">
        <v>37134</v>
      </c>
      <c r="G45" s="133" t="s">
        <v>228</v>
      </c>
      <c r="H45" s="133" t="s">
        <v>286</v>
      </c>
      <c r="I45" s="129" t="s">
        <v>80</v>
      </c>
      <c r="J45" s="85" t="n">
        <f aca="false">6.431/$J$1</f>
        <v>0.207451612903226</v>
      </c>
      <c r="K45" s="162"/>
      <c r="L45" s="162"/>
      <c r="M45" s="162"/>
      <c r="N45" s="162"/>
      <c r="O45" s="163"/>
      <c r="P45" s="162"/>
      <c r="Q45" s="164" t="n">
        <v>69144</v>
      </c>
      <c r="R45" s="129" t="n">
        <v>4</v>
      </c>
      <c r="S45" s="133" t="s">
        <v>285</v>
      </c>
      <c r="T45" s="90" t="n">
        <f aca="false">J45*J$1*R45</f>
        <v>25.724</v>
      </c>
      <c r="U45" s="136"/>
      <c r="V45" s="133"/>
      <c r="W45" s="137"/>
      <c r="X45" s="137"/>
      <c r="Y45" s="160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1"/>
      <c r="GG45" s="81"/>
      <c r="GH45" s="81"/>
      <c r="GI45" s="81"/>
      <c r="GJ45" s="81"/>
      <c r="GK45" s="81"/>
      <c r="GL45" s="81"/>
      <c r="GM45" s="81"/>
      <c r="GN45" s="81"/>
      <c r="GO45" s="81"/>
      <c r="GP45" s="81"/>
      <c r="GQ45" s="81"/>
      <c r="GR45" s="81"/>
      <c r="GS45" s="81"/>
      <c r="GT45" s="81"/>
      <c r="GU45" s="81"/>
      <c r="GV45" s="81"/>
      <c r="GW45" s="81"/>
      <c r="GX45" s="81"/>
      <c r="GY45" s="81"/>
      <c r="GZ45" s="81"/>
      <c r="HA45" s="81"/>
      <c r="HB45" s="81"/>
      <c r="HC45" s="81"/>
      <c r="HD45" s="81"/>
      <c r="HE45" s="81"/>
      <c r="HF45" s="81"/>
      <c r="HG45" s="81"/>
      <c r="HH45" s="81"/>
      <c r="HI45" s="81"/>
      <c r="HJ45" s="81"/>
      <c r="HK45" s="81"/>
      <c r="HL45" s="81"/>
      <c r="HM45" s="81"/>
      <c r="HN45" s="81"/>
      <c r="HO45" s="81"/>
      <c r="HP45" s="81"/>
      <c r="HQ45" s="81"/>
      <c r="HR45" s="81"/>
      <c r="HS45" s="81"/>
      <c r="HT45" s="81"/>
      <c r="HU45" s="81"/>
      <c r="HV45" s="81"/>
      <c r="HW45" s="81"/>
      <c r="HX45" s="81"/>
      <c r="HY45" s="81"/>
      <c r="HZ45" s="81"/>
      <c r="IA45" s="81"/>
      <c r="IB45" s="81"/>
      <c r="IC45" s="81"/>
      <c r="ID45" s="81"/>
      <c r="IE45" s="81"/>
      <c r="IF45" s="81"/>
      <c r="IG45" s="81"/>
      <c r="IH45" s="81"/>
      <c r="II45" s="81"/>
      <c r="IJ45" s="81"/>
      <c r="IK45" s="81"/>
      <c r="IL45" s="81"/>
      <c r="IM45" s="81"/>
      <c r="IN45" s="81"/>
      <c r="IO45" s="81"/>
      <c r="IP45" s="81"/>
      <c r="IQ45" s="81"/>
      <c r="IR45" s="81"/>
      <c r="IS45" s="81"/>
      <c r="IT45" s="81"/>
      <c r="IU45" s="81"/>
      <c r="IV45" s="81"/>
      <c r="IW45" s="81"/>
    </row>
    <row r="46" customFormat="false" ht="12.75" hidden="false" customHeight="false" outlineLevel="0" collapsed="false">
      <c r="A46" s="81"/>
      <c r="B46" s="133" t="s">
        <v>60</v>
      </c>
      <c r="C46" s="129" t="s">
        <v>223</v>
      </c>
      <c r="D46" s="129" t="s">
        <v>31</v>
      </c>
      <c r="E46" s="161" t="n">
        <v>36770</v>
      </c>
      <c r="F46" s="161" t="n">
        <v>37134</v>
      </c>
      <c r="G46" s="133" t="s">
        <v>228</v>
      </c>
      <c r="H46" s="133" t="s">
        <v>287</v>
      </c>
      <c r="I46" s="129" t="s">
        <v>80</v>
      </c>
      <c r="J46" s="85" t="n">
        <f aca="false">6.431/$J$1</f>
        <v>0.207451612903226</v>
      </c>
      <c r="K46" s="162"/>
      <c r="L46" s="162"/>
      <c r="M46" s="162"/>
      <c r="N46" s="162"/>
      <c r="O46" s="163"/>
      <c r="P46" s="162"/>
      <c r="Q46" s="164" t="n">
        <v>69144</v>
      </c>
      <c r="R46" s="129" t="n">
        <v>31</v>
      </c>
      <c r="S46" s="133" t="s">
        <v>285</v>
      </c>
      <c r="T46" s="90" t="n">
        <f aca="false">J46*J$1*R46</f>
        <v>199.361</v>
      </c>
      <c r="U46" s="136"/>
      <c r="V46" s="133"/>
      <c r="W46" s="137"/>
      <c r="X46" s="137"/>
      <c r="Y46" s="160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1"/>
      <c r="DE46" s="81"/>
      <c r="DF46" s="81"/>
      <c r="DG46" s="81"/>
      <c r="DH46" s="81"/>
      <c r="DI46" s="81"/>
      <c r="DJ46" s="81"/>
      <c r="DK46" s="81"/>
      <c r="DL46" s="81"/>
      <c r="DM46" s="81"/>
      <c r="DN46" s="81"/>
      <c r="DO46" s="81"/>
      <c r="DP46" s="81"/>
      <c r="DQ46" s="81"/>
      <c r="DR46" s="81"/>
      <c r="DS46" s="81"/>
      <c r="DT46" s="81"/>
      <c r="DU46" s="81"/>
      <c r="DV46" s="81"/>
      <c r="DW46" s="81"/>
      <c r="DX46" s="81"/>
      <c r="DY46" s="81"/>
      <c r="DZ46" s="81"/>
      <c r="EA46" s="81"/>
      <c r="EB46" s="81"/>
      <c r="EC46" s="81"/>
      <c r="ED46" s="81"/>
      <c r="EE46" s="81"/>
      <c r="EF46" s="81"/>
      <c r="EG46" s="81"/>
      <c r="EH46" s="81"/>
      <c r="EI46" s="81"/>
      <c r="EJ46" s="81"/>
      <c r="EK46" s="81"/>
      <c r="EL46" s="81"/>
      <c r="EM46" s="81"/>
      <c r="EN46" s="81"/>
      <c r="EO46" s="81"/>
      <c r="EP46" s="81"/>
      <c r="EQ46" s="81"/>
      <c r="ER46" s="81"/>
      <c r="ES46" s="81"/>
      <c r="ET46" s="81"/>
      <c r="EU46" s="81"/>
      <c r="EV46" s="81"/>
      <c r="EW46" s="81"/>
      <c r="EX46" s="81"/>
      <c r="EY46" s="81"/>
      <c r="EZ46" s="81"/>
      <c r="FA46" s="81"/>
      <c r="FB46" s="81"/>
      <c r="FC46" s="81"/>
      <c r="FD46" s="81"/>
      <c r="FE46" s="81"/>
      <c r="FF46" s="81"/>
      <c r="FG46" s="81"/>
      <c r="FH46" s="81"/>
      <c r="FI46" s="81"/>
      <c r="FJ46" s="81"/>
      <c r="FK46" s="81"/>
      <c r="FL46" s="81"/>
      <c r="FM46" s="81"/>
      <c r="FN46" s="81"/>
      <c r="FO46" s="81"/>
      <c r="FP46" s="81"/>
      <c r="FQ46" s="81"/>
      <c r="FR46" s="81"/>
      <c r="FS46" s="81"/>
      <c r="FT46" s="81"/>
      <c r="FU46" s="81"/>
      <c r="FV46" s="81"/>
      <c r="FW46" s="81"/>
      <c r="FX46" s="81"/>
      <c r="FY46" s="81"/>
      <c r="FZ46" s="81"/>
      <c r="GA46" s="81"/>
      <c r="GB46" s="81"/>
      <c r="GC46" s="81"/>
      <c r="GD46" s="81"/>
      <c r="GE46" s="81"/>
      <c r="GF46" s="81"/>
      <c r="GG46" s="81"/>
      <c r="GH46" s="81"/>
      <c r="GI46" s="81"/>
      <c r="GJ46" s="81"/>
      <c r="GK46" s="81"/>
      <c r="GL46" s="81"/>
      <c r="GM46" s="81"/>
      <c r="GN46" s="81"/>
      <c r="GO46" s="81"/>
      <c r="GP46" s="81"/>
      <c r="GQ46" s="81"/>
      <c r="GR46" s="81"/>
      <c r="GS46" s="81"/>
      <c r="GT46" s="81"/>
      <c r="GU46" s="81"/>
      <c r="GV46" s="81"/>
      <c r="GW46" s="81"/>
      <c r="GX46" s="81"/>
      <c r="GY46" s="81"/>
      <c r="GZ46" s="81"/>
      <c r="HA46" s="81"/>
      <c r="HB46" s="81"/>
      <c r="HC46" s="81"/>
      <c r="HD46" s="81"/>
      <c r="HE46" s="81"/>
      <c r="HF46" s="81"/>
      <c r="HG46" s="81"/>
      <c r="HH46" s="81"/>
      <c r="HI46" s="81"/>
      <c r="HJ46" s="81"/>
      <c r="HK46" s="81"/>
      <c r="HL46" s="81"/>
      <c r="HM46" s="81"/>
      <c r="HN46" s="81"/>
      <c r="HO46" s="81"/>
      <c r="HP46" s="81"/>
      <c r="HQ46" s="81"/>
      <c r="HR46" s="81"/>
      <c r="HS46" s="81"/>
      <c r="HT46" s="81"/>
      <c r="HU46" s="81"/>
      <c r="HV46" s="81"/>
      <c r="HW46" s="81"/>
      <c r="HX46" s="81"/>
      <c r="HY46" s="81"/>
      <c r="HZ46" s="81"/>
      <c r="IA46" s="81"/>
      <c r="IB46" s="81"/>
      <c r="IC46" s="81"/>
      <c r="ID46" s="81"/>
      <c r="IE46" s="81"/>
      <c r="IF46" s="81"/>
      <c r="IG46" s="81"/>
      <c r="IH46" s="81"/>
      <c r="II46" s="81"/>
      <c r="IJ46" s="81"/>
      <c r="IK46" s="81"/>
      <c r="IL46" s="81"/>
      <c r="IM46" s="81"/>
      <c r="IN46" s="81"/>
      <c r="IO46" s="81"/>
      <c r="IP46" s="81"/>
      <c r="IQ46" s="81"/>
      <c r="IR46" s="81"/>
      <c r="IS46" s="81"/>
      <c r="IT46" s="81"/>
      <c r="IU46" s="81"/>
      <c r="IV46" s="81"/>
      <c r="IW46" s="81"/>
    </row>
    <row r="47" customFormat="false" ht="12.75" hidden="false" customHeight="false" outlineLevel="0" collapsed="false">
      <c r="A47" s="160"/>
      <c r="B47" s="82" t="s">
        <v>60</v>
      </c>
      <c r="C47" s="83" t="s">
        <v>223</v>
      </c>
      <c r="D47" s="83" t="s">
        <v>79</v>
      </c>
      <c r="E47" s="84" t="n">
        <v>36831</v>
      </c>
      <c r="F47" s="84" t="n">
        <v>37195</v>
      </c>
      <c r="G47" s="82" t="s">
        <v>278</v>
      </c>
      <c r="H47" s="82" t="s">
        <v>266</v>
      </c>
      <c r="I47" s="83" t="s">
        <v>80</v>
      </c>
      <c r="J47" s="85" t="n">
        <f aca="false">5.171/J$1</f>
        <v>0.166806451612903</v>
      </c>
      <c r="K47" s="86" t="n">
        <v>0.0132</v>
      </c>
      <c r="L47" s="86" t="n">
        <v>0.0022</v>
      </c>
      <c r="M47" s="86" t="n">
        <v>0.0072</v>
      </c>
      <c r="N47" s="86" t="n">
        <v>0</v>
      </c>
      <c r="O47" s="87" t="n">
        <v>0.02116</v>
      </c>
      <c r="P47" s="86" t="n">
        <f aca="false">SUM(J47:N47)</f>
        <v>0.189406451612903</v>
      </c>
      <c r="Q47" s="88" t="n">
        <v>69148</v>
      </c>
      <c r="R47" s="83" t="n">
        <v>500</v>
      </c>
      <c r="S47" s="82" t="s">
        <v>288</v>
      </c>
      <c r="T47" s="90" t="n">
        <f aca="false">J47*J$1*R47</f>
        <v>2585.5</v>
      </c>
      <c r="U47" s="91" t="s">
        <v>289</v>
      </c>
      <c r="V47" s="82"/>
      <c r="W47" s="92"/>
      <c r="X47" s="92"/>
      <c r="Y47" s="81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60"/>
      <c r="CD47" s="160"/>
      <c r="CE47" s="160"/>
      <c r="CF47" s="160"/>
      <c r="CG47" s="160"/>
      <c r="CH47" s="160"/>
      <c r="CI47" s="160"/>
      <c r="CJ47" s="160"/>
      <c r="CK47" s="160"/>
      <c r="CL47" s="160"/>
      <c r="CM47" s="160"/>
      <c r="CN47" s="160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  <c r="FW47" s="160"/>
      <c r="FX47" s="160"/>
      <c r="FY47" s="160"/>
      <c r="FZ47" s="160"/>
      <c r="GA47" s="160"/>
      <c r="GB47" s="160"/>
      <c r="GC47" s="160"/>
      <c r="GD47" s="160"/>
      <c r="GE47" s="160"/>
      <c r="GF47" s="160"/>
      <c r="GG47" s="160"/>
      <c r="GH47" s="160"/>
      <c r="GI47" s="160"/>
      <c r="GJ47" s="160"/>
      <c r="GK47" s="160"/>
      <c r="GL47" s="160"/>
      <c r="GM47" s="160"/>
      <c r="GN47" s="160"/>
      <c r="GO47" s="160"/>
      <c r="GP47" s="160"/>
      <c r="GQ47" s="160"/>
      <c r="GR47" s="160"/>
      <c r="GS47" s="160"/>
      <c r="GT47" s="160"/>
      <c r="GU47" s="160"/>
      <c r="GV47" s="160"/>
      <c r="GW47" s="160"/>
      <c r="GX47" s="160"/>
      <c r="GY47" s="160"/>
      <c r="GZ47" s="160"/>
      <c r="HA47" s="160"/>
      <c r="HB47" s="160"/>
      <c r="HC47" s="160"/>
      <c r="HD47" s="160"/>
      <c r="HE47" s="160"/>
      <c r="HF47" s="160"/>
      <c r="HG47" s="160"/>
      <c r="HH47" s="160"/>
      <c r="HI47" s="160"/>
      <c r="HJ47" s="160"/>
      <c r="HK47" s="160"/>
      <c r="HL47" s="160"/>
      <c r="HM47" s="160"/>
      <c r="HN47" s="160"/>
      <c r="HO47" s="160"/>
      <c r="HP47" s="160"/>
      <c r="HQ47" s="160"/>
      <c r="HR47" s="160"/>
      <c r="HS47" s="160"/>
      <c r="HT47" s="160"/>
      <c r="HU47" s="160"/>
      <c r="HV47" s="160"/>
      <c r="HW47" s="160"/>
      <c r="HX47" s="160"/>
      <c r="HY47" s="160"/>
      <c r="HZ47" s="160"/>
      <c r="IA47" s="160"/>
      <c r="IB47" s="160"/>
      <c r="IC47" s="160"/>
      <c r="ID47" s="160"/>
      <c r="IE47" s="160"/>
      <c r="IF47" s="160"/>
      <c r="IG47" s="160"/>
      <c r="IH47" s="160"/>
      <c r="II47" s="160"/>
      <c r="IJ47" s="160"/>
      <c r="IK47" s="160"/>
      <c r="IL47" s="160"/>
      <c r="IM47" s="160"/>
      <c r="IN47" s="160"/>
      <c r="IO47" s="160"/>
      <c r="IP47" s="160"/>
      <c r="IQ47" s="160"/>
      <c r="IR47" s="160"/>
      <c r="IS47" s="160"/>
      <c r="IT47" s="160"/>
      <c r="IU47" s="160"/>
      <c r="IV47" s="160"/>
      <c r="IW47" s="160"/>
    </row>
    <row r="48" customFormat="false" ht="12.75" hidden="false" customHeight="false" outlineLevel="0" collapsed="false">
      <c r="A48" s="160"/>
      <c r="B48" s="82" t="s">
        <v>60</v>
      </c>
      <c r="C48" s="83" t="s">
        <v>223</v>
      </c>
      <c r="D48" s="83" t="s">
        <v>79</v>
      </c>
      <c r="E48" s="84" t="n">
        <v>36831</v>
      </c>
      <c r="F48" s="84" t="n">
        <v>37195</v>
      </c>
      <c r="G48" s="82" t="s">
        <v>269</v>
      </c>
      <c r="H48" s="82" t="s">
        <v>270</v>
      </c>
      <c r="I48" s="83" t="s">
        <v>80</v>
      </c>
      <c r="J48" s="85" t="n">
        <f aca="false">5.18/J$1</f>
        <v>0.167096774193548</v>
      </c>
      <c r="K48" s="86" t="n">
        <v>0.0132</v>
      </c>
      <c r="L48" s="86" t="n">
        <v>0.0022</v>
      </c>
      <c r="M48" s="86" t="n">
        <v>0.0072</v>
      </c>
      <c r="N48" s="86" t="n">
        <v>0</v>
      </c>
      <c r="O48" s="87" t="n">
        <v>0.02116</v>
      </c>
      <c r="P48" s="86" t="n">
        <f aca="false">SUM(J48:N48)</f>
        <v>0.189696774193548</v>
      </c>
      <c r="Q48" s="88" t="n">
        <v>69149</v>
      </c>
      <c r="R48" s="83" t="n">
        <v>1000</v>
      </c>
      <c r="S48" s="82" t="s">
        <v>290</v>
      </c>
      <c r="T48" s="90" t="n">
        <f aca="false">J48*J$1*R48</f>
        <v>5180</v>
      </c>
      <c r="U48" s="91"/>
      <c r="V48" s="82"/>
      <c r="W48" s="92"/>
      <c r="X48" s="92"/>
      <c r="Y48" s="81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60"/>
      <c r="CD48" s="160"/>
      <c r="CE48" s="160"/>
      <c r="CF48" s="160"/>
      <c r="CG48" s="160"/>
      <c r="CH48" s="160"/>
      <c r="CI48" s="160"/>
      <c r="CJ48" s="160"/>
      <c r="CK48" s="160"/>
      <c r="CL48" s="160"/>
      <c r="CM48" s="160"/>
      <c r="CN48" s="160"/>
      <c r="CO48" s="160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0"/>
      <c r="EG48" s="160"/>
      <c r="EH48" s="160"/>
      <c r="EI48" s="160"/>
      <c r="EJ48" s="160"/>
      <c r="EK48" s="160"/>
      <c r="EL48" s="160"/>
      <c r="EM48" s="160"/>
      <c r="EN48" s="160"/>
      <c r="EO48" s="160"/>
      <c r="EP48" s="160"/>
      <c r="EQ48" s="160"/>
      <c r="ER48" s="160"/>
      <c r="ES48" s="160"/>
      <c r="ET48" s="160"/>
      <c r="EU48" s="160"/>
      <c r="EV48" s="160"/>
      <c r="EW48" s="160"/>
      <c r="EX48" s="160"/>
      <c r="EY48" s="160"/>
      <c r="EZ48" s="160"/>
      <c r="FA48" s="160"/>
      <c r="FB48" s="160"/>
      <c r="FC48" s="160"/>
      <c r="FD48" s="160"/>
      <c r="FE48" s="160"/>
      <c r="FF48" s="160"/>
      <c r="FG48" s="160"/>
      <c r="FH48" s="160"/>
      <c r="FI48" s="160"/>
      <c r="FJ48" s="160"/>
      <c r="FK48" s="160"/>
      <c r="FL48" s="160"/>
      <c r="FM48" s="160"/>
      <c r="FN48" s="160"/>
      <c r="FO48" s="160"/>
      <c r="FP48" s="160"/>
      <c r="FQ48" s="160"/>
      <c r="FR48" s="160"/>
      <c r="FS48" s="160"/>
      <c r="FT48" s="160"/>
      <c r="FU48" s="160"/>
      <c r="FV48" s="160"/>
      <c r="FW48" s="160"/>
      <c r="FX48" s="160"/>
      <c r="FY48" s="160"/>
      <c r="FZ48" s="160"/>
      <c r="GA48" s="160"/>
      <c r="GB48" s="160"/>
      <c r="GC48" s="160"/>
      <c r="GD48" s="160"/>
      <c r="GE48" s="160"/>
      <c r="GF48" s="160"/>
      <c r="GG48" s="160"/>
      <c r="GH48" s="160"/>
      <c r="GI48" s="160"/>
      <c r="GJ48" s="160"/>
      <c r="GK48" s="160"/>
      <c r="GL48" s="160"/>
      <c r="GM48" s="160"/>
      <c r="GN48" s="160"/>
      <c r="GO48" s="160"/>
      <c r="GP48" s="160"/>
      <c r="GQ48" s="160"/>
      <c r="GR48" s="160"/>
      <c r="GS48" s="160"/>
      <c r="GT48" s="160"/>
      <c r="GU48" s="160"/>
      <c r="GV48" s="160"/>
      <c r="GW48" s="160"/>
      <c r="GX48" s="160"/>
      <c r="GY48" s="160"/>
      <c r="GZ48" s="160"/>
      <c r="HA48" s="160"/>
      <c r="HB48" s="160"/>
      <c r="HC48" s="160"/>
      <c r="HD48" s="160"/>
      <c r="HE48" s="160"/>
      <c r="HF48" s="160"/>
      <c r="HG48" s="160"/>
      <c r="HH48" s="160"/>
      <c r="HI48" s="160"/>
      <c r="HJ48" s="160"/>
      <c r="HK48" s="160"/>
      <c r="HL48" s="160"/>
      <c r="HM48" s="160"/>
      <c r="HN48" s="160"/>
      <c r="HO48" s="160"/>
      <c r="HP48" s="160"/>
      <c r="HQ48" s="160"/>
      <c r="HR48" s="160"/>
      <c r="HS48" s="160"/>
      <c r="HT48" s="160"/>
      <c r="HU48" s="160"/>
      <c r="HV48" s="160"/>
      <c r="HW48" s="160"/>
      <c r="HX48" s="160"/>
      <c r="HY48" s="160"/>
      <c r="HZ48" s="160"/>
      <c r="IA48" s="160"/>
      <c r="IB48" s="160"/>
      <c r="IC48" s="160"/>
      <c r="ID48" s="160"/>
      <c r="IE48" s="160"/>
      <c r="IF48" s="160"/>
      <c r="IG48" s="160"/>
      <c r="IH48" s="160"/>
      <c r="II48" s="160"/>
      <c r="IJ48" s="160"/>
      <c r="IK48" s="160"/>
      <c r="IL48" s="160"/>
      <c r="IM48" s="160"/>
      <c r="IN48" s="160"/>
      <c r="IO48" s="160"/>
      <c r="IP48" s="160"/>
      <c r="IQ48" s="160"/>
      <c r="IR48" s="160"/>
      <c r="IS48" s="160"/>
      <c r="IT48" s="160"/>
      <c r="IU48" s="160"/>
      <c r="IV48" s="160"/>
      <c r="IW48" s="160"/>
    </row>
    <row r="49" customFormat="false" ht="12.75" hidden="false" customHeight="false" outlineLevel="0" collapsed="false">
      <c r="A49" s="160"/>
      <c r="B49" s="133" t="s">
        <v>60</v>
      </c>
      <c r="C49" s="129" t="s">
        <v>223</v>
      </c>
      <c r="D49" s="129" t="s">
        <v>31</v>
      </c>
      <c r="E49" s="161" t="n">
        <v>36800</v>
      </c>
      <c r="F49" s="161" t="n">
        <v>37164</v>
      </c>
      <c r="G49" s="133" t="s">
        <v>228</v>
      </c>
      <c r="H49" s="133" t="s">
        <v>284</v>
      </c>
      <c r="I49" s="129" t="s">
        <v>80</v>
      </c>
      <c r="J49" s="85" t="n">
        <f aca="false">6.431/$J$1</f>
        <v>0.207451612903226</v>
      </c>
      <c r="K49" s="162"/>
      <c r="L49" s="162"/>
      <c r="M49" s="162"/>
      <c r="N49" s="162"/>
      <c r="O49" s="163"/>
      <c r="P49" s="162"/>
      <c r="Q49" s="164" t="n">
        <v>69424</v>
      </c>
      <c r="R49" s="129" t="n">
        <v>1</v>
      </c>
      <c r="S49" s="133" t="s">
        <v>291</v>
      </c>
      <c r="T49" s="90" t="n">
        <f aca="false">J49*J$1*R49</f>
        <v>6.431</v>
      </c>
      <c r="U49" s="136" t="n">
        <v>418221</v>
      </c>
      <c r="V49" s="133"/>
      <c r="W49" s="137"/>
      <c r="X49" s="137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60"/>
      <c r="CD49" s="160"/>
      <c r="CE49" s="160"/>
      <c r="CF49" s="160"/>
      <c r="CG49" s="160"/>
      <c r="CH49" s="160"/>
      <c r="CI49" s="160"/>
      <c r="CJ49" s="160"/>
      <c r="CK49" s="160"/>
      <c r="CL49" s="160"/>
      <c r="CM49" s="160"/>
      <c r="CN49" s="160"/>
      <c r="CO49" s="160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0"/>
      <c r="EG49" s="160"/>
      <c r="EH49" s="160"/>
      <c r="EI49" s="160"/>
      <c r="EJ49" s="160"/>
      <c r="EK49" s="160"/>
      <c r="EL49" s="160"/>
      <c r="EM49" s="160"/>
      <c r="EN49" s="160"/>
      <c r="EO49" s="160"/>
      <c r="EP49" s="160"/>
      <c r="EQ49" s="160"/>
      <c r="ER49" s="160"/>
      <c r="ES49" s="160"/>
      <c r="ET49" s="160"/>
      <c r="EU49" s="160"/>
      <c r="EV49" s="160"/>
      <c r="EW49" s="160"/>
      <c r="EX49" s="160"/>
      <c r="EY49" s="160"/>
      <c r="EZ49" s="160"/>
      <c r="FA49" s="160"/>
      <c r="FB49" s="160"/>
      <c r="FC49" s="160"/>
      <c r="FD49" s="160"/>
      <c r="FE49" s="160"/>
      <c r="FF49" s="160"/>
      <c r="FG49" s="160"/>
      <c r="FH49" s="160"/>
      <c r="FI49" s="160"/>
      <c r="FJ49" s="160"/>
      <c r="FK49" s="160"/>
      <c r="FL49" s="160"/>
      <c r="FM49" s="160"/>
      <c r="FN49" s="160"/>
      <c r="FO49" s="160"/>
      <c r="FP49" s="160"/>
      <c r="FQ49" s="160"/>
      <c r="FR49" s="160"/>
      <c r="FS49" s="160"/>
      <c r="FT49" s="160"/>
      <c r="FU49" s="160"/>
      <c r="FV49" s="160"/>
      <c r="FW49" s="160"/>
      <c r="FX49" s="160"/>
      <c r="FY49" s="160"/>
      <c r="FZ49" s="160"/>
      <c r="GA49" s="160"/>
      <c r="GB49" s="160"/>
      <c r="GC49" s="160"/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60"/>
      <c r="GO49" s="160"/>
      <c r="GP49" s="160"/>
      <c r="GQ49" s="160"/>
      <c r="GR49" s="160"/>
      <c r="GS49" s="160"/>
      <c r="GT49" s="160"/>
      <c r="GU49" s="160"/>
      <c r="GV49" s="160"/>
      <c r="GW49" s="160"/>
      <c r="GX49" s="160"/>
      <c r="GY49" s="160"/>
      <c r="GZ49" s="160"/>
      <c r="HA49" s="160"/>
      <c r="HB49" s="160"/>
      <c r="HC49" s="160"/>
      <c r="HD49" s="160"/>
      <c r="HE49" s="160"/>
      <c r="HF49" s="160"/>
      <c r="HG49" s="160"/>
      <c r="HH49" s="160"/>
      <c r="HI49" s="160"/>
      <c r="HJ49" s="160"/>
      <c r="HK49" s="160"/>
      <c r="HL49" s="160"/>
      <c r="HM49" s="160"/>
      <c r="HN49" s="160"/>
      <c r="HO49" s="160"/>
      <c r="HP49" s="160"/>
      <c r="HQ49" s="160"/>
      <c r="HR49" s="160"/>
      <c r="HS49" s="160"/>
      <c r="HT49" s="160"/>
      <c r="HU49" s="160"/>
      <c r="HV49" s="160"/>
      <c r="HW49" s="160"/>
      <c r="HX49" s="160"/>
      <c r="HY49" s="160"/>
      <c r="HZ49" s="160"/>
      <c r="IA49" s="160"/>
      <c r="IB49" s="160"/>
      <c r="IC49" s="160"/>
      <c r="ID49" s="160"/>
      <c r="IE49" s="160"/>
      <c r="IF49" s="160"/>
      <c r="IG49" s="160"/>
      <c r="IH49" s="160"/>
      <c r="II49" s="160"/>
      <c r="IJ49" s="160"/>
      <c r="IK49" s="160"/>
      <c r="IL49" s="160"/>
      <c r="IM49" s="160"/>
      <c r="IN49" s="160"/>
      <c r="IO49" s="160"/>
      <c r="IP49" s="160"/>
      <c r="IQ49" s="160"/>
      <c r="IR49" s="160"/>
      <c r="IS49" s="160"/>
      <c r="IT49" s="160"/>
      <c r="IU49" s="160"/>
      <c r="IV49" s="160"/>
      <c r="IW49" s="160"/>
    </row>
    <row r="50" customFormat="false" ht="12.75" hidden="false" customHeight="false" outlineLevel="0" collapsed="false">
      <c r="A50" s="160"/>
      <c r="B50" s="133" t="s">
        <v>60</v>
      </c>
      <c r="C50" s="129" t="s">
        <v>223</v>
      </c>
      <c r="D50" s="129" t="s">
        <v>31</v>
      </c>
      <c r="E50" s="161" t="n">
        <v>36800</v>
      </c>
      <c r="F50" s="161" t="n">
        <v>37164</v>
      </c>
      <c r="G50" s="133" t="s">
        <v>228</v>
      </c>
      <c r="H50" s="133" t="s">
        <v>279</v>
      </c>
      <c r="I50" s="129" t="s">
        <v>80</v>
      </c>
      <c r="J50" s="85" t="n">
        <f aca="false">6.431/$J$1</f>
        <v>0.207451612903226</v>
      </c>
      <c r="K50" s="162"/>
      <c r="L50" s="162"/>
      <c r="M50" s="162"/>
      <c r="N50" s="162"/>
      <c r="O50" s="163"/>
      <c r="P50" s="162"/>
      <c r="Q50" s="164" t="n">
        <v>69424</v>
      </c>
      <c r="R50" s="129" t="n">
        <v>1</v>
      </c>
      <c r="S50" s="133" t="s">
        <v>291</v>
      </c>
      <c r="T50" s="90" t="n">
        <f aca="false">J50*J$1*R50</f>
        <v>6.431</v>
      </c>
      <c r="U50" s="136" t="n">
        <v>418221</v>
      </c>
      <c r="V50" s="133"/>
      <c r="W50" s="137"/>
      <c r="X50" s="137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60"/>
      <c r="CD50" s="160"/>
      <c r="CE50" s="160"/>
      <c r="CF50" s="160"/>
      <c r="CG50" s="160"/>
      <c r="CH50" s="160"/>
      <c r="CI50" s="160"/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0"/>
      <c r="EC50" s="160"/>
      <c r="ED50" s="160"/>
      <c r="EE50" s="160"/>
      <c r="EF50" s="160"/>
      <c r="EG50" s="160"/>
      <c r="EH50" s="160"/>
      <c r="EI50" s="160"/>
      <c r="EJ50" s="160"/>
      <c r="EK50" s="160"/>
      <c r="EL50" s="160"/>
      <c r="EM50" s="160"/>
      <c r="EN50" s="160"/>
      <c r="EO50" s="160"/>
      <c r="EP50" s="160"/>
      <c r="EQ50" s="160"/>
      <c r="ER50" s="160"/>
      <c r="ES50" s="160"/>
      <c r="ET50" s="160"/>
      <c r="EU50" s="160"/>
      <c r="EV50" s="160"/>
      <c r="EW50" s="160"/>
      <c r="EX50" s="160"/>
      <c r="EY50" s="160"/>
      <c r="EZ50" s="160"/>
      <c r="FA50" s="160"/>
      <c r="FB50" s="160"/>
      <c r="FC50" s="160"/>
      <c r="FD50" s="160"/>
      <c r="FE50" s="160"/>
      <c r="FF50" s="160"/>
      <c r="FG50" s="160"/>
      <c r="FH50" s="160"/>
      <c r="FI50" s="160"/>
      <c r="FJ50" s="160"/>
      <c r="FK50" s="160"/>
      <c r="FL50" s="160"/>
      <c r="FM50" s="160"/>
      <c r="FN50" s="160"/>
      <c r="FO50" s="160"/>
      <c r="FP50" s="160"/>
      <c r="FQ50" s="160"/>
      <c r="FR50" s="160"/>
      <c r="FS50" s="160"/>
      <c r="FT50" s="160"/>
      <c r="FU50" s="160"/>
      <c r="FV50" s="160"/>
      <c r="FW50" s="160"/>
      <c r="FX50" s="160"/>
      <c r="FY50" s="160"/>
      <c r="FZ50" s="160"/>
      <c r="GA50" s="160"/>
      <c r="GB50" s="160"/>
      <c r="GC50" s="160"/>
      <c r="GD50" s="160"/>
      <c r="GE50" s="160"/>
      <c r="GF50" s="160"/>
      <c r="GG50" s="160"/>
      <c r="GH50" s="160"/>
      <c r="GI50" s="160"/>
      <c r="GJ50" s="160"/>
      <c r="GK50" s="160"/>
      <c r="GL50" s="160"/>
      <c r="GM50" s="160"/>
      <c r="GN50" s="160"/>
      <c r="GO50" s="160"/>
      <c r="GP50" s="160"/>
      <c r="GQ50" s="160"/>
      <c r="GR50" s="160"/>
      <c r="GS50" s="160"/>
      <c r="GT50" s="160"/>
      <c r="GU50" s="160"/>
      <c r="GV50" s="160"/>
      <c r="GW50" s="160"/>
      <c r="GX50" s="160"/>
      <c r="GY50" s="160"/>
      <c r="GZ50" s="160"/>
      <c r="HA50" s="160"/>
      <c r="HB50" s="160"/>
      <c r="HC50" s="160"/>
      <c r="HD50" s="160"/>
      <c r="HE50" s="160"/>
      <c r="HF50" s="160"/>
      <c r="HG50" s="160"/>
      <c r="HH50" s="160"/>
      <c r="HI50" s="160"/>
      <c r="HJ50" s="160"/>
      <c r="HK50" s="160"/>
      <c r="HL50" s="160"/>
      <c r="HM50" s="160"/>
      <c r="HN50" s="160"/>
      <c r="HO50" s="160"/>
      <c r="HP50" s="160"/>
      <c r="HQ50" s="160"/>
      <c r="HR50" s="160"/>
      <c r="HS50" s="160"/>
      <c r="HT50" s="160"/>
      <c r="HU50" s="160"/>
      <c r="HV50" s="160"/>
      <c r="HW50" s="160"/>
      <c r="HX50" s="160"/>
      <c r="HY50" s="160"/>
      <c r="HZ50" s="160"/>
      <c r="IA50" s="160"/>
      <c r="IB50" s="160"/>
      <c r="IC50" s="160"/>
      <c r="ID50" s="160"/>
      <c r="IE50" s="160"/>
      <c r="IF50" s="160"/>
      <c r="IG50" s="160"/>
      <c r="IH50" s="160"/>
      <c r="II50" s="160"/>
      <c r="IJ50" s="160"/>
      <c r="IK50" s="160"/>
      <c r="IL50" s="160"/>
      <c r="IM50" s="160"/>
      <c r="IN50" s="160"/>
      <c r="IO50" s="160"/>
      <c r="IP50" s="160"/>
      <c r="IQ50" s="160"/>
      <c r="IR50" s="160"/>
      <c r="IS50" s="160"/>
      <c r="IT50" s="160"/>
      <c r="IU50" s="160"/>
      <c r="IV50" s="160"/>
      <c r="IW50" s="160"/>
    </row>
    <row r="51" customFormat="false" ht="12.75" hidden="false" customHeight="false" outlineLevel="0" collapsed="false">
      <c r="A51" s="160"/>
      <c r="B51" s="133" t="s">
        <v>60</v>
      </c>
      <c r="C51" s="129" t="s">
        <v>223</v>
      </c>
      <c r="D51" s="129" t="s">
        <v>31</v>
      </c>
      <c r="E51" s="161" t="n">
        <v>36800</v>
      </c>
      <c r="F51" s="161" t="n">
        <v>37164</v>
      </c>
      <c r="G51" s="133" t="s">
        <v>228</v>
      </c>
      <c r="H51" s="133" t="s">
        <v>287</v>
      </c>
      <c r="I51" s="129" t="s">
        <v>80</v>
      </c>
      <c r="J51" s="85" t="n">
        <f aca="false">6.431/$J$1</f>
        <v>0.207451612903226</v>
      </c>
      <c r="K51" s="162"/>
      <c r="L51" s="162"/>
      <c r="M51" s="162"/>
      <c r="N51" s="162"/>
      <c r="O51" s="163"/>
      <c r="P51" s="162"/>
      <c r="Q51" s="164" t="n">
        <v>69424</v>
      </c>
      <c r="R51" s="129" t="n">
        <v>11</v>
      </c>
      <c r="S51" s="133" t="s">
        <v>291</v>
      </c>
      <c r="T51" s="90" t="n">
        <f aca="false">J51*J$1*R51</f>
        <v>70.741</v>
      </c>
      <c r="U51" s="136" t="n">
        <v>418221</v>
      </c>
      <c r="V51" s="133"/>
      <c r="W51" s="137"/>
      <c r="X51" s="137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60"/>
      <c r="CD51" s="160"/>
      <c r="CE51" s="160"/>
      <c r="CF51" s="160"/>
      <c r="CG51" s="160"/>
      <c r="CH51" s="160"/>
      <c r="CI51" s="160"/>
      <c r="CJ51" s="160"/>
      <c r="CK51" s="160"/>
      <c r="CL51" s="160"/>
      <c r="CM51" s="160"/>
      <c r="CN51" s="160"/>
      <c r="CO51" s="160"/>
      <c r="CP51" s="160"/>
      <c r="CQ51" s="160"/>
      <c r="CR51" s="160"/>
      <c r="CS51" s="160"/>
      <c r="CT51" s="160"/>
      <c r="CU51" s="160"/>
      <c r="CV51" s="160"/>
      <c r="CW51" s="160"/>
      <c r="CX51" s="160"/>
      <c r="CY51" s="160"/>
      <c r="CZ51" s="160"/>
      <c r="DA51" s="160"/>
      <c r="DB51" s="160"/>
      <c r="DC51" s="160"/>
      <c r="DD51" s="160"/>
      <c r="DE51" s="160"/>
      <c r="DF51" s="160"/>
      <c r="DG51" s="160"/>
      <c r="DH51" s="160"/>
      <c r="DI51" s="160"/>
      <c r="DJ51" s="160"/>
      <c r="DK51" s="160"/>
      <c r="DL51" s="160"/>
      <c r="DM51" s="160"/>
      <c r="DN51" s="160"/>
      <c r="DO51" s="160"/>
      <c r="DP51" s="160"/>
      <c r="DQ51" s="160"/>
      <c r="DR51" s="160"/>
      <c r="DS51" s="160"/>
      <c r="DT51" s="160"/>
      <c r="DU51" s="160"/>
      <c r="DV51" s="160"/>
      <c r="DW51" s="160"/>
      <c r="DX51" s="160"/>
      <c r="DY51" s="160"/>
      <c r="DZ51" s="160"/>
      <c r="EA51" s="160"/>
      <c r="EB51" s="160"/>
      <c r="EC51" s="160"/>
      <c r="ED51" s="160"/>
      <c r="EE51" s="160"/>
      <c r="EF51" s="160"/>
      <c r="EG51" s="160"/>
      <c r="EH51" s="160"/>
      <c r="EI51" s="160"/>
      <c r="EJ51" s="160"/>
      <c r="EK51" s="160"/>
      <c r="EL51" s="160"/>
      <c r="EM51" s="160"/>
      <c r="EN51" s="160"/>
      <c r="EO51" s="160"/>
      <c r="EP51" s="160"/>
      <c r="EQ51" s="160"/>
      <c r="ER51" s="160"/>
      <c r="ES51" s="160"/>
      <c r="ET51" s="160"/>
      <c r="EU51" s="160"/>
      <c r="EV51" s="160"/>
      <c r="EW51" s="160"/>
      <c r="EX51" s="160"/>
      <c r="EY51" s="160"/>
      <c r="EZ51" s="160"/>
      <c r="FA51" s="160"/>
      <c r="FB51" s="160"/>
      <c r="FC51" s="160"/>
      <c r="FD51" s="160"/>
      <c r="FE51" s="160"/>
      <c r="FF51" s="160"/>
      <c r="FG51" s="160"/>
      <c r="FH51" s="160"/>
      <c r="FI51" s="160"/>
      <c r="FJ51" s="160"/>
      <c r="FK51" s="160"/>
      <c r="FL51" s="160"/>
      <c r="FM51" s="160"/>
      <c r="FN51" s="160"/>
      <c r="FO51" s="160"/>
      <c r="FP51" s="160"/>
      <c r="FQ51" s="160"/>
      <c r="FR51" s="160"/>
      <c r="FS51" s="160"/>
      <c r="FT51" s="160"/>
      <c r="FU51" s="160"/>
      <c r="FV51" s="160"/>
      <c r="FW51" s="160"/>
      <c r="FX51" s="160"/>
      <c r="FY51" s="160"/>
      <c r="FZ51" s="160"/>
      <c r="GA51" s="160"/>
      <c r="GB51" s="160"/>
      <c r="GC51" s="160"/>
      <c r="GD51" s="160"/>
      <c r="GE51" s="160"/>
      <c r="GF51" s="160"/>
      <c r="GG51" s="160"/>
      <c r="GH51" s="160"/>
      <c r="GI51" s="160"/>
      <c r="GJ51" s="160"/>
      <c r="GK51" s="160"/>
      <c r="GL51" s="160"/>
      <c r="GM51" s="160"/>
      <c r="GN51" s="160"/>
      <c r="GO51" s="160"/>
      <c r="GP51" s="160"/>
      <c r="GQ51" s="160"/>
      <c r="GR51" s="160"/>
      <c r="GS51" s="160"/>
      <c r="GT51" s="160"/>
      <c r="GU51" s="160"/>
      <c r="GV51" s="160"/>
      <c r="GW51" s="160"/>
      <c r="GX51" s="160"/>
      <c r="GY51" s="160"/>
      <c r="GZ51" s="160"/>
      <c r="HA51" s="160"/>
      <c r="HB51" s="160"/>
      <c r="HC51" s="160"/>
      <c r="HD51" s="160"/>
      <c r="HE51" s="160"/>
      <c r="HF51" s="160"/>
      <c r="HG51" s="160"/>
      <c r="HH51" s="160"/>
      <c r="HI51" s="160"/>
      <c r="HJ51" s="160"/>
      <c r="HK51" s="160"/>
      <c r="HL51" s="160"/>
      <c r="HM51" s="160"/>
      <c r="HN51" s="160"/>
      <c r="HO51" s="160"/>
      <c r="HP51" s="160"/>
      <c r="HQ51" s="160"/>
      <c r="HR51" s="160"/>
      <c r="HS51" s="160"/>
      <c r="HT51" s="160"/>
      <c r="HU51" s="160"/>
      <c r="HV51" s="160"/>
      <c r="HW51" s="160"/>
      <c r="HX51" s="160"/>
      <c r="HY51" s="160"/>
      <c r="HZ51" s="160"/>
      <c r="IA51" s="160"/>
      <c r="IB51" s="160"/>
      <c r="IC51" s="160"/>
      <c r="ID51" s="160"/>
      <c r="IE51" s="160"/>
      <c r="IF51" s="160"/>
      <c r="IG51" s="160"/>
      <c r="IH51" s="160"/>
      <c r="II51" s="160"/>
      <c r="IJ51" s="160"/>
      <c r="IK51" s="160"/>
      <c r="IL51" s="160"/>
      <c r="IM51" s="160"/>
      <c r="IN51" s="160"/>
      <c r="IO51" s="160"/>
      <c r="IP51" s="160"/>
      <c r="IQ51" s="160"/>
      <c r="IR51" s="160"/>
      <c r="IS51" s="160"/>
      <c r="IT51" s="160"/>
      <c r="IU51" s="160"/>
      <c r="IV51" s="160"/>
      <c r="IW51" s="160"/>
    </row>
    <row r="52" customFormat="false" ht="12.75" hidden="false" customHeight="false" outlineLevel="0" collapsed="false">
      <c r="A52" s="81"/>
      <c r="B52" s="82" t="s">
        <v>60</v>
      </c>
      <c r="C52" s="83" t="s">
        <v>223</v>
      </c>
      <c r="D52" s="83" t="s">
        <v>79</v>
      </c>
      <c r="E52" s="84" t="n">
        <v>36831</v>
      </c>
      <c r="F52" s="84" t="n">
        <v>37195</v>
      </c>
      <c r="G52" s="82" t="s">
        <v>292</v>
      </c>
      <c r="H52" s="82" t="s">
        <v>266</v>
      </c>
      <c r="I52" s="83" t="s">
        <v>80</v>
      </c>
      <c r="J52" s="85" t="n">
        <f aca="false">5.171/J$1</f>
        <v>0.166806451612903</v>
      </c>
      <c r="K52" s="86" t="n">
        <v>0.0132</v>
      </c>
      <c r="L52" s="86" t="n">
        <v>0.0022</v>
      </c>
      <c r="M52" s="86" t="n">
        <v>0.0075</v>
      </c>
      <c r="N52" s="86" t="n">
        <v>0</v>
      </c>
      <c r="O52" s="87" t="n">
        <v>0.02116</v>
      </c>
      <c r="P52" s="86" t="n">
        <f aca="false">SUM(J52:N52)</f>
        <v>0.189706451612903</v>
      </c>
      <c r="Q52" s="88" t="n">
        <v>69693</v>
      </c>
      <c r="R52" s="83" t="n">
        <v>1600</v>
      </c>
      <c r="S52" s="82" t="s">
        <v>293</v>
      </c>
      <c r="T52" s="90" t="n">
        <f aca="false">J52*J$1*R52</f>
        <v>8273.6</v>
      </c>
      <c r="U52" s="91" t="s">
        <v>294</v>
      </c>
      <c r="V52" s="90"/>
      <c r="W52" s="92"/>
      <c r="X52" s="92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12.75" hidden="false" customHeight="false" outlineLevel="0" collapsed="false">
      <c r="A53" s="81"/>
      <c r="B53" s="82" t="s">
        <v>60</v>
      </c>
      <c r="C53" s="83" t="s">
        <v>223</v>
      </c>
      <c r="D53" s="83" t="s">
        <v>295</v>
      </c>
      <c r="E53" s="84" t="n">
        <v>36831</v>
      </c>
      <c r="F53" s="84" t="n">
        <v>37195</v>
      </c>
      <c r="G53" s="82" t="s">
        <v>296</v>
      </c>
      <c r="H53" s="82" t="s">
        <v>297</v>
      </c>
      <c r="I53" s="83" t="s">
        <v>80</v>
      </c>
      <c r="J53" s="85" t="n">
        <f aca="false">6.431/J$1</f>
        <v>0.207451612903226</v>
      </c>
      <c r="K53" s="86" t="n">
        <v>0.0132</v>
      </c>
      <c r="L53" s="86" t="n">
        <v>0.0022</v>
      </c>
      <c r="M53" s="86" t="n">
        <v>0.0072</v>
      </c>
      <c r="N53" s="86" t="n">
        <v>0</v>
      </c>
      <c r="O53" s="87" t="n">
        <v>0.02116</v>
      </c>
      <c r="P53" s="86" t="n">
        <f aca="false">SUM(J53:N53)</f>
        <v>0.230051612903226</v>
      </c>
      <c r="Q53" s="88" t="n">
        <v>69707</v>
      </c>
      <c r="R53" s="83" t="n">
        <v>4018</v>
      </c>
      <c r="S53" s="82" t="s">
        <v>298</v>
      </c>
      <c r="T53" s="90" t="n">
        <f aca="false">J53*J$1*R53</f>
        <v>25839.758</v>
      </c>
      <c r="U53" s="91" t="s">
        <v>299</v>
      </c>
      <c r="V53" s="82"/>
      <c r="W53" s="92"/>
      <c r="X53" s="92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12.75" hidden="false" customHeight="false" outlineLevel="0" collapsed="false">
      <c r="A54" s="81"/>
      <c r="B54" s="82" t="s">
        <v>60</v>
      </c>
      <c r="C54" s="83" t="s">
        <v>223</v>
      </c>
      <c r="D54" s="83" t="s">
        <v>295</v>
      </c>
      <c r="E54" s="84" t="n">
        <v>36831</v>
      </c>
      <c r="F54" s="84" t="n">
        <v>37195</v>
      </c>
      <c r="G54" s="82" t="s">
        <v>254</v>
      </c>
      <c r="H54" s="82" t="s">
        <v>300</v>
      </c>
      <c r="I54" s="83" t="s">
        <v>80</v>
      </c>
      <c r="J54" s="85" t="n">
        <f aca="false">6.431/J$1</f>
        <v>0.207451612903226</v>
      </c>
      <c r="K54" s="86" t="n">
        <v>0.0132</v>
      </c>
      <c r="L54" s="86" t="n">
        <v>0.0022</v>
      </c>
      <c r="M54" s="86" t="n">
        <v>0.0072</v>
      </c>
      <c r="N54" s="86" t="n">
        <v>0</v>
      </c>
      <c r="O54" s="87" t="n">
        <v>0.02116</v>
      </c>
      <c r="P54" s="86" t="n">
        <f aca="false">SUM(J54:N54)</f>
        <v>0.230051612903226</v>
      </c>
      <c r="Q54" s="88" t="n">
        <v>69708</v>
      </c>
      <c r="R54" s="83" t="n">
        <v>2759</v>
      </c>
      <c r="S54" s="82" t="s">
        <v>301</v>
      </c>
      <c r="T54" s="90" t="n">
        <f aca="false">J54*J$1*R54</f>
        <v>17743.129</v>
      </c>
      <c r="U54" s="91" t="s">
        <v>302</v>
      </c>
      <c r="V54" s="82"/>
      <c r="W54" s="92"/>
      <c r="X54" s="92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12.75" hidden="false" customHeight="false" outlineLevel="0" collapsed="false">
      <c r="A55" s="81"/>
      <c r="B55" s="82" t="s">
        <v>60</v>
      </c>
      <c r="C55" s="83" t="s">
        <v>223</v>
      </c>
      <c r="D55" s="83" t="s">
        <v>295</v>
      </c>
      <c r="E55" s="84" t="n">
        <v>36831</v>
      </c>
      <c r="F55" s="84" t="n">
        <v>37195</v>
      </c>
      <c r="G55" s="82" t="s">
        <v>239</v>
      </c>
      <c r="H55" s="82" t="s">
        <v>300</v>
      </c>
      <c r="I55" s="83" t="s">
        <v>80</v>
      </c>
      <c r="J55" s="85" t="n">
        <f aca="false">6.431/J$1</f>
        <v>0.207451612903226</v>
      </c>
      <c r="K55" s="86" t="n">
        <v>0.0132</v>
      </c>
      <c r="L55" s="86" t="n">
        <v>0.0022</v>
      </c>
      <c r="M55" s="86" t="n">
        <v>0.0072</v>
      </c>
      <c r="N55" s="86" t="n">
        <v>0</v>
      </c>
      <c r="O55" s="87" t="n">
        <v>0.02116</v>
      </c>
      <c r="P55" s="86" t="n">
        <f aca="false">SUM(J55:N55)</f>
        <v>0.230051612903226</v>
      </c>
      <c r="Q55" s="88" t="n">
        <v>69708</v>
      </c>
      <c r="R55" s="83" t="n">
        <v>2795</v>
      </c>
      <c r="S55" s="82" t="s">
        <v>301</v>
      </c>
      <c r="T55" s="90" t="n">
        <f aca="false">J55*J$1*R55</f>
        <v>17974.645</v>
      </c>
      <c r="U55" s="91" t="s">
        <v>302</v>
      </c>
      <c r="V55" s="82"/>
      <c r="W55" s="92"/>
      <c r="X55" s="92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2.75" hidden="false" customHeight="false" outlineLevel="0" collapsed="false">
      <c r="A56" s="81"/>
      <c r="B56" s="82" t="s">
        <v>60</v>
      </c>
      <c r="C56" s="83" t="s">
        <v>223</v>
      </c>
      <c r="D56" s="83" t="s">
        <v>295</v>
      </c>
      <c r="E56" s="84" t="n">
        <v>36831</v>
      </c>
      <c r="F56" s="84" t="n">
        <v>37195</v>
      </c>
      <c r="G56" s="82" t="s">
        <v>303</v>
      </c>
      <c r="H56" s="82" t="s">
        <v>300</v>
      </c>
      <c r="I56" s="83" t="s">
        <v>80</v>
      </c>
      <c r="J56" s="85" t="n">
        <f aca="false">6.431/J$1</f>
        <v>0.207451612903226</v>
      </c>
      <c r="K56" s="86" t="n">
        <v>0.0132</v>
      </c>
      <c r="L56" s="86" t="n">
        <v>0.0022</v>
      </c>
      <c r="M56" s="86" t="n">
        <v>0.0072</v>
      </c>
      <c r="N56" s="86" t="n">
        <v>0</v>
      </c>
      <c r="O56" s="87" t="n">
        <v>0.02116</v>
      </c>
      <c r="P56" s="86" t="n">
        <f aca="false">SUM(J56:N56)</f>
        <v>0.230051612903226</v>
      </c>
      <c r="Q56" s="88" t="n">
        <v>69708</v>
      </c>
      <c r="R56" s="83" t="n">
        <v>3630</v>
      </c>
      <c r="S56" s="82" t="s">
        <v>301</v>
      </c>
      <c r="T56" s="90" t="n">
        <f aca="false">J56*J$1*R56</f>
        <v>23344.53</v>
      </c>
      <c r="U56" s="91" t="s">
        <v>302</v>
      </c>
      <c r="V56" s="82"/>
      <c r="W56" s="92"/>
      <c r="X56" s="92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  <c r="DB56" s="81"/>
      <c r="DC56" s="81"/>
      <c r="DD56" s="81"/>
      <c r="DE56" s="81"/>
      <c r="DF56" s="81"/>
      <c r="DG56" s="81"/>
      <c r="DH56" s="81"/>
      <c r="DI56" s="81"/>
      <c r="DJ56" s="81"/>
      <c r="DK56" s="81"/>
      <c r="DL56" s="81"/>
      <c r="DM56" s="81"/>
      <c r="DN56" s="81"/>
      <c r="DO56" s="81"/>
      <c r="DP56" s="81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81"/>
      <c r="EB56" s="81"/>
      <c r="EC56" s="81"/>
      <c r="ED56" s="81"/>
      <c r="EE56" s="81"/>
      <c r="EF56" s="81"/>
      <c r="EG56" s="81"/>
      <c r="EH56" s="81"/>
      <c r="EI56" s="81"/>
      <c r="EJ56" s="81"/>
      <c r="EK56" s="81"/>
      <c r="EL56" s="81"/>
      <c r="EM56" s="81"/>
      <c r="EN56" s="81"/>
      <c r="EO56" s="81"/>
      <c r="EP56" s="81"/>
      <c r="EQ56" s="81"/>
      <c r="ER56" s="81"/>
      <c r="ES56" s="81"/>
      <c r="ET56" s="81"/>
      <c r="EU56" s="81"/>
      <c r="EV56" s="81"/>
      <c r="EW56" s="81"/>
      <c r="EX56" s="81"/>
      <c r="EY56" s="81"/>
      <c r="EZ56" s="81"/>
      <c r="FA56" s="81"/>
      <c r="FB56" s="81"/>
      <c r="FC56" s="81"/>
      <c r="FD56" s="81"/>
      <c r="FE56" s="81"/>
      <c r="FF56" s="81"/>
      <c r="FG56" s="81"/>
      <c r="FH56" s="81"/>
      <c r="FI56" s="81"/>
      <c r="FJ56" s="81"/>
      <c r="FK56" s="81"/>
      <c r="FL56" s="81"/>
      <c r="FM56" s="81"/>
      <c r="FN56" s="81"/>
      <c r="FO56" s="81"/>
      <c r="FP56" s="81"/>
      <c r="FQ56" s="81"/>
      <c r="FR56" s="81"/>
      <c r="FS56" s="81"/>
      <c r="FT56" s="81"/>
      <c r="FU56" s="81"/>
      <c r="FV56" s="81"/>
      <c r="FW56" s="81"/>
      <c r="FX56" s="81"/>
      <c r="FY56" s="81"/>
      <c r="FZ56" s="81"/>
      <c r="GA56" s="81"/>
      <c r="GB56" s="81"/>
      <c r="GC56" s="81"/>
      <c r="GD56" s="81"/>
      <c r="GE56" s="81"/>
      <c r="GF56" s="81"/>
      <c r="GG56" s="81"/>
      <c r="GH56" s="81"/>
      <c r="GI56" s="81"/>
      <c r="GJ56" s="81"/>
      <c r="GK56" s="81"/>
      <c r="GL56" s="81"/>
      <c r="GM56" s="81"/>
      <c r="GN56" s="81"/>
      <c r="GO56" s="81"/>
      <c r="GP56" s="81"/>
      <c r="GQ56" s="81"/>
      <c r="GR56" s="81"/>
      <c r="GS56" s="81"/>
      <c r="GT56" s="81"/>
      <c r="GU56" s="81"/>
      <c r="GV56" s="81"/>
      <c r="GW56" s="81"/>
      <c r="GX56" s="81"/>
      <c r="GY56" s="81"/>
      <c r="GZ56" s="81"/>
      <c r="HA56" s="81"/>
      <c r="HB56" s="81"/>
      <c r="HC56" s="81"/>
      <c r="HD56" s="81"/>
      <c r="HE56" s="81"/>
      <c r="HF56" s="81"/>
      <c r="HG56" s="81"/>
      <c r="HH56" s="81"/>
      <c r="HI56" s="81"/>
      <c r="HJ56" s="81"/>
      <c r="HK56" s="81"/>
      <c r="HL56" s="81"/>
      <c r="HM56" s="81"/>
      <c r="HN56" s="81"/>
      <c r="HO56" s="81"/>
      <c r="HP56" s="81"/>
      <c r="HQ56" s="81"/>
      <c r="HR56" s="81"/>
      <c r="HS56" s="81"/>
      <c r="HT56" s="81"/>
      <c r="HU56" s="81"/>
      <c r="HV56" s="81"/>
      <c r="HW56" s="81"/>
      <c r="HX56" s="81"/>
      <c r="HY56" s="81"/>
      <c r="HZ56" s="81"/>
      <c r="IA56" s="81"/>
      <c r="IB56" s="81"/>
      <c r="IC56" s="81"/>
      <c r="ID56" s="81"/>
      <c r="IE56" s="81"/>
      <c r="IF56" s="81"/>
      <c r="IG56" s="81"/>
      <c r="IH56" s="81"/>
      <c r="II56" s="81"/>
      <c r="IJ56" s="81"/>
      <c r="IK56" s="81"/>
      <c r="IL56" s="81"/>
      <c r="IM56" s="81"/>
      <c r="IN56" s="81"/>
      <c r="IO56" s="81"/>
      <c r="IP56" s="81"/>
      <c r="IQ56" s="81"/>
      <c r="IR56" s="81"/>
      <c r="IS56" s="81"/>
      <c r="IT56" s="81"/>
      <c r="IU56" s="81"/>
      <c r="IV56" s="81"/>
      <c r="IW56" s="81"/>
    </row>
    <row r="57" customFormat="false" ht="12.75" hidden="false" customHeight="false" outlineLevel="0" collapsed="false">
      <c r="A57" s="81"/>
      <c r="B57" s="82" t="s">
        <v>60</v>
      </c>
      <c r="C57" s="83" t="s">
        <v>223</v>
      </c>
      <c r="D57" s="83" t="s">
        <v>257</v>
      </c>
      <c r="E57" s="84" t="n">
        <v>36831</v>
      </c>
      <c r="F57" s="84" t="n">
        <v>37195</v>
      </c>
      <c r="G57" s="82" t="s">
        <v>254</v>
      </c>
      <c r="H57" s="82" t="s">
        <v>284</v>
      </c>
      <c r="I57" s="83" t="s">
        <v>80</v>
      </c>
      <c r="J57" s="85" t="n">
        <f aca="false">6.431/J$1</f>
        <v>0.207451612903226</v>
      </c>
      <c r="K57" s="86" t="n">
        <v>0.0132</v>
      </c>
      <c r="L57" s="86" t="n">
        <v>0.0022</v>
      </c>
      <c r="M57" s="86" t="n">
        <v>0.0072</v>
      </c>
      <c r="N57" s="86" t="n">
        <v>0</v>
      </c>
      <c r="O57" s="87" t="n">
        <v>0.02116</v>
      </c>
      <c r="P57" s="86" t="n">
        <f aca="false">SUM(J57:N57)</f>
        <v>0.230051612903226</v>
      </c>
      <c r="Q57" s="88" t="n">
        <v>69709</v>
      </c>
      <c r="R57" s="83" t="n">
        <v>13</v>
      </c>
      <c r="S57" s="82" t="s">
        <v>304</v>
      </c>
      <c r="T57" s="90" t="n">
        <f aca="false">J57*J$1*R57</f>
        <v>83.603</v>
      </c>
      <c r="U57" s="91" t="s">
        <v>305</v>
      </c>
      <c r="V57" s="82"/>
      <c r="W57" s="92"/>
      <c r="X57" s="92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  <c r="CX57" s="81"/>
      <c r="CY57" s="81"/>
      <c r="CZ57" s="81"/>
      <c r="DA57" s="81"/>
      <c r="DB57" s="81"/>
      <c r="DC57" s="81"/>
      <c r="DD57" s="81"/>
      <c r="DE57" s="81"/>
      <c r="DF57" s="81"/>
      <c r="DG57" s="81"/>
      <c r="DH57" s="81"/>
      <c r="DI57" s="81"/>
      <c r="DJ57" s="81"/>
      <c r="DK57" s="81"/>
      <c r="DL57" s="81"/>
      <c r="DM57" s="81"/>
      <c r="DN57" s="81"/>
      <c r="DO57" s="81"/>
      <c r="DP57" s="81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81"/>
      <c r="EB57" s="81"/>
      <c r="EC57" s="81"/>
      <c r="ED57" s="81"/>
      <c r="EE57" s="81"/>
      <c r="EF57" s="81"/>
      <c r="EG57" s="81"/>
      <c r="EH57" s="81"/>
      <c r="EI57" s="81"/>
      <c r="EJ57" s="81"/>
      <c r="EK57" s="81"/>
      <c r="EL57" s="81"/>
      <c r="EM57" s="81"/>
      <c r="EN57" s="81"/>
      <c r="EO57" s="81"/>
      <c r="EP57" s="81"/>
      <c r="EQ57" s="81"/>
      <c r="ER57" s="81"/>
      <c r="ES57" s="81"/>
      <c r="ET57" s="81"/>
      <c r="EU57" s="81"/>
      <c r="EV57" s="81"/>
      <c r="EW57" s="81"/>
      <c r="EX57" s="81"/>
      <c r="EY57" s="81"/>
      <c r="EZ57" s="81"/>
      <c r="FA57" s="81"/>
      <c r="FB57" s="81"/>
      <c r="FC57" s="81"/>
      <c r="FD57" s="81"/>
      <c r="FE57" s="81"/>
      <c r="FF57" s="81"/>
      <c r="FG57" s="81"/>
      <c r="FH57" s="81"/>
      <c r="FI57" s="81"/>
      <c r="FJ57" s="81"/>
      <c r="FK57" s="81"/>
      <c r="FL57" s="81"/>
      <c r="FM57" s="81"/>
      <c r="FN57" s="81"/>
      <c r="FO57" s="81"/>
      <c r="FP57" s="81"/>
      <c r="FQ57" s="81"/>
      <c r="FR57" s="81"/>
      <c r="FS57" s="81"/>
      <c r="FT57" s="81"/>
      <c r="FU57" s="81"/>
      <c r="FV57" s="81"/>
      <c r="FW57" s="81"/>
      <c r="FX57" s="81"/>
      <c r="FY57" s="81"/>
      <c r="FZ57" s="81"/>
      <c r="GA57" s="81"/>
      <c r="GB57" s="81"/>
      <c r="GC57" s="81"/>
      <c r="GD57" s="81"/>
      <c r="GE57" s="81"/>
      <c r="GF57" s="81"/>
      <c r="GG57" s="81"/>
      <c r="GH57" s="81"/>
      <c r="GI57" s="81"/>
      <c r="GJ57" s="81"/>
      <c r="GK57" s="81"/>
      <c r="GL57" s="81"/>
      <c r="GM57" s="81"/>
      <c r="GN57" s="81"/>
      <c r="GO57" s="81"/>
      <c r="GP57" s="81"/>
      <c r="GQ57" s="81"/>
      <c r="GR57" s="81"/>
      <c r="GS57" s="81"/>
      <c r="GT57" s="81"/>
      <c r="GU57" s="81"/>
      <c r="GV57" s="81"/>
      <c r="GW57" s="81"/>
      <c r="GX57" s="81"/>
      <c r="GY57" s="81"/>
      <c r="GZ57" s="81"/>
      <c r="HA57" s="81"/>
      <c r="HB57" s="81"/>
      <c r="HC57" s="81"/>
      <c r="HD57" s="81"/>
      <c r="HE57" s="81"/>
      <c r="HF57" s="81"/>
      <c r="HG57" s="81"/>
      <c r="HH57" s="81"/>
      <c r="HI57" s="81"/>
      <c r="HJ57" s="81"/>
      <c r="HK57" s="81"/>
      <c r="HL57" s="81"/>
      <c r="HM57" s="81"/>
      <c r="HN57" s="81"/>
      <c r="HO57" s="81"/>
      <c r="HP57" s="81"/>
      <c r="HQ57" s="81"/>
      <c r="HR57" s="81"/>
      <c r="HS57" s="81"/>
      <c r="HT57" s="81"/>
      <c r="HU57" s="81"/>
      <c r="HV57" s="81"/>
      <c r="HW57" s="81"/>
      <c r="HX57" s="81"/>
      <c r="HY57" s="81"/>
      <c r="HZ57" s="81"/>
      <c r="IA57" s="81"/>
      <c r="IB57" s="81"/>
      <c r="IC57" s="81"/>
      <c r="ID57" s="81"/>
      <c r="IE57" s="81"/>
      <c r="IF57" s="81"/>
      <c r="IG57" s="81"/>
      <c r="IH57" s="81"/>
      <c r="II57" s="81"/>
      <c r="IJ57" s="81"/>
      <c r="IK57" s="81"/>
      <c r="IL57" s="81"/>
      <c r="IM57" s="81"/>
      <c r="IN57" s="81"/>
      <c r="IO57" s="81"/>
      <c r="IP57" s="81"/>
      <c r="IQ57" s="81"/>
      <c r="IR57" s="81"/>
      <c r="IS57" s="81"/>
      <c r="IT57" s="81"/>
      <c r="IU57" s="81"/>
      <c r="IV57" s="81"/>
      <c r="IW57" s="81"/>
    </row>
    <row r="58" customFormat="false" ht="12.75" hidden="false" customHeight="false" outlineLevel="0" collapsed="false">
      <c r="A58" s="81"/>
      <c r="B58" s="82" t="s">
        <v>60</v>
      </c>
      <c r="C58" s="83" t="s">
        <v>223</v>
      </c>
      <c r="D58" s="83" t="s">
        <v>257</v>
      </c>
      <c r="E58" s="84" t="n">
        <v>36831</v>
      </c>
      <c r="F58" s="84" t="n">
        <v>37195</v>
      </c>
      <c r="G58" s="82" t="s">
        <v>254</v>
      </c>
      <c r="H58" s="82" t="s">
        <v>281</v>
      </c>
      <c r="I58" s="83" t="s">
        <v>80</v>
      </c>
      <c r="J58" s="85" t="n">
        <f aca="false">6.431/J$1</f>
        <v>0.207451612903226</v>
      </c>
      <c r="K58" s="86" t="n">
        <v>0.0132</v>
      </c>
      <c r="L58" s="86" t="n">
        <v>0.0022</v>
      </c>
      <c r="M58" s="86" t="n">
        <v>0.0072</v>
      </c>
      <c r="N58" s="86" t="n">
        <v>0</v>
      </c>
      <c r="O58" s="87" t="n">
        <v>0.02116</v>
      </c>
      <c r="P58" s="86" t="n">
        <f aca="false">SUM(J58:N58)</f>
        <v>0.230051612903226</v>
      </c>
      <c r="Q58" s="88" t="n">
        <v>69709</v>
      </c>
      <c r="R58" s="83" t="n">
        <v>14</v>
      </c>
      <c r="S58" s="82" t="s">
        <v>304</v>
      </c>
      <c r="T58" s="90" t="n">
        <f aca="false">J58*J$1*R58</f>
        <v>90.034</v>
      </c>
      <c r="U58" s="91" t="s">
        <v>305</v>
      </c>
      <c r="V58" s="82"/>
      <c r="W58" s="92"/>
      <c r="X58" s="92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  <c r="CX58" s="81"/>
      <c r="CY58" s="81"/>
      <c r="CZ58" s="81"/>
      <c r="DA58" s="81"/>
      <c r="DB58" s="81"/>
      <c r="DC58" s="81"/>
      <c r="DD58" s="81"/>
      <c r="DE58" s="81"/>
      <c r="DF58" s="81"/>
      <c r="DG58" s="81"/>
      <c r="DH58" s="81"/>
      <c r="DI58" s="81"/>
      <c r="DJ58" s="81"/>
      <c r="DK58" s="81"/>
      <c r="DL58" s="81"/>
      <c r="DM58" s="81"/>
      <c r="DN58" s="81"/>
      <c r="DO58" s="81"/>
      <c r="DP58" s="81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81"/>
      <c r="EB58" s="81"/>
      <c r="EC58" s="81"/>
      <c r="ED58" s="81"/>
      <c r="EE58" s="81"/>
      <c r="EF58" s="81"/>
      <c r="EG58" s="81"/>
      <c r="EH58" s="81"/>
      <c r="EI58" s="81"/>
      <c r="EJ58" s="81"/>
      <c r="EK58" s="81"/>
      <c r="EL58" s="81"/>
      <c r="EM58" s="81"/>
      <c r="EN58" s="81"/>
      <c r="EO58" s="81"/>
      <c r="EP58" s="81"/>
      <c r="EQ58" s="81"/>
      <c r="ER58" s="81"/>
      <c r="ES58" s="81"/>
      <c r="ET58" s="81"/>
      <c r="EU58" s="81"/>
      <c r="EV58" s="81"/>
      <c r="EW58" s="81"/>
      <c r="EX58" s="81"/>
      <c r="EY58" s="81"/>
      <c r="EZ58" s="81"/>
      <c r="FA58" s="81"/>
      <c r="FB58" s="81"/>
      <c r="FC58" s="81"/>
      <c r="FD58" s="81"/>
      <c r="FE58" s="81"/>
      <c r="FF58" s="81"/>
      <c r="FG58" s="81"/>
      <c r="FH58" s="81"/>
      <c r="FI58" s="81"/>
      <c r="FJ58" s="81"/>
      <c r="FK58" s="81"/>
      <c r="FL58" s="81"/>
      <c r="FM58" s="81"/>
      <c r="FN58" s="81"/>
      <c r="FO58" s="81"/>
      <c r="FP58" s="81"/>
      <c r="FQ58" s="81"/>
      <c r="FR58" s="81"/>
      <c r="FS58" s="81"/>
      <c r="FT58" s="81"/>
      <c r="FU58" s="81"/>
      <c r="FV58" s="81"/>
      <c r="FW58" s="81"/>
      <c r="FX58" s="81"/>
      <c r="FY58" s="81"/>
      <c r="FZ58" s="81"/>
      <c r="GA58" s="81"/>
      <c r="GB58" s="81"/>
      <c r="GC58" s="81"/>
      <c r="GD58" s="81"/>
      <c r="GE58" s="81"/>
      <c r="GF58" s="81"/>
      <c r="GG58" s="81"/>
      <c r="GH58" s="81"/>
      <c r="GI58" s="81"/>
      <c r="GJ58" s="81"/>
      <c r="GK58" s="81"/>
      <c r="GL58" s="81"/>
      <c r="GM58" s="81"/>
      <c r="GN58" s="81"/>
      <c r="GO58" s="81"/>
      <c r="GP58" s="81"/>
      <c r="GQ58" s="81"/>
      <c r="GR58" s="81"/>
      <c r="GS58" s="81"/>
      <c r="GT58" s="81"/>
      <c r="GU58" s="81"/>
      <c r="GV58" s="81"/>
      <c r="GW58" s="81"/>
      <c r="GX58" s="81"/>
      <c r="GY58" s="81"/>
      <c r="GZ58" s="81"/>
      <c r="HA58" s="81"/>
      <c r="HB58" s="81"/>
      <c r="HC58" s="81"/>
      <c r="HD58" s="81"/>
      <c r="HE58" s="81"/>
      <c r="HF58" s="81"/>
      <c r="HG58" s="81"/>
      <c r="HH58" s="81"/>
      <c r="HI58" s="81"/>
      <c r="HJ58" s="81"/>
      <c r="HK58" s="81"/>
      <c r="HL58" s="81"/>
      <c r="HM58" s="81"/>
      <c r="HN58" s="81"/>
      <c r="HO58" s="81"/>
      <c r="HP58" s="81"/>
      <c r="HQ58" s="81"/>
      <c r="HR58" s="81"/>
      <c r="HS58" s="81"/>
      <c r="HT58" s="81"/>
      <c r="HU58" s="81"/>
      <c r="HV58" s="81"/>
      <c r="HW58" s="81"/>
      <c r="HX58" s="81"/>
      <c r="HY58" s="81"/>
      <c r="HZ58" s="81"/>
      <c r="IA58" s="81"/>
      <c r="IB58" s="81"/>
      <c r="IC58" s="81"/>
      <c r="ID58" s="81"/>
      <c r="IE58" s="81"/>
      <c r="IF58" s="81"/>
      <c r="IG58" s="81"/>
      <c r="IH58" s="81"/>
      <c r="II58" s="81"/>
      <c r="IJ58" s="81"/>
      <c r="IK58" s="81"/>
      <c r="IL58" s="81"/>
      <c r="IM58" s="81"/>
      <c r="IN58" s="81"/>
      <c r="IO58" s="81"/>
      <c r="IP58" s="81"/>
      <c r="IQ58" s="81"/>
      <c r="IR58" s="81"/>
      <c r="IS58" s="81"/>
      <c r="IT58" s="81"/>
      <c r="IU58" s="81"/>
      <c r="IV58" s="81"/>
      <c r="IW58" s="81"/>
    </row>
    <row r="59" customFormat="false" ht="12.75" hidden="false" customHeight="false" outlineLevel="0" collapsed="false">
      <c r="A59" s="81"/>
      <c r="B59" s="82" t="s">
        <v>60</v>
      </c>
      <c r="C59" s="83" t="s">
        <v>223</v>
      </c>
      <c r="D59" s="83" t="s">
        <v>257</v>
      </c>
      <c r="E59" s="84" t="n">
        <v>36831</v>
      </c>
      <c r="F59" s="84" t="n">
        <v>37195</v>
      </c>
      <c r="G59" s="82" t="s">
        <v>254</v>
      </c>
      <c r="H59" s="82" t="s">
        <v>287</v>
      </c>
      <c r="I59" s="83" t="s">
        <v>80</v>
      </c>
      <c r="J59" s="85" t="n">
        <f aca="false">6.431/J$1</f>
        <v>0.207451612903226</v>
      </c>
      <c r="K59" s="86" t="n">
        <v>0.0132</v>
      </c>
      <c r="L59" s="86" t="n">
        <v>0.0022</v>
      </c>
      <c r="M59" s="86" t="n">
        <v>0.0072</v>
      </c>
      <c r="N59" s="86" t="n">
        <v>0</v>
      </c>
      <c r="O59" s="87" t="n">
        <v>0.02116</v>
      </c>
      <c r="P59" s="86" t="n">
        <f aca="false">SUM(J59:N59)</f>
        <v>0.230051612903226</v>
      </c>
      <c r="Q59" s="88" t="n">
        <v>69709</v>
      </c>
      <c r="R59" s="83" t="n">
        <v>36</v>
      </c>
      <c r="S59" s="82" t="s">
        <v>304</v>
      </c>
      <c r="T59" s="90" t="n">
        <f aca="false">J59*J$1*R59</f>
        <v>231.516</v>
      </c>
      <c r="U59" s="91" t="s">
        <v>305</v>
      </c>
      <c r="V59" s="82"/>
      <c r="W59" s="92"/>
      <c r="X59" s="92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12.75" hidden="false" customHeight="false" outlineLevel="0" collapsed="false">
      <c r="A60" s="81"/>
      <c r="B60" s="82" t="s">
        <v>60</v>
      </c>
      <c r="C60" s="83" t="s">
        <v>223</v>
      </c>
      <c r="D60" s="83" t="s">
        <v>257</v>
      </c>
      <c r="E60" s="84" t="n">
        <v>36831</v>
      </c>
      <c r="F60" s="84" t="n">
        <v>37195</v>
      </c>
      <c r="G60" s="82" t="s">
        <v>254</v>
      </c>
      <c r="H60" s="82" t="s">
        <v>279</v>
      </c>
      <c r="I60" s="83" t="s">
        <v>80</v>
      </c>
      <c r="J60" s="85" t="n">
        <f aca="false">6.431/J$1</f>
        <v>0.207451612903226</v>
      </c>
      <c r="K60" s="86" t="n">
        <v>0.0132</v>
      </c>
      <c r="L60" s="86" t="n">
        <v>0.0022</v>
      </c>
      <c r="M60" s="86" t="n">
        <v>0.0072</v>
      </c>
      <c r="N60" s="86" t="n">
        <v>0</v>
      </c>
      <c r="O60" s="87" t="n">
        <v>0.02116</v>
      </c>
      <c r="P60" s="86" t="n">
        <f aca="false">SUM(J60:N60)</f>
        <v>0.230051612903226</v>
      </c>
      <c r="Q60" s="88" t="n">
        <v>69709</v>
      </c>
      <c r="R60" s="83" t="n">
        <v>63</v>
      </c>
      <c r="S60" s="82" t="s">
        <v>304</v>
      </c>
      <c r="T60" s="90" t="n">
        <f aca="false">J60*J$1*R60</f>
        <v>405.153</v>
      </c>
      <c r="U60" s="91" t="s">
        <v>305</v>
      </c>
      <c r="V60" s="82"/>
      <c r="W60" s="92"/>
      <c r="X60" s="92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12.75" hidden="false" customHeight="false" outlineLevel="0" collapsed="false">
      <c r="A61" s="81"/>
      <c r="B61" s="82" t="s">
        <v>60</v>
      </c>
      <c r="C61" s="83" t="s">
        <v>223</v>
      </c>
      <c r="D61" s="83" t="s">
        <v>224</v>
      </c>
      <c r="E61" s="84" t="n">
        <v>36831</v>
      </c>
      <c r="F61" s="84" t="n">
        <v>37195</v>
      </c>
      <c r="G61" s="82" t="s">
        <v>254</v>
      </c>
      <c r="H61" s="82" t="s">
        <v>306</v>
      </c>
      <c r="I61" s="83" t="s">
        <v>80</v>
      </c>
      <c r="J61" s="85" t="n">
        <f aca="false">6.354/J$1</f>
        <v>0.204967741935484</v>
      </c>
      <c r="K61" s="86" t="n">
        <v>0.0132</v>
      </c>
      <c r="L61" s="86" t="n">
        <v>0.0022</v>
      </c>
      <c r="M61" s="86" t="n">
        <v>0.0072</v>
      </c>
      <c r="N61" s="86" t="n">
        <v>0</v>
      </c>
      <c r="O61" s="87" t="n">
        <v>0.02116</v>
      </c>
      <c r="P61" s="86" t="n">
        <f aca="false">SUM(J61:N61)</f>
        <v>0.227567741935484</v>
      </c>
      <c r="Q61" s="88" t="n">
        <v>69823</v>
      </c>
      <c r="R61" s="83" t="n">
        <v>1000</v>
      </c>
      <c r="S61" s="82" t="s">
        <v>307</v>
      </c>
      <c r="T61" s="90" t="n">
        <f aca="false">J61*J$1*R61</f>
        <v>6354</v>
      </c>
      <c r="U61" s="91" t="s">
        <v>308</v>
      </c>
      <c r="V61" s="82"/>
      <c r="W61" s="92"/>
      <c r="X61" s="92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12.75" hidden="false" customHeight="false" outlineLevel="0" collapsed="false">
      <c r="A62" s="81"/>
      <c r="B62" s="82" t="s">
        <v>60</v>
      </c>
      <c r="C62" s="83" t="s">
        <v>223</v>
      </c>
      <c r="D62" s="83" t="s">
        <v>309</v>
      </c>
      <c r="E62" s="84" t="n">
        <v>36861</v>
      </c>
      <c r="F62" s="84" t="n">
        <v>37225</v>
      </c>
      <c r="G62" s="82" t="s">
        <v>254</v>
      </c>
      <c r="H62" s="82" t="s">
        <v>284</v>
      </c>
      <c r="I62" s="83" t="s">
        <v>80</v>
      </c>
      <c r="J62" s="85" t="n">
        <f aca="false">6.431/J$1</f>
        <v>0.207451612903226</v>
      </c>
      <c r="K62" s="86"/>
      <c r="L62" s="86"/>
      <c r="M62" s="86"/>
      <c r="N62" s="86"/>
      <c r="O62" s="87"/>
      <c r="P62" s="86"/>
      <c r="Q62" s="88" t="n">
        <v>69948</v>
      </c>
      <c r="R62" s="83" t="n">
        <v>1</v>
      </c>
      <c r="S62" s="82" t="s">
        <v>310</v>
      </c>
      <c r="T62" s="90" t="n">
        <f aca="false">J62*J$1*R62</f>
        <v>6.431</v>
      </c>
      <c r="U62" s="91" t="n">
        <v>490966</v>
      </c>
      <c r="V62" s="82"/>
      <c r="W62" s="92"/>
      <c r="X62" s="92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12.75" hidden="false" customHeight="false" outlineLevel="0" collapsed="false">
      <c r="A63" s="81"/>
      <c r="B63" s="82" t="s">
        <v>60</v>
      </c>
      <c r="C63" s="83" t="s">
        <v>223</v>
      </c>
      <c r="D63" s="83" t="s">
        <v>309</v>
      </c>
      <c r="E63" s="84" t="n">
        <v>36861</v>
      </c>
      <c r="F63" s="84" t="n">
        <v>37225</v>
      </c>
      <c r="G63" s="82" t="s">
        <v>254</v>
      </c>
      <c r="H63" s="82" t="s">
        <v>281</v>
      </c>
      <c r="I63" s="83" t="s">
        <v>80</v>
      </c>
      <c r="J63" s="85" t="n">
        <f aca="false">6.431/J$1</f>
        <v>0.207451612903226</v>
      </c>
      <c r="K63" s="86"/>
      <c r="L63" s="86"/>
      <c r="M63" s="86"/>
      <c r="N63" s="86"/>
      <c r="O63" s="87"/>
      <c r="P63" s="86"/>
      <c r="Q63" s="88" t="n">
        <v>69948</v>
      </c>
      <c r="R63" s="83" t="n">
        <v>1</v>
      </c>
      <c r="S63" s="82" t="s">
        <v>310</v>
      </c>
      <c r="T63" s="90" t="n">
        <f aca="false">J63*J$1*R63</f>
        <v>6.431</v>
      </c>
      <c r="U63" s="91" t="n">
        <v>490966</v>
      </c>
      <c r="V63" s="82"/>
      <c r="W63" s="92"/>
      <c r="X63" s="92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12.75" hidden="false" customHeight="false" outlineLevel="0" collapsed="false">
      <c r="A64" s="81"/>
      <c r="B64" s="82" t="s">
        <v>60</v>
      </c>
      <c r="C64" s="83" t="s">
        <v>223</v>
      </c>
      <c r="D64" s="83" t="s">
        <v>311</v>
      </c>
      <c r="E64" s="84" t="n">
        <v>36894</v>
      </c>
      <c r="F64" s="84" t="n">
        <v>37287</v>
      </c>
      <c r="G64" s="82" t="s">
        <v>254</v>
      </c>
      <c r="H64" s="82" t="s">
        <v>281</v>
      </c>
      <c r="I64" s="83" t="s">
        <v>80</v>
      </c>
      <c r="J64" s="85" t="n">
        <f aca="false">6.431/J$1</f>
        <v>0.207451612903226</v>
      </c>
      <c r="K64" s="86"/>
      <c r="L64" s="86"/>
      <c r="M64" s="86"/>
      <c r="N64" s="86"/>
      <c r="O64" s="87"/>
      <c r="P64" s="86"/>
      <c r="Q64" s="88" t="n">
        <v>70285</v>
      </c>
      <c r="R64" s="83" t="n">
        <v>1</v>
      </c>
      <c r="S64" s="82" t="s">
        <v>312</v>
      </c>
      <c r="T64" s="90" t="n">
        <f aca="false">J64*J$1*R64</f>
        <v>6.431</v>
      </c>
      <c r="U64" s="91" t="n">
        <v>553660</v>
      </c>
      <c r="V64" s="82"/>
      <c r="W64" s="92"/>
      <c r="X64" s="92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2.75" hidden="false" customHeight="false" outlineLevel="0" collapsed="false">
      <c r="A65" s="81"/>
      <c r="B65" s="82" t="s">
        <v>60</v>
      </c>
      <c r="C65" s="83" t="s">
        <v>223</v>
      </c>
      <c r="D65" s="83" t="s">
        <v>309</v>
      </c>
      <c r="E65" s="84" t="n">
        <v>36861</v>
      </c>
      <c r="F65" s="84" t="n">
        <v>37225</v>
      </c>
      <c r="G65" s="82" t="s">
        <v>254</v>
      </c>
      <c r="H65" s="82" t="s">
        <v>287</v>
      </c>
      <c r="I65" s="83" t="s">
        <v>80</v>
      </c>
      <c r="J65" s="85" t="n">
        <f aca="false">6.431/J$1</f>
        <v>0.207451612903226</v>
      </c>
      <c r="K65" s="86"/>
      <c r="L65" s="86"/>
      <c r="M65" s="86"/>
      <c r="N65" s="86"/>
      <c r="O65" s="87"/>
      <c r="P65" s="86"/>
      <c r="Q65" s="88" t="n">
        <v>69948</v>
      </c>
      <c r="R65" s="83" t="n">
        <v>1</v>
      </c>
      <c r="S65" s="82" t="s">
        <v>310</v>
      </c>
      <c r="T65" s="90" t="n">
        <f aca="false">J65*J$1*R65</f>
        <v>6.431</v>
      </c>
      <c r="U65" s="91" t="n">
        <v>490966</v>
      </c>
      <c r="V65" s="82"/>
      <c r="W65" s="92"/>
      <c r="X65" s="92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2.75" hidden="false" customHeight="false" outlineLevel="0" collapsed="false">
      <c r="T66" s="106"/>
    </row>
    <row r="67" customFormat="false" ht="12.75" hidden="false" customHeight="false" outlineLevel="0" collapsed="false">
      <c r="B67" s="149" t="s">
        <v>110</v>
      </c>
      <c r="C67" s="150" t="s">
        <v>110</v>
      </c>
      <c r="D67" s="150" t="s">
        <v>110</v>
      </c>
      <c r="E67" s="152" t="s">
        <v>110</v>
      </c>
      <c r="F67" s="152" t="s">
        <v>110</v>
      </c>
      <c r="G67" s="149" t="s">
        <v>110</v>
      </c>
      <c r="H67" s="153" t="s">
        <v>110</v>
      </c>
      <c r="I67" s="150" t="s">
        <v>110</v>
      </c>
      <c r="J67" s="154"/>
      <c r="K67" s="155"/>
      <c r="L67" s="155"/>
      <c r="M67" s="155"/>
      <c r="N67" s="155"/>
      <c r="O67" s="156"/>
      <c r="P67" s="155"/>
      <c r="Q67" s="157" t="s">
        <v>110</v>
      </c>
      <c r="R67" s="150"/>
      <c r="S67" s="149" t="s">
        <v>110</v>
      </c>
      <c r="T67" s="158" t="n">
        <f aca="false">SUM(T8:T65)</f>
        <v>1183822.5706</v>
      </c>
      <c r="U67" s="159"/>
      <c r="V67" s="153"/>
      <c r="W67" s="80"/>
      <c r="X67" s="80"/>
    </row>
    <row r="68" customFormat="false" ht="12.75" hidden="false" customHeight="false" outlineLevel="0" collapsed="false">
      <c r="B68" s="49"/>
      <c r="C68" s="52"/>
      <c r="D68" s="52"/>
      <c r="E68" s="53"/>
      <c r="F68" s="53"/>
      <c r="G68" s="54"/>
      <c r="H68" s="54"/>
      <c r="I68" s="52"/>
      <c r="J68" s="57"/>
      <c r="K68" s="57"/>
      <c r="L68" s="57"/>
      <c r="M68" s="57"/>
      <c r="N68" s="57"/>
      <c r="O68" s="58"/>
      <c r="P68" s="57"/>
      <c r="Q68" s="141"/>
      <c r="R68" s="142"/>
      <c r="S68" s="61"/>
      <c r="T68" s="61"/>
      <c r="U68" s="62"/>
      <c r="V68" s="63"/>
      <c r="W68" s="64"/>
      <c r="X68" s="64"/>
    </row>
    <row r="69" customFormat="false" ht="12.75" hidden="false" customHeight="false" outlineLevel="0" collapsed="false">
      <c r="B69" s="49"/>
      <c r="C69" s="52"/>
      <c r="D69" s="52"/>
      <c r="E69" s="53"/>
      <c r="F69" s="53"/>
      <c r="G69" s="54"/>
      <c r="H69" s="54"/>
      <c r="I69" s="52"/>
      <c r="J69" s="66"/>
      <c r="K69" s="57"/>
      <c r="L69" s="57"/>
      <c r="M69" s="57"/>
      <c r="N69" s="57"/>
      <c r="O69" s="58"/>
      <c r="P69" s="57"/>
      <c r="Q69" s="141"/>
      <c r="R69" s="142"/>
      <c r="S69" s="61"/>
      <c r="T69" s="61"/>
      <c r="U69" s="62"/>
      <c r="V69" s="63"/>
      <c r="W69" s="64"/>
      <c r="X69" s="64"/>
    </row>
    <row r="70" customFormat="false" ht="13.5" hidden="false" customHeight="false" outlineLevel="0" collapsed="false">
      <c r="B70" s="49"/>
      <c r="C70" s="52"/>
      <c r="D70" s="52"/>
      <c r="E70" s="53"/>
      <c r="F70" s="53"/>
      <c r="G70" s="54"/>
      <c r="H70" s="54"/>
      <c r="I70" s="52"/>
      <c r="J70" s="57"/>
      <c r="K70" s="57"/>
      <c r="L70" s="57"/>
      <c r="M70" s="57"/>
      <c r="N70" s="57"/>
      <c r="O70" s="58"/>
      <c r="P70" s="57"/>
      <c r="Q70" s="141"/>
      <c r="R70" s="142"/>
      <c r="S70" s="61"/>
      <c r="T70" s="143" t="n">
        <f aca="false">SUM(T67)</f>
        <v>1183822.5706</v>
      </c>
      <c r="U70" s="62" t="s">
        <v>313</v>
      </c>
      <c r="V70" s="63"/>
      <c r="W70" s="64"/>
      <c r="X70" s="64"/>
    </row>
    <row r="71" customFormat="false" ht="13.5" hidden="false" customHeight="false" outlineLevel="0" collapsed="false">
      <c r="B71" s="49"/>
      <c r="C71" s="52"/>
      <c r="D71" s="52"/>
      <c r="E71" s="53"/>
      <c r="F71" s="53"/>
      <c r="G71" s="54"/>
      <c r="H71" s="54"/>
      <c r="I71" s="52"/>
      <c r="J71" s="57"/>
      <c r="K71" s="57"/>
      <c r="L71" s="57"/>
      <c r="M71" s="57"/>
      <c r="N71" s="57"/>
      <c r="O71" s="58"/>
      <c r="P71" s="57"/>
      <c r="Q71" s="141"/>
      <c r="R71" s="142"/>
      <c r="S71" s="61"/>
      <c r="V71" s="63"/>
      <c r="W71" s="144"/>
      <c r="X71" s="64"/>
    </row>
    <row r="72" customFormat="false" ht="12.75" hidden="false" customHeight="false" outlineLevel="0" collapsed="false">
      <c r="B72" s="49"/>
      <c r="C72" s="52"/>
      <c r="D72" s="52"/>
      <c r="E72" s="53"/>
      <c r="F72" s="53"/>
      <c r="G72" s="54"/>
      <c r="H72" s="54"/>
      <c r="I72" s="52"/>
      <c r="J72" s="57"/>
      <c r="K72" s="57"/>
      <c r="L72" s="57"/>
      <c r="M72" s="57"/>
      <c r="N72" s="57"/>
      <c r="O72" s="58"/>
      <c r="P72" s="57"/>
      <c r="Q72" s="141"/>
      <c r="R72" s="142"/>
      <c r="S72" s="61"/>
      <c r="T72" s="61" t="n">
        <v>10000</v>
      </c>
      <c r="U72" s="165" t="s">
        <v>314</v>
      </c>
      <c r="V72" s="63"/>
      <c r="W72" s="64"/>
      <c r="X72" s="64"/>
    </row>
    <row r="73" customFormat="false" ht="12.75" hidden="false" customHeight="false" outlineLevel="0" collapsed="false">
      <c r="B73" s="49"/>
      <c r="C73" s="52"/>
      <c r="D73" s="52"/>
      <c r="E73" s="53"/>
      <c r="F73" s="53"/>
      <c r="G73" s="54"/>
      <c r="H73" s="54"/>
      <c r="I73" s="52"/>
      <c r="J73" s="57"/>
      <c r="K73" s="57"/>
      <c r="L73" s="57"/>
      <c r="M73" s="57"/>
      <c r="N73" s="57"/>
      <c r="O73" s="58"/>
      <c r="P73" s="57"/>
      <c r="Q73" s="141"/>
      <c r="R73" s="142"/>
      <c r="S73" s="61"/>
      <c r="T73" s="61"/>
      <c r="U73" s="62"/>
      <c r="V73" s="63"/>
      <c r="W73" s="64"/>
      <c r="X73" s="64"/>
    </row>
    <row r="74" customFormat="false" ht="12.75" hidden="false" customHeight="false" outlineLevel="0" collapsed="false">
      <c r="B74" s="49"/>
      <c r="C74" s="52"/>
      <c r="D74" s="52"/>
      <c r="E74" s="53"/>
      <c r="F74" s="53"/>
      <c r="G74" s="54"/>
      <c r="H74" s="54"/>
      <c r="I74" s="52"/>
      <c r="J74" s="66"/>
      <c r="K74" s="57"/>
      <c r="L74" s="57"/>
      <c r="M74" s="57"/>
      <c r="N74" s="57"/>
      <c r="O74" s="58"/>
      <c r="P74" s="57"/>
      <c r="Q74" s="141"/>
      <c r="R74" s="142"/>
      <c r="S74" s="144"/>
      <c r="T74" s="61"/>
      <c r="U74" s="62"/>
      <c r="V74" s="63"/>
      <c r="W74" s="64"/>
      <c r="X74" s="64"/>
    </row>
    <row r="75" customFormat="false" ht="12.75" hidden="false" customHeight="false" outlineLevel="0" collapsed="false">
      <c r="B75" s="49"/>
      <c r="C75" s="52"/>
      <c r="D75" s="52"/>
      <c r="E75" s="53"/>
      <c r="F75" s="53"/>
      <c r="G75" s="54"/>
      <c r="H75" s="54"/>
      <c r="I75" s="52"/>
      <c r="J75" s="66"/>
      <c r="K75" s="57"/>
      <c r="L75" s="57"/>
      <c r="M75" s="57"/>
      <c r="N75" s="57"/>
      <c r="O75" s="58"/>
      <c r="P75" s="57"/>
      <c r="Q75" s="141"/>
      <c r="R75" s="142"/>
      <c r="S75" s="144"/>
      <c r="T75" s="61"/>
      <c r="U75" s="62"/>
      <c r="V75" s="63"/>
      <c r="W75" s="64"/>
      <c r="X75" s="64"/>
    </row>
    <row r="76" customFormat="false" ht="12.75" hidden="false" customHeight="false" outlineLevel="0" collapsed="false">
      <c r="Q76" s="146"/>
      <c r="R76" s="146"/>
      <c r="S76" s="146"/>
      <c r="T76" s="146"/>
      <c r="U76" s="147"/>
      <c r="V76" s="148"/>
      <c r="W76" s="147"/>
    </row>
    <row r="77" customFormat="false" ht="12.75" hidden="false" customHeight="false" outlineLevel="0" collapsed="false">
      <c r="Q77" s="146"/>
      <c r="R77" s="146"/>
      <c r="S77" s="146"/>
      <c r="T77" s="146"/>
      <c r="U77" s="147"/>
      <c r="V77" s="148"/>
      <c r="W77" s="1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