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East'!$A$1:$AC$82</definedName>
    <definedName function="false" hidden="false" localSheetId="6" name="_xlnm.Print_Area" vbProcedure="false">'New Retail Mrkt'!$A$7:$V$67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547583 is the sale to New Power at IF + .45, deal 551053 is the purchase at the FOM price.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3</xdr:row>
                <xdr:rowOff>7</xdr:rowOff>
              </xdr:from>
              <xdr:to>
                <xdr:col>12</xdr:col>
                <xdr:colOff>13</xdr:colOff>
                <xdr:row>9</xdr:row>
                <xdr:rowOff>9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3</xdr:row>
                <xdr:rowOff>7</xdr:rowOff>
              </xdr:from>
              <xdr:to>
                <xdr:col>7</xdr:col>
                <xdr:colOff>37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23</xdr:col>
                <xdr:colOff>21</xdr:colOff>
                <xdr:row>3</xdr:row>
                <xdr:rowOff>7</xdr:rowOff>
              </xdr:from>
              <xdr:to>
                <xdr:col>26</xdr:col>
                <xdr:colOff>55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<sst xmlns="http://schemas.openxmlformats.org/spreadsheetml/2006/main" count="1139" uniqueCount="296">
  <si>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</si>
  <si>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</si>
  <si>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</si>
  <si>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</si>
  <si>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</si>
  <si>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</si>
  <si>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</si>
  <si>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</si>
  <si>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</si>
  <si>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</si>
  <si>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</si>
  <si>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</si>
  <si>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</si>
  <si>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</si>
  <si>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</si>
  <si>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</si>
  <si>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</si>
  <si>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</si>
  <si>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</si>
  <si>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</si>
  <si>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</si>
  <si>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</si>
  <si>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</si>
  <si>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</si>
  <si>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</si>
  <si>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</si>
  <si>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</si>
  <si>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</si>
  <si>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</si>
  <si>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</si>
  <si>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</si>
  <si>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</si>
  <si>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</si>
  <si>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</si>
  <si>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</si>
  <si>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</si>
  <si>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EES</t>
  </si>
  <si>
    <t xml:space="preserve">ENA</t>
  </si>
  <si>
    <t xml:space="preserve">EOG</t>
  </si>
  <si>
    <t xml:space="preserve">A3 - Maumee</t>
  </si>
  <si>
    <t xml:space="preserve">A06 </t>
  </si>
  <si>
    <t xml:space="preserve">A06</t>
  </si>
  <si>
    <t xml:space="preserve">B-9  Broad Run</t>
  </si>
  <si>
    <t xml:space="preserve">C16 Delmont</t>
  </si>
  <si>
    <t xml:space="preserve">Total</t>
  </si>
  <si>
    <t xml:space="preserve">Net</t>
  </si>
  <si>
    <t xml:space="preserve">Price</t>
  </si>
  <si>
    <t xml:space="preserve">Amount</t>
  </si>
  <si>
    <t xml:space="preserve">547583 / 551053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</si>
  <si>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</si>
  <si>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</si>
  <si>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</si>
  <si>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</si>
  <si>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</si>
  <si>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</si>
  <si>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502957 less Storage</t>
  </si>
  <si>
    <t xml:space="preserve">IF On</t>
  </si>
  <si>
    <t xml:space="preserve">563831 / 563837</t>
  </si>
  <si>
    <t xml:space="preserve">Deal 549411</t>
  </si>
  <si>
    <t xml:space="preserve">Deal</t>
  </si>
  <si>
    <t xml:space="preserve">Storage</t>
  </si>
  <si>
    <t xml:space="preserve">CES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</si>
  <si>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</si>
  <si>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</si>
  <si>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</si>
  <si>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</si>
  <si>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</si>
  <si>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Per Jeff's Sheet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</si>
  <si>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</si>
  <si>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</si>
  <si>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</si>
  <si>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</si>
  <si>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</si>
  <si>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</si>
  <si>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</si>
  <si>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</si>
  <si>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</si>
  <si>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COH-Stor</t>
  </si>
  <si>
    <t xml:space="preserve">Buy/(Sell)</t>
  </si>
  <si>
    <t xml:space="preserve">???</t>
  </si>
  <si>
    <t xml:space="preserve">CGAS</t>
  </si>
  <si>
    <t xml:space="preserve">FTS</t>
  </si>
  <si>
    <t xml:space="preserve">ENA Trsp</t>
  </si>
  <si>
    <t xml:space="preserve">Index</t>
  </si>
  <si>
    <t xml:space="preserve">Storage Injection:</t>
  </si>
  <si>
    <t xml:space="preserve">Index Prem</t>
  </si>
  <si>
    <t xml:space="preserve">Comm</t>
  </si>
  <si>
    <t xml:space="preserve">Inj Comm</t>
  </si>
  <si>
    <t xml:space="preserve">Surcharges</t>
  </si>
  <si>
    <t xml:space="preserve">Fuel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</si>
  <si>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</si>
  <si>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</si>
  <si>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</si>
  <si>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</si>
  <si>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</si>
  <si>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</si>
  <si>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</si>
  <si>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</si>
  <si>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</si>
  <si>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</si>
  <si>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</si>
  <si>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</si>
  <si>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</si>
  <si>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</si>
  <si>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</si>
  <si>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</si>
  <si>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</si>
  <si>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</si>
  <si>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</si>
  <si>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</si>
  <si>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</si>
  <si>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</si>
  <si>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</si>
  <si>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</si>
  <si>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</si>
  <si>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</si>
  <si>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</si>
  <si>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</si>
  <si>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</si>
  <si>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</si>
  <si>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</si>
  <si>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</si>
  <si>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</si>
  <si>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</si>
  <si>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</si>
  <si>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</si>
  <si>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</si>
  <si>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</si>
  <si>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</si>
  <si>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</si>
  <si>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</si>
  <si>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</si>
  <si>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</si>
  <si>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</si>
  <si>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</si>
  <si>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</si>
  <si>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#27775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</si>
  <si>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</si>
  <si>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</si>
  <si>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</si>
  <si>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</si>
  <si>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</si>
  <si>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</si>
  <si>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</si>
  <si>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</si>
  <si>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</si>
  <si>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</si>
  <si>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</si>
  <si>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</si>
  <si>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</si>
  <si>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</si>
  <si>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</si>
  <si>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</si>
  <si>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</si>
  <si>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</si>
  <si>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</si>
  <si>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</si>
  <si>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</si>
  <si>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</si>
  <si>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</si>
  <si>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2000002853</t>
  </si>
  <si>
    <t xml:space="preserve">2000002908</t>
  </si>
  <si>
    <t xml:space="preserve">2000001890</t>
  </si>
  <si>
    <t xml:space="preserve">2000002899</t>
  </si>
  <si>
    <t xml:space="preserve">SGA</t>
  </si>
  <si>
    <t xml:space="preserve">FSGA25</t>
  </si>
  <si>
    <t xml:space="preserve">2000002918</t>
  </si>
  <si>
    <t xml:space="preserve">2000002550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</si>
  <si>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</si>
  <si>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</si>
  <si>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</si>
  <si>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</si>
  <si>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</si>
  <si>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#022429</t>
  </si>
  <si>
    <t xml:space="preserve">St 45</t>
  </si>
  <si>
    <t xml:space="preserve">#022371</t>
  </si>
  <si>
    <t xml:space="preserve">*</t>
  </si>
  <si>
    <t xml:space="preserve">#022369</t>
  </si>
  <si>
    <t xml:space="preserve">#22430</t>
  </si>
  <si>
    <t xml:space="preserve">#022144</t>
  </si>
  <si>
    <t xml:space="preserve">6971 St 85</t>
  </si>
  <si>
    <t xml:space="preserve">FTCHR</t>
  </si>
  <si>
    <t xml:space="preserve">#022147</t>
  </si>
  <si>
    <t xml:space="preserve">#022373</t>
  </si>
  <si>
    <t xml:space="preserve">#022140</t>
  </si>
  <si>
    <t xml:space="preserve">WSR Capacity</t>
  </si>
  <si>
    <t xml:space="preserve">WSR</t>
  </si>
  <si>
    <t xml:space="preserve">#022347</t>
  </si>
  <si>
    <t xml:space="preserve">WSR Demand</t>
  </si>
  <si>
    <t xml:space="preserve">#022079</t>
  </si>
  <si>
    <t xml:space="preserve">ESR Capacity</t>
  </si>
  <si>
    <t xml:space="preserve">ESR</t>
  </si>
  <si>
    <t xml:space="preserve">#022346</t>
  </si>
  <si>
    <t xml:space="preserve">ESR Demand</t>
  </si>
  <si>
    <t xml:space="preserve">#022078</t>
  </si>
  <si>
    <t xml:space="preserve">Z4 Holmsville</t>
  </si>
  <si>
    <t xml:space="preserve">7c</t>
  </si>
  <si>
    <t xml:space="preserve">#022372</t>
  </si>
  <si>
    <t xml:space="preserve">Sta 85</t>
  </si>
  <si>
    <t xml:space="preserve">FTSCR</t>
  </si>
  <si>
    <t xml:space="preserve">#022370</t>
  </si>
  <si>
    <t xml:space="preserve">#022142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</si>
  <si>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</si>
  <si>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</si>
  <si>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</si>
  <si>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</si>
  <si>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</si>
  <si>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</si>
  <si>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</si>
  <si>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</si>
  <si>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19-26</t>
  </si>
  <si>
    <t xml:space="preserve">#27772</t>
  </si>
  <si>
    <t xml:space="preserve">19-27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</si>
  <si>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</si>
  <si>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</si>
  <si>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</si>
  <si>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</si>
  <si>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</si>
  <si>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</si>
  <si>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</si>
  <si>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</si>
  <si>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</si>
  <si>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</si>
  <si>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</si>
  <si>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</si>
  <si>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</si>
  <si>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</si>
  <si>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</si>
  <si>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</si>
  <si>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</si>
  <si>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</si>
  <si>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</si>
  <si>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</si>
  <si>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</si>
  <si>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</si>
  <si>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</si>
  <si>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</si>
  <si>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</si>
  <si>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</si>
  <si>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</si>
  <si>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</si>
  <si>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</si>
  <si>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</si>
  <si>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</si>
  <si>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</si>
  <si>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</si>
  <si>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</si>
  <si>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</si>
  <si>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</si>
  <si>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</si>
  <si>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</si>
  <si>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</si>
  <si>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</si>
  <si>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</si>
  <si>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</si>
  <si>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</si>
  <si>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</si>
  <si>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</si>
  <si>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</si>
  <si>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</si>
  <si>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</si>
  <si>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</si>
  <si>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</si>
  <si>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</si>
  <si>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</si>
  <si>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</si>
  <si>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</si>
  <si>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</si>
  <si>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</si>
  <si>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</si>
  <si>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</si>
  <si>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</si>
  <si>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</si>
  <si>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</si>
  <si>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</si>
  <si>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</si>
  <si>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</si>
  <si>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</si>
  <si>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</si>
  <si>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</si>
  <si>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</si>
  <si>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</si>
  <si>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</si>
  <si>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</si>
  <si>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</si>
  <si>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</si>
  <si>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</si>
  <si>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</si>
  <si>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</si>
  <si>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</si>
  <si>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</si>
  <si>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</si>
  <si>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</si>
  <si>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</si>
  <si>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Deal 523459</t>
  </si>
  <si>
    <t xml:space="preserve">Sched Fee Deal 551007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</si>
</sst>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0%"/>
    <numFmt numFmtId="174" formatCode="0.0000%"/>
    <numFmt numFmtId="175" formatCode="[$-409]mmm\-yy"/>
    <numFmt numFmtId="176" formatCode="0.000%"/>
    <numFmt numFmtId="177" formatCode="[$-409]m/d/yyyy"/>
    <numFmt numFmtId="178" formatCode="#,##0"/>
    <numFmt numFmtId="179" formatCode="\$#,##0.0000_);[RED]&quot;($&quot;#,##0.0000\)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  <numFmt numFmtId="186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9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9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9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9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10" width="4.14"/>
    <col collapsed="false" customWidth="false" hidden="false" outlineLevel="0" max="22" min="22" style="10" width="9.14"/>
    <col collapsed="false" customWidth="false" hidden="false" outlineLevel="0" max="23" min="23" style="11" width="9.14"/>
    <col collapsed="false" customWidth="false" hidden="false" outlineLevel="0" max="257" min="24" style="10" width="9.14"/>
  </cols>
  <sheetData>
    <row r="2" customFormat="false" ht="12.75" hidden="false" customHeight="false" outlineLevel="0" collapsed="false">
      <c r="A2" s="12"/>
    </row>
    <row r="3" customFormat="false" ht="12.75" hidden="false" customHeight="false" outlineLevel="0" collapsed="false">
      <c r="A3" s="12"/>
      <c r="B3" s="7" t="s">
        <v>36</v>
      </c>
      <c r="F3" s="7" t="s">
        <v>36</v>
      </c>
      <c r="J3" s="7" t="s">
        <v>37</v>
      </c>
      <c r="N3" s="7" t="s">
        <v>38</v>
      </c>
      <c r="R3" s="7" t="s">
        <v>36</v>
      </c>
    </row>
    <row r="4" customFormat="false" ht="12.75" hidden="false" customHeight="false" outlineLevel="0" collapsed="false">
      <c r="A4" s="12"/>
      <c r="B4" s="7" t="s">
        <v>39</v>
      </c>
      <c r="F4" s="7" t="s">
        <v>40</v>
      </c>
      <c r="J4" s="7" t="s">
        <v>41</v>
      </c>
      <c r="N4" s="7" t="s">
        <v>42</v>
      </c>
      <c r="R4" s="7" t="s">
        <v>43</v>
      </c>
      <c r="V4" s="10" t="s">
        <v>44</v>
      </c>
      <c r="W4" s="11" t="s">
        <v>45</v>
      </c>
    </row>
    <row r="5" customFormat="false" ht="12.75" hidden="false" customHeight="false" outlineLevel="0" collapsed="false">
      <c r="A5" s="12"/>
      <c r="B5" s="13" t="n">
        <v>551050</v>
      </c>
      <c r="C5" s="8" t="s">
        <v>46</v>
      </c>
      <c r="D5" s="8" t="s">
        <v>47</v>
      </c>
      <c r="F5" s="13" t="n">
        <v>551052</v>
      </c>
      <c r="G5" s="8" t="s">
        <v>46</v>
      </c>
      <c r="H5" s="8" t="s">
        <v>47</v>
      </c>
      <c r="J5" s="13" t="s">
        <v>48</v>
      </c>
      <c r="K5" s="8" t="s">
        <v>46</v>
      </c>
      <c r="L5" s="8" t="s">
        <v>47</v>
      </c>
      <c r="N5" s="13" t="n">
        <v>551056</v>
      </c>
      <c r="O5" s="8" t="s">
        <v>46</v>
      </c>
      <c r="P5" s="8" t="s">
        <v>47</v>
      </c>
      <c r="R5" s="7" t="n">
        <v>551058</v>
      </c>
      <c r="S5" s="8" t="s">
        <v>46</v>
      </c>
      <c r="T5" s="8" t="s">
        <v>47</v>
      </c>
      <c r="V5" s="10" t="s">
        <v>49</v>
      </c>
      <c r="W5" s="11" t="s">
        <v>50</v>
      </c>
    </row>
    <row r="6" customFormat="false" ht="12.75" hidden="false" customHeight="false" outlineLevel="0" collapsed="false">
      <c r="A6" s="12" t="n">
        <v>1</v>
      </c>
      <c r="B6" s="7" t="n">
        <v>0</v>
      </c>
      <c r="C6" s="8" t="n">
        <f aca="false">10.53+0.0125</f>
        <v>10.5425</v>
      </c>
      <c r="D6" s="14" t="n">
        <f aca="false">+B6*C6</f>
        <v>0</v>
      </c>
      <c r="F6" s="7" t="n">
        <v>2374</v>
      </c>
      <c r="G6" s="8" t="n">
        <f aca="false">10.53+0.0125</f>
        <v>10.5425</v>
      </c>
      <c r="H6" s="14" t="n">
        <f aca="false">+F6*G6</f>
        <v>25027.895</v>
      </c>
      <c r="J6" s="7" t="n">
        <v>1600</v>
      </c>
      <c r="K6" s="8" t="n">
        <f aca="false">10.53+0.0125</f>
        <v>10.5425</v>
      </c>
      <c r="L6" s="14" t="n">
        <f aca="false">+J6*K6</f>
        <v>16868</v>
      </c>
      <c r="N6" s="7" t="n">
        <v>4000</v>
      </c>
      <c r="O6" s="8" t="n">
        <f aca="false">10.53+0.0125</f>
        <v>10.5425</v>
      </c>
      <c r="P6" s="14" t="n">
        <f aca="false">+N6*O6</f>
        <v>42170</v>
      </c>
      <c r="R6" s="7" t="n">
        <v>3674</v>
      </c>
      <c r="S6" s="8" t="n">
        <f aca="false">10.53+0.0125</f>
        <v>10.5425</v>
      </c>
      <c r="T6" s="14" t="n">
        <f aca="false">+R6*S6</f>
        <v>38733.145</v>
      </c>
      <c r="V6" s="9" t="n">
        <f aca="false">SUM(B6,F6,J6,N6,R6)</f>
        <v>11648</v>
      </c>
      <c r="W6" s="11" t="n">
        <f aca="false">ROUND(+V6*(1-0.02184),0)-1</f>
        <v>11393</v>
      </c>
    </row>
    <row r="7" customFormat="false" ht="12.75" hidden="false" customHeight="false" outlineLevel="0" collapsed="false">
      <c r="A7" s="12" t="n">
        <f aca="false">+A6+1</f>
        <v>2</v>
      </c>
      <c r="B7" s="7" t="n">
        <v>6005</v>
      </c>
      <c r="C7" s="8" t="n">
        <f aca="false">+C6</f>
        <v>10.5425</v>
      </c>
      <c r="D7" s="14" t="n">
        <f aca="false">+B7*C7</f>
        <v>63307.7125</v>
      </c>
      <c r="F7" s="7" t="n">
        <f aca="false">+F6</f>
        <v>2374</v>
      </c>
      <c r="G7" s="8" t="n">
        <f aca="false">+G6</f>
        <v>10.5425</v>
      </c>
      <c r="H7" s="14" t="n">
        <f aca="false">+F7*G7</f>
        <v>25027.895</v>
      </c>
      <c r="J7" s="7" t="n">
        <f aca="false">+J6</f>
        <v>1600</v>
      </c>
      <c r="K7" s="8" t="n">
        <f aca="false">+K6</f>
        <v>10.5425</v>
      </c>
      <c r="L7" s="14" t="n">
        <f aca="false">+J7*K7</f>
        <v>16868</v>
      </c>
      <c r="N7" s="7" t="n">
        <f aca="false">+N6</f>
        <v>4000</v>
      </c>
      <c r="O7" s="8" t="n">
        <f aca="false">+O6</f>
        <v>10.5425</v>
      </c>
      <c r="P7" s="14" t="n">
        <f aca="false">+N7*O7</f>
        <v>42170</v>
      </c>
      <c r="R7" s="7" t="n">
        <f aca="false">+R6</f>
        <v>3674</v>
      </c>
      <c r="S7" s="8" t="n">
        <f aca="false">+S6</f>
        <v>10.5425</v>
      </c>
      <c r="T7" s="14" t="n">
        <f aca="false">+R7*S7</f>
        <v>38733.145</v>
      </c>
      <c r="V7" s="9" t="n">
        <f aca="false">SUM(B7,F7,J7,N7,R7)</f>
        <v>17653</v>
      </c>
      <c r="W7" s="11" t="n">
        <f aca="false">ROUND(+V7*(1-0.02184),0)-1</f>
        <v>17266</v>
      </c>
    </row>
    <row r="8" customFormat="false" ht="12.75" hidden="false" customHeight="false" outlineLevel="0" collapsed="false">
      <c r="A8" s="12" t="n">
        <f aca="false">+A7+1</f>
        <v>3</v>
      </c>
      <c r="B8" s="7" t="n">
        <v>1946</v>
      </c>
      <c r="C8" s="8" t="n">
        <f aca="false">+C7</f>
        <v>10.5425</v>
      </c>
      <c r="D8" s="14" t="n">
        <f aca="false">+B8*C8</f>
        <v>20515.705</v>
      </c>
      <c r="F8" s="7" t="n">
        <f aca="false">+F7</f>
        <v>2374</v>
      </c>
      <c r="G8" s="8" t="n">
        <f aca="false">+G7</f>
        <v>10.5425</v>
      </c>
      <c r="H8" s="14" t="n">
        <f aca="false">+F8*G8</f>
        <v>25027.895</v>
      </c>
      <c r="J8" s="7" t="n">
        <f aca="false">+J7</f>
        <v>1600</v>
      </c>
      <c r="K8" s="8" t="n">
        <f aca="false">+K7</f>
        <v>10.5425</v>
      </c>
      <c r="L8" s="14" t="n">
        <f aca="false">+J8*K8</f>
        <v>16868</v>
      </c>
      <c r="N8" s="7" t="n">
        <f aca="false">+N7</f>
        <v>4000</v>
      </c>
      <c r="O8" s="8" t="n">
        <f aca="false">+O7</f>
        <v>10.5425</v>
      </c>
      <c r="P8" s="14" t="n">
        <f aca="false">+N8*O8</f>
        <v>42170</v>
      </c>
      <c r="R8" s="7" t="n">
        <f aca="false">+R7</f>
        <v>3674</v>
      </c>
      <c r="S8" s="8" t="n">
        <f aca="false">+S7</f>
        <v>10.5425</v>
      </c>
      <c r="T8" s="14" t="n">
        <f aca="false">+R8*S8</f>
        <v>38733.145</v>
      </c>
      <c r="V8" s="9" t="n">
        <f aca="false">SUM(B8,F8,J8,N8,R8)</f>
        <v>13594</v>
      </c>
      <c r="W8" s="11" t="n">
        <f aca="false">ROUND(+V8*(1-0.02184),0)-1</f>
        <v>13296</v>
      </c>
    </row>
    <row r="9" customFormat="false" ht="12.75" hidden="false" customHeight="false" outlineLevel="0" collapsed="false">
      <c r="A9" s="12" t="n">
        <f aca="false">+A8+1</f>
        <v>4</v>
      </c>
      <c r="B9" s="7" t="n">
        <v>13801</v>
      </c>
      <c r="C9" s="8" t="n">
        <f aca="false">+C8</f>
        <v>10.5425</v>
      </c>
      <c r="D9" s="14" t="n">
        <f aca="false">+B9*C9</f>
        <v>145497.0425</v>
      </c>
      <c r="F9" s="7" t="n">
        <f aca="false">+F8</f>
        <v>2374</v>
      </c>
      <c r="G9" s="8" t="n">
        <f aca="false">+G8</f>
        <v>10.5425</v>
      </c>
      <c r="H9" s="14" t="n">
        <f aca="false">+F9*G9</f>
        <v>25027.895</v>
      </c>
      <c r="J9" s="7" t="n">
        <f aca="false">+J8</f>
        <v>1600</v>
      </c>
      <c r="K9" s="8" t="n">
        <f aca="false">+K8</f>
        <v>10.5425</v>
      </c>
      <c r="L9" s="14" t="n">
        <f aca="false">+J9*K9</f>
        <v>16868</v>
      </c>
      <c r="N9" s="7" t="n">
        <f aca="false">+N8</f>
        <v>4000</v>
      </c>
      <c r="O9" s="8" t="n">
        <f aca="false">+O8</f>
        <v>10.5425</v>
      </c>
      <c r="P9" s="14" t="n">
        <f aca="false">+N9*O9</f>
        <v>42170</v>
      </c>
      <c r="R9" s="7" t="n">
        <f aca="false">+R8</f>
        <v>3674</v>
      </c>
      <c r="S9" s="8" t="n">
        <f aca="false">+S8</f>
        <v>10.5425</v>
      </c>
      <c r="T9" s="14" t="n">
        <f aca="false">+R9*S9</f>
        <v>38733.145</v>
      </c>
      <c r="V9" s="9" t="n">
        <f aca="false">SUM(B9,F9,J9,N9,R9)</f>
        <v>25449</v>
      </c>
      <c r="W9" s="11" t="n">
        <f aca="false">ROUND(+V9*(1-0.02184),0)-1</f>
        <v>24892</v>
      </c>
    </row>
    <row r="10" customFormat="false" ht="12.75" hidden="false" customHeight="false" outlineLevel="0" collapsed="false">
      <c r="A10" s="12" t="n">
        <f aca="false">+A9+1</f>
        <v>5</v>
      </c>
      <c r="B10" s="7" t="n">
        <v>3114</v>
      </c>
      <c r="C10" s="8" t="n">
        <f aca="false">+C9</f>
        <v>10.5425</v>
      </c>
      <c r="D10" s="14" t="n">
        <f aca="false">+B10*C10</f>
        <v>32829.345</v>
      </c>
      <c r="F10" s="7" t="n">
        <f aca="false">+F9</f>
        <v>2374</v>
      </c>
      <c r="G10" s="8" t="n">
        <f aca="false">+G9</f>
        <v>10.5425</v>
      </c>
      <c r="H10" s="14" t="n">
        <f aca="false">+F10*G10</f>
        <v>25027.895</v>
      </c>
      <c r="J10" s="7" t="n">
        <f aca="false">+J9</f>
        <v>1600</v>
      </c>
      <c r="K10" s="8" t="n">
        <f aca="false">+K9</f>
        <v>10.5425</v>
      </c>
      <c r="L10" s="14" t="n">
        <f aca="false">+J10*K10</f>
        <v>16868</v>
      </c>
      <c r="N10" s="7" t="n">
        <f aca="false">+N9</f>
        <v>4000</v>
      </c>
      <c r="O10" s="8" t="n">
        <f aca="false">+O9</f>
        <v>10.5425</v>
      </c>
      <c r="P10" s="14" t="n">
        <f aca="false">+N10*O10</f>
        <v>42170</v>
      </c>
      <c r="R10" s="7" t="n">
        <f aca="false">+R9</f>
        <v>3674</v>
      </c>
      <c r="S10" s="8" t="n">
        <f aca="false">+S9</f>
        <v>10.5425</v>
      </c>
      <c r="T10" s="14" t="n">
        <f aca="false">+R10*S10</f>
        <v>38733.145</v>
      </c>
      <c r="V10" s="9" t="n">
        <f aca="false">SUM(B10,F10,J10,N10,R10)</f>
        <v>14762</v>
      </c>
      <c r="W10" s="11" t="n">
        <f aca="false">ROUND(+V10*(1-0.02184),0)-1</f>
        <v>14439</v>
      </c>
    </row>
    <row r="11" customFormat="false" ht="12.75" hidden="false" customHeight="false" outlineLevel="0" collapsed="false">
      <c r="A11" s="12" t="n">
        <f aca="false">+A10+1</f>
        <v>6</v>
      </c>
      <c r="B11" s="7" t="n">
        <v>14823</v>
      </c>
      <c r="C11" s="8" t="n">
        <f aca="false">+C10</f>
        <v>10.5425</v>
      </c>
      <c r="D11" s="14" t="n">
        <f aca="false">+B11*C11</f>
        <v>156271.4775</v>
      </c>
      <c r="F11" s="7" t="n">
        <f aca="false">+F10</f>
        <v>2374</v>
      </c>
      <c r="G11" s="8" t="n">
        <f aca="false">+G10</f>
        <v>10.5425</v>
      </c>
      <c r="H11" s="14" t="n">
        <f aca="false">+F11*G11</f>
        <v>25027.895</v>
      </c>
      <c r="J11" s="7" t="n">
        <f aca="false">+J10</f>
        <v>1600</v>
      </c>
      <c r="K11" s="8" t="n">
        <f aca="false">+K10</f>
        <v>10.5425</v>
      </c>
      <c r="L11" s="14" t="n">
        <f aca="false">+J11*K11</f>
        <v>16868</v>
      </c>
      <c r="N11" s="7" t="n">
        <f aca="false">+N10</f>
        <v>4000</v>
      </c>
      <c r="O11" s="8" t="n">
        <f aca="false">+O10</f>
        <v>10.5425</v>
      </c>
      <c r="P11" s="14" t="n">
        <f aca="false">+N11*O11</f>
        <v>42170</v>
      </c>
      <c r="R11" s="7" t="n">
        <f aca="false">+R10</f>
        <v>3674</v>
      </c>
      <c r="S11" s="8" t="n">
        <f aca="false">+S10</f>
        <v>10.5425</v>
      </c>
      <c r="T11" s="14" t="n">
        <f aca="false">+R11*S11</f>
        <v>38733.145</v>
      </c>
      <c r="V11" s="9" t="n">
        <f aca="false">SUM(B11,F11,J11,N11,R11)</f>
        <v>26471</v>
      </c>
      <c r="W11" s="11" t="n">
        <f aca="false">ROUND(+V11*(1-0.02184),0)-1</f>
        <v>25892</v>
      </c>
    </row>
    <row r="12" customFormat="false" ht="12.75" hidden="false" customHeight="false" outlineLevel="0" collapsed="false">
      <c r="A12" s="12" t="n">
        <f aca="false">+A11+1</f>
        <v>7</v>
      </c>
      <c r="B12" s="7" t="n">
        <f aca="false">+B11</f>
        <v>14823</v>
      </c>
      <c r="C12" s="8" t="n">
        <f aca="false">+C11</f>
        <v>10.5425</v>
      </c>
      <c r="D12" s="14" t="n">
        <f aca="false">+B12*C12</f>
        <v>156271.4775</v>
      </c>
      <c r="F12" s="7" t="n">
        <f aca="false">+F11</f>
        <v>2374</v>
      </c>
      <c r="G12" s="8" t="n">
        <f aca="false">+G11</f>
        <v>10.5425</v>
      </c>
      <c r="H12" s="14" t="n">
        <f aca="false">+F12*G12</f>
        <v>25027.895</v>
      </c>
      <c r="J12" s="7" t="n">
        <f aca="false">+J11</f>
        <v>1600</v>
      </c>
      <c r="K12" s="8" t="n">
        <f aca="false">+K11</f>
        <v>10.5425</v>
      </c>
      <c r="L12" s="14" t="n">
        <f aca="false">+J12*K12</f>
        <v>16868</v>
      </c>
      <c r="N12" s="7" t="n">
        <f aca="false">+N11</f>
        <v>4000</v>
      </c>
      <c r="O12" s="8" t="n">
        <f aca="false">+O11</f>
        <v>10.5425</v>
      </c>
      <c r="P12" s="14" t="n">
        <f aca="false">+N12*O12</f>
        <v>42170</v>
      </c>
      <c r="R12" s="7" t="n">
        <f aca="false">+R11</f>
        <v>3674</v>
      </c>
      <c r="S12" s="8" t="n">
        <f aca="false">+S11</f>
        <v>10.5425</v>
      </c>
      <c r="T12" s="14" t="n">
        <f aca="false">+R12*S12</f>
        <v>38733.145</v>
      </c>
      <c r="V12" s="9" t="n">
        <f aca="false">SUM(B12,F12,J12,N12,R12)</f>
        <v>26471</v>
      </c>
      <c r="W12" s="11" t="n">
        <f aca="false">ROUND(+V12*(1-0.02184),0)-1</f>
        <v>25892</v>
      </c>
    </row>
    <row r="13" customFormat="false" ht="12.75" hidden="false" customHeight="false" outlineLevel="0" collapsed="false">
      <c r="A13" s="12" t="n">
        <f aca="false">+A12+1</f>
        <v>8</v>
      </c>
      <c r="B13" s="7" t="n">
        <f aca="false">+B12</f>
        <v>14823</v>
      </c>
      <c r="C13" s="8" t="n">
        <f aca="false">+C12</f>
        <v>10.5425</v>
      </c>
      <c r="D13" s="14" t="n">
        <f aca="false">+B13*C13</f>
        <v>156271.4775</v>
      </c>
      <c r="F13" s="7" t="n">
        <f aca="false">+F12</f>
        <v>2374</v>
      </c>
      <c r="G13" s="8" t="n">
        <f aca="false">+G12</f>
        <v>10.5425</v>
      </c>
      <c r="H13" s="14" t="n">
        <f aca="false">+F13*G13</f>
        <v>25027.895</v>
      </c>
      <c r="J13" s="7" t="n">
        <f aca="false">+J12</f>
        <v>1600</v>
      </c>
      <c r="K13" s="8" t="n">
        <f aca="false">+K12</f>
        <v>10.5425</v>
      </c>
      <c r="L13" s="14" t="n">
        <f aca="false">+J13*K13</f>
        <v>16868</v>
      </c>
      <c r="N13" s="7" t="n">
        <f aca="false">+N12</f>
        <v>4000</v>
      </c>
      <c r="O13" s="8" t="n">
        <f aca="false">+O12</f>
        <v>10.5425</v>
      </c>
      <c r="P13" s="14" t="n">
        <f aca="false">+N13*O13</f>
        <v>42170</v>
      </c>
      <c r="R13" s="7" t="n">
        <f aca="false">+R12</f>
        <v>3674</v>
      </c>
      <c r="S13" s="8" t="n">
        <f aca="false">+S12</f>
        <v>10.5425</v>
      </c>
      <c r="T13" s="14" t="n">
        <f aca="false">+R13*S13</f>
        <v>38733.145</v>
      </c>
      <c r="V13" s="9" t="n">
        <f aca="false">SUM(B13,F13,J13,N13,R13)</f>
        <v>26471</v>
      </c>
      <c r="W13" s="11" t="n">
        <f aca="false">ROUND(+V13*(1-0.02184),0)-1</f>
        <v>25892</v>
      </c>
    </row>
    <row r="14" customFormat="false" ht="12.75" hidden="false" customHeight="false" outlineLevel="0" collapsed="false">
      <c r="A14" s="12" t="n">
        <f aca="false">+A13+1</f>
        <v>9</v>
      </c>
      <c r="B14" s="7" t="n">
        <f aca="false">+B13</f>
        <v>14823</v>
      </c>
      <c r="C14" s="8" t="n">
        <f aca="false">+C13</f>
        <v>10.5425</v>
      </c>
      <c r="D14" s="14" t="n">
        <f aca="false">+B14*C14</f>
        <v>156271.4775</v>
      </c>
      <c r="F14" s="7" t="n">
        <f aca="false">+F13</f>
        <v>2374</v>
      </c>
      <c r="G14" s="8" t="n">
        <f aca="false">+G13</f>
        <v>10.5425</v>
      </c>
      <c r="H14" s="14" t="n">
        <f aca="false">+F14*G14</f>
        <v>25027.895</v>
      </c>
      <c r="J14" s="7" t="n">
        <f aca="false">+J13</f>
        <v>1600</v>
      </c>
      <c r="K14" s="8" t="n">
        <f aca="false">+K13</f>
        <v>10.5425</v>
      </c>
      <c r="L14" s="14" t="n">
        <f aca="false">+J14*K14</f>
        <v>16868</v>
      </c>
      <c r="N14" s="7" t="n">
        <f aca="false">+N13</f>
        <v>4000</v>
      </c>
      <c r="O14" s="8" t="n">
        <f aca="false">+O13</f>
        <v>10.5425</v>
      </c>
      <c r="P14" s="14" t="n">
        <f aca="false">+N14*O14</f>
        <v>42170</v>
      </c>
      <c r="R14" s="7" t="n">
        <f aca="false">+R13</f>
        <v>3674</v>
      </c>
      <c r="S14" s="8" t="n">
        <f aca="false">+S13</f>
        <v>10.5425</v>
      </c>
      <c r="T14" s="14" t="n">
        <f aca="false">+R14*S14</f>
        <v>38733.145</v>
      </c>
      <c r="V14" s="9" t="n">
        <f aca="false">SUM(B14,F14,J14,N14,R14)</f>
        <v>26471</v>
      </c>
      <c r="W14" s="11" t="n">
        <f aca="false">ROUND(+V14*(1-0.02184),0)-1</f>
        <v>25892</v>
      </c>
    </row>
    <row r="15" customFormat="false" ht="12.75" hidden="false" customHeight="false" outlineLevel="0" collapsed="false">
      <c r="A15" s="12" t="n">
        <f aca="false">+A14+1</f>
        <v>10</v>
      </c>
      <c r="B15" s="7" t="n">
        <f aca="false">+B14</f>
        <v>14823</v>
      </c>
      <c r="C15" s="8" t="n">
        <f aca="false">+C14</f>
        <v>10.5425</v>
      </c>
      <c r="D15" s="14" t="n">
        <f aca="false">+B15*C15</f>
        <v>156271.4775</v>
      </c>
      <c r="F15" s="7" t="n">
        <f aca="false">+F14</f>
        <v>2374</v>
      </c>
      <c r="G15" s="8" t="n">
        <f aca="false">+G14</f>
        <v>10.5425</v>
      </c>
      <c r="H15" s="14" t="n">
        <f aca="false">+F15*G15</f>
        <v>25027.895</v>
      </c>
      <c r="J15" s="7" t="n">
        <f aca="false">+J14</f>
        <v>1600</v>
      </c>
      <c r="K15" s="8" t="n">
        <f aca="false">+K14</f>
        <v>10.5425</v>
      </c>
      <c r="L15" s="14" t="n">
        <f aca="false">+J15*K15</f>
        <v>16868</v>
      </c>
      <c r="N15" s="7" t="n">
        <f aca="false">+N14</f>
        <v>4000</v>
      </c>
      <c r="O15" s="8" t="n">
        <f aca="false">+O14</f>
        <v>10.5425</v>
      </c>
      <c r="P15" s="14" t="n">
        <f aca="false">+N15*O15</f>
        <v>42170</v>
      </c>
      <c r="R15" s="7" t="n">
        <f aca="false">+R14</f>
        <v>3674</v>
      </c>
      <c r="S15" s="8" t="n">
        <f aca="false">+S14</f>
        <v>10.5425</v>
      </c>
      <c r="T15" s="14" t="n">
        <f aca="false">+R15*S15</f>
        <v>38733.145</v>
      </c>
      <c r="V15" s="9" t="n">
        <f aca="false">SUM(B15,F15,J15,N15,R15)</f>
        <v>26471</v>
      </c>
      <c r="W15" s="11" t="n">
        <f aca="false">ROUND(+V15*(1-0.02184),0)-1</f>
        <v>25892</v>
      </c>
    </row>
    <row r="16" customFormat="false" ht="12.75" hidden="false" customHeight="false" outlineLevel="0" collapsed="false">
      <c r="A16" s="12" t="n">
        <f aca="false">+A15+1</f>
        <v>11</v>
      </c>
      <c r="B16" s="7" t="n">
        <f aca="false">+B15</f>
        <v>14823</v>
      </c>
      <c r="C16" s="8" t="n">
        <f aca="false">+C15</f>
        <v>10.5425</v>
      </c>
      <c r="D16" s="14" t="n">
        <f aca="false">+B16*C16</f>
        <v>156271.4775</v>
      </c>
      <c r="F16" s="7" t="n">
        <f aca="false">+F15</f>
        <v>2374</v>
      </c>
      <c r="G16" s="8" t="n">
        <f aca="false">+G15</f>
        <v>10.5425</v>
      </c>
      <c r="H16" s="14" t="n">
        <f aca="false">+F16*G16</f>
        <v>25027.895</v>
      </c>
      <c r="J16" s="7" t="n">
        <f aca="false">+J15</f>
        <v>1600</v>
      </c>
      <c r="K16" s="8" t="n">
        <f aca="false">+K15</f>
        <v>10.5425</v>
      </c>
      <c r="L16" s="14" t="n">
        <f aca="false">+J16*K16</f>
        <v>16868</v>
      </c>
      <c r="N16" s="7" t="n">
        <f aca="false">+N15</f>
        <v>4000</v>
      </c>
      <c r="O16" s="8" t="n">
        <f aca="false">+O15</f>
        <v>10.5425</v>
      </c>
      <c r="P16" s="14" t="n">
        <f aca="false">+N16*O16</f>
        <v>42170</v>
      </c>
      <c r="R16" s="7" t="n">
        <f aca="false">+R15</f>
        <v>3674</v>
      </c>
      <c r="S16" s="8" t="n">
        <f aca="false">+S15</f>
        <v>10.5425</v>
      </c>
      <c r="T16" s="14" t="n">
        <f aca="false">+R16*S16</f>
        <v>38733.145</v>
      </c>
      <c r="V16" s="9" t="n">
        <f aca="false">SUM(B16,F16,J16,N16,R16)</f>
        <v>26471</v>
      </c>
      <c r="W16" s="11" t="n">
        <f aca="false">ROUND(+V16*(1-0.02184),0)-1</f>
        <v>25892</v>
      </c>
    </row>
    <row r="17" customFormat="false" ht="12.75" hidden="false" customHeight="false" outlineLevel="0" collapsed="false">
      <c r="A17" s="12" t="n">
        <f aca="false">+A16+1</f>
        <v>12</v>
      </c>
      <c r="B17" s="7" t="n">
        <f aca="false">+B16</f>
        <v>14823</v>
      </c>
      <c r="C17" s="8" t="n">
        <f aca="false">+C16</f>
        <v>10.5425</v>
      </c>
      <c r="D17" s="14" t="n">
        <f aca="false">+B17*C17</f>
        <v>156271.4775</v>
      </c>
      <c r="F17" s="7" t="n">
        <f aca="false">+F16</f>
        <v>2374</v>
      </c>
      <c r="G17" s="8" t="n">
        <f aca="false">+G16</f>
        <v>10.5425</v>
      </c>
      <c r="H17" s="14" t="n">
        <f aca="false">+F17*G17</f>
        <v>25027.895</v>
      </c>
      <c r="J17" s="7" t="n">
        <f aca="false">+J16</f>
        <v>1600</v>
      </c>
      <c r="K17" s="8" t="n">
        <f aca="false">+K16</f>
        <v>10.5425</v>
      </c>
      <c r="L17" s="14" t="n">
        <f aca="false">+J17*K17</f>
        <v>16868</v>
      </c>
      <c r="N17" s="7" t="n">
        <f aca="false">+N16</f>
        <v>4000</v>
      </c>
      <c r="O17" s="8" t="n">
        <f aca="false">+O16</f>
        <v>10.5425</v>
      </c>
      <c r="P17" s="14" t="n">
        <f aca="false">+N17*O17</f>
        <v>42170</v>
      </c>
      <c r="R17" s="7" t="n">
        <f aca="false">+R16</f>
        <v>3674</v>
      </c>
      <c r="S17" s="8" t="n">
        <f aca="false">+S16</f>
        <v>10.5425</v>
      </c>
      <c r="T17" s="14" t="n">
        <f aca="false">+R17*S17</f>
        <v>38733.145</v>
      </c>
      <c r="V17" s="9" t="n">
        <f aca="false">SUM(B17,F17,J17,N17,R17)</f>
        <v>26471</v>
      </c>
      <c r="W17" s="11" t="n">
        <f aca="false">ROUND(+V17*(1-0.02184),0)-1</f>
        <v>25892</v>
      </c>
    </row>
    <row r="18" customFormat="false" ht="12.75" hidden="false" customHeight="false" outlineLevel="0" collapsed="false">
      <c r="A18" s="12" t="n">
        <f aca="false">+A17+1</f>
        <v>13</v>
      </c>
      <c r="B18" s="7" t="n">
        <f aca="false">+B17</f>
        <v>14823</v>
      </c>
      <c r="C18" s="8" t="n">
        <f aca="false">+C17</f>
        <v>10.5425</v>
      </c>
      <c r="D18" s="14" t="n">
        <f aca="false">+B18*C18</f>
        <v>156271.4775</v>
      </c>
      <c r="F18" s="7" t="n">
        <f aca="false">+F17</f>
        <v>2374</v>
      </c>
      <c r="G18" s="8" t="n">
        <f aca="false">+G17</f>
        <v>10.5425</v>
      </c>
      <c r="H18" s="14" t="n">
        <f aca="false">+F18*G18</f>
        <v>25027.895</v>
      </c>
      <c r="J18" s="7" t="n">
        <f aca="false">+J17</f>
        <v>1600</v>
      </c>
      <c r="K18" s="8" t="n">
        <f aca="false">+K17</f>
        <v>10.5425</v>
      </c>
      <c r="L18" s="14" t="n">
        <f aca="false">+J18*K18</f>
        <v>16868</v>
      </c>
      <c r="N18" s="7" t="n">
        <f aca="false">+N17</f>
        <v>4000</v>
      </c>
      <c r="O18" s="8" t="n">
        <f aca="false">+O17</f>
        <v>10.5425</v>
      </c>
      <c r="P18" s="14" t="n">
        <f aca="false">+N18*O18</f>
        <v>42170</v>
      </c>
      <c r="R18" s="7" t="n">
        <f aca="false">+R17</f>
        <v>3674</v>
      </c>
      <c r="S18" s="8" t="n">
        <f aca="false">+S17</f>
        <v>10.5425</v>
      </c>
      <c r="T18" s="14" t="n">
        <f aca="false">+R18*S18</f>
        <v>38733.145</v>
      </c>
      <c r="V18" s="9" t="n">
        <f aca="false">SUM(B18,F18,J18,N18,R18)</f>
        <v>26471</v>
      </c>
      <c r="W18" s="11" t="n">
        <f aca="false">ROUND(+V18*(1-0.02184),0)-1</f>
        <v>25892</v>
      </c>
    </row>
    <row r="19" customFormat="false" ht="12.75" hidden="false" customHeight="false" outlineLevel="0" collapsed="false">
      <c r="A19" s="12" t="n">
        <f aca="false">+A18+1</f>
        <v>14</v>
      </c>
      <c r="B19" s="7" t="n">
        <f aca="false">+B18</f>
        <v>14823</v>
      </c>
      <c r="C19" s="8" t="n">
        <f aca="false">+C18</f>
        <v>10.5425</v>
      </c>
      <c r="D19" s="14" t="n">
        <f aca="false">+B19*C19</f>
        <v>156271.4775</v>
      </c>
      <c r="F19" s="7" t="n">
        <f aca="false">+F18</f>
        <v>2374</v>
      </c>
      <c r="G19" s="8" t="n">
        <f aca="false">+G18</f>
        <v>10.5425</v>
      </c>
      <c r="H19" s="14" t="n">
        <f aca="false">+F19*G19</f>
        <v>25027.895</v>
      </c>
      <c r="J19" s="7" t="n">
        <f aca="false">+J18</f>
        <v>1600</v>
      </c>
      <c r="K19" s="8" t="n">
        <f aca="false">+K18</f>
        <v>10.5425</v>
      </c>
      <c r="L19" s="14" t="n">
        <f aca="false">+J19*K19</f>
        <v>16868</v>
      </c>
      <c r="N19" s="7" t="n">
        <f aca="false">+N18</f>
        <v>4000</v>
      </c>
      <c r="O19" s="8" t="n">
        <f aca="false">+O18</f>
        <v>10.5425</v>
      </c>
      <c r="P19" s="14" t="n">
        <f aca="false">+N19*O19</f>
        <v>42170</v>
      </c>
      <c r="R19" s="7" t="n">
        <f aca="false">+R18</f>
        <v>3674</v>
      </c>
      <c r="S19" s="8" t="n">
        <f aca="false">+S18</f>
        <v>10.5425</v>
      </c>
      <c r="T19" s="14" t="n">
        <f aca="false">+R19*S19</f>
        <v>38733.145</v>
      </c>
      <c r="V19" s="9" t="n">
        <f aca="false">SUM(B19,F19,J19,N19,R19)</f>
        <v>26471</v>
      </c>
      <c r="W19" s="11" t="n">
        <f aca="false">ROUND(+V19*(1-0.02184),0)-1</f>
        <v>25892</v>
      </c>
    </row>
    <row r="20" customFormat="false" ht="12.75" hidden="false" customHeight="false" outlineLevel="0" collapsed="false">
      <c r="A20" s="12" t="n">
        <f aca="false">+A19+1</f>
        <v>15</v>
      </c>
      <c r="B20" s="7" t="n">
        <f aca="false">+B19</f>
        <v>14823</v>
      </c>
      <c r="C20" s="8" t="n">
        <f aca="false">+C19</f>
        <v>10.5425</v>
      </c>
      <c r="D20" s="14" t="n">
        <f aca="false">+B20*C20</f>
        <v>156271.4775</v>
      </c>
      <c r="F20" s="7" t="n">
        <f aca="false">+F19</f>
        <v>2374</v>
      </c>
      <c r="G20" s="8" t="n">
        <f aca="false">+G19</f>
        <v>10.5425</v>
      </c>
      <c r="H20" s="14" t="n">
        <f aca="false">+F20*G20</f>
        <v>25027.895</v>
      </c>
      <c r="J20" s="7" t="n">
        <f aca="false">+J19</f>
        <v>1600</v>
      </c>
      <c r="K20" s="8" t="n">
        <f aca="false">+K19</f>
        <v>10.5425</v>
      </c>
      <c r="L20" s="14" t="n">
        <f aca="false">+J20*K20</f>
        <v>16868</v>
      </c>
      <c r="N20" s="7" t="n">
        <f aca="false">+N19</f>
        <v>4000</v>
      </c>
      <c r="O20" s="8" t="n">
        <f aca="false">+O19</f>
        <v>10.5425</v>
      </c>
      <c r="P20" s="14" t="n">
        <f aca="false">+N20*O20</f>
        <v>42170</v>
      </c>
      <c r="R20" s="7" t="n">
        <f aca="false">+R19</f>
        <v>3674</v>
      </c>
      <c r="S20" s="8" t="n">
        <f aca="false">+S19</f>
        <v>10.5425</v>
      </c>
      <c r="T20" s="14" t="n">
        <f aca="false">+R20*S20</f>
        <v>38733.145</v>
      </c>
      <c r="V20" s="9" t="n">
        <f aca="false">SUM(B20,F20,J20,N20,R20)</f>
        <v>26471</v>
      </c>
      <c r="W20" s="11" t="n">
        <f aca="false">ROUND(+V20*(1-0.02184),0)-1</f>
        <v>25892</v>
      </c>
    </row>
    <row r="21" customFormat="false" ht="12.75" hidden="false" customHeight="false" outlineLevel="0" collapsed="false">
      <c r="A21" s="12" t="n">
        <f aca="false">+A20+1</f>
        <v>16</v>
      </c>
      <c r="B21" s="7" t="n">
        <f aca="false">+B20</f>
        <v>14823</v>
      </c>
      <c r="C21" s="8" t="n">
        <f aca="false">+C20</f>
        <v>10.5425</v>
      </c>
      <c r="D21" s="14" t="n">
        <f aca="false">+B21*C21</f>
        <v>156271.4775</v>
      </c>
      <c r="F21" s="7" t="n">
        <f aca="false">+F20</f>
        <v>2374</v>
      </c>
      <c r="G21" s="8" t="n">
        <f aca="false">+G20</f>
        <v>10.5425</v>
      </c>
      <c r="H21" s="14" t="n">
        <f aca="false">+F21*G21</f>
        <v>25027.895</v>
      </c>
      <c r="J21" s="7" t="n">
        <f aca="false">+J20</f>
        <v>1600</v>
      </c>
      <c r="K21" s="8" t="n">
        <f aca="false">+K20</f>
        <v>10.5425</v>
      </c>
      <c r="L21" s="14" t="n">
        <f aca="false">+J21*K21</f>
        <v>16868</v>
      </c>
      <c r="N21" s="7" t="n">
        <f aca="false">+N20</f>
        <v>4000</v>
      </c>
      <c r="O21" s="8" t="n">
        <f aca="false">+O20</f>
        <v>10.5425</v>
      </c>
      <c r="P21" s="14" t="n">
        <f aca="false">+N21*O21</f>
        <v>42170</v>
      </c>
      <c r="R21" s="7" t="n">
        <f aca="false">+R20</f>
        <v>3674</v>
      </c>
      <c r="S21" s="8" t="n">
        <f aca="false">+S20</f>
        <v>10.5425</v>
      </c>
      <c r="T21" s="14" t="n">
        <f aca="false">+R21*S21</f>
        <v>38733.145</v>
      </c>
      <c r="V21" s="9" t="n">
        <f aca="false">SUM(B21,F21,J21,N21,R21)</f>
        <v>26471</v>
      </c>
      <c r="W21" s="11" t="n">
        <f aca="false">ROUND(+V21*(1-0.02184),0)-1</f>
        <v>25892</v>
      </c>
    </row>
    <row r="22" customFormat="false" ht="12.75" hidden="false" customHeight="false" outlineLevel="0" collapsed="false">
      <c r="A22" s="12" t="n">
        <f aca="false">+A21+1</f>
        <v>17</v>
      </c>
      <c r="B22" s="7" t="n">
        <f aca="false">+B21</f>
        <v>14823</v>
      </c>
      <c r="C22" s="8" t="n">
        <f aca="false">+C21</f>
        <v>10.5425</v>
      </c>
      <c r="D22" s="14" t="n">
        <f aca="false">+B22*C22</f>
        <v>156271.4775</v>
      </c>
      <c r="F22" s="7" t="n">
        <f aca="false">+F21</f>
        <v>2374</v>
      </c>
      <c r="G22" s="8" t="n">
        <f aca="false">+G21</f>
        <v>10.5425</v>
      </c>
      <c r="H22" s="14" t="n">
        <f aca="false">+F22*G22</f>
        <v>25027.895</v>
      </c>
      <c r="J22" s="7" t="n">
        <f aca="false">+J21</f>
        <v>1600</v>
      </c>
      <c r="K22" s="8" t="n">
        <f aca="false">+K21</f>
        <v>10.5425</v>
      </c>
      <c r="L22" s="14" t="n">
        <f aca="false">+J22*K22</f>
        <v>16868</v>
      </c>
      <c r="N22" s="7" t="n">
        <f aca="false">+N21</f>
        <v>4000</v>
      </c>
      <c r="O22" s="8" t="n">
        <f aca="false">+O21</f>
        <v>10.5425</v>
      </c>
      <c r="P22" s="14" t="n">
        <f aca="false">+N22*O22</f>
        <v>42170</v>
      </c>
      <c r="R22" s="7" t="n">
        <f aca="false">+R21</f>
        <v>3674</v>
      </c>
      <c r="S22" s="8" t="n">
        <f aca="false">+S21</f>
        <v>10.5425</v>
      </c>
      <c r="T22" s="14" t="n">
        <f aca="false">+R22*S22</f>
        <v>38733.145</v>
      </c>
      <c r="V22" s="9" t="n">
        <f aca="false">SUM(B22,F22,J22,N22,R22)</f>
        <v>26471</v>
      </c>
      <c r="W22" s="11" t="n">
        <f aca="false">ROUND(+V22*(1-0.02184),0)-1</f>
        <v>25892</v>
      </c>
    </row>
    <row r="23" customFormat="false" ht="12.75" hidden="false" customHeight="false" outlineLevel="0" collapsed="false">
      <c r="A23" s="12" t="n">
        <f aca="false">+A22+1</f>
        <v>18</v>
      </c>
      <c r="B23" s="7" t="n">
        <f aca="false">+B22</f>
        <v>14823</v>
      </c>
      <c r="C23" s="8" t="n">
        <f aca="false">+C22</f>
        <v>10.5425</v>
      </c>
      <c r="D23" s="14" t="n">
        <f aca="false">+B23*C23</f>
        <v>156271.4775</v>
      </c>
      <c r="F23" s="7" t="n">
        <f aca="false">+F22</f>
        <v>2374</v>
      </c>
      <c r="G23" s="8" t="n">
        <f aca="false">+G22</f>
        <v>10.5425</v>
      </c>
      <c r="H23" s="14" t="n">
        <f aca="false">+F23*G23</f>
        <v>25027.895</v>
      </c>
      <c r="J23" s="7" t="n">
        <f aca="false">+J22</f>
        <v>1600</v>
      </c>
      <c r="K23" s="8" t="n">
        <f aca="false">+K22</f>
        <v>10.5425</v>
      </c>
      <c r="L23" s="14" t="n">
        <f aca="false">+J23*K23</f>
        <v>16868</v>
      </c>
      <c r="N23" s="7" t="n">
        <f aca="false">+N22</f>
        <v>4000</v>
      </c>
      <c r="O23" s="8" t="n">
        <f aca="false">+O22</f>
        <v>10.5425</v>
      </c>
      <c r="P23" s="14" t="n">
        <f aca="false">+N23*O23</f>
        <v>42170</v>
      </c>
      <c r="R23" s="7" t="n">
        <f aca="false">+R22</f>
        <v>3674</v>
      </c>
      <c r="S23" s="8" t="n">
        <f aca="false">+S22</f>
        <v>10.5425</v>
      </c>
      <c r="T23" s="14" t="n">
        <f aca="false">+R23*S23</f>
        <v>38733.145</v>
      </c>
      <c r="V23" s="9" t="n">
        <f aca="false">SUM(B23,F23,J23,N23,R23)</f>
        <v>26471</v>
      </c>
      <c r="W23" s="11" t="n">
        <f aca="false">ROUND(+V23*(1-0.02184),0)-1</f>
        <v>25892</v>
      </c>
    </row>
    <row r="24" customFormat="false" ht="12.75" hidden="false" customHeight="false" outlineLevel="0" collapsed="false">
      <c r="A24" s="12" t="n">
        <f aca="false">+A23+1</f>
        <v>19</v>
      </c>
      <c r="B24" s="7" t="n">
        <f aca="false">+B23</f>
        <v>14823</v>
      </c>
      <c r="C24" s="8" t="n">
        <f aca="false">+C23</f>
        <v>10.5425</v>
      </c>
      <c r="D24" s="14" t="n">
        <f aca="false">+B24*C24</f>
        <v>156271.4775</v>
      </c>
      <c r="F24" s="7" t="n">
        <f aca="false">+F23</f>
        <v>2374</v>
      </c>
      <c r="G24" s="8" t="n">
        <f aca="false">+G23</f>
        <v>10.5425</v>
      </c>
      <c r="H24" s="14" t="n">
        <f aca="false">+F24*G24</f>
        <v>25027.895</v>
      </c>
      <c r="J24" s="7" t="n">
        <f aca="false">+J23</f>
        <v>1600</v>
      </c>
      <c r="K24" s="8" t="n">
        <f aca="false">+K23</f>
        <v>10.5425</v>
      </c>
      <c r="L24" s="14" t="n">
        <f aca="false">+J24*K24</f>
        <v>16868</v>
      </c>
      <c r="N24" s="7" t="n">
        <f aca="false">+N23</f>
        <v>4000</v>
      </c>
      <c r="O24" s="8" t="n">
        <f aca="false">+O23</f>
        <v>10.5425</v>
      </c>
      <c r="P24" s="14" t="n">
        <f aca="false">+N24*O24</f>
        <v>42170</v>
      </c>
      <c r="R24" s="7" t="n">
        <f aca="false">+R23</f>
        <v>3674</v>
      </c>
      <c r="S24" s="8" t="n">
        <f aca="false">+S23</f>
        <v>10.5425</v>
      </c>
      <c r="T24" s="14" t="n">
        <f aca="false">+R24*S24</f>
        <v>38733.145</v>
      </c>
      <c r="V24" s="9" t="n">
        <f aca="false">SUM(B24,F24,J24,N24,R24)</f>
        <v>26471</v>
      </c>
      <c r="W24" s="11" t="n">
        <f aca="false">ROUND(+V24*(1-0.02184),0)-1</f>
        <v>25892</v>
      </c>
    </row>
    <row r="25" customFormat="false" ht="12.75" hidden="false" customHeight="false" outlineLevel="0" collapsed="false">
      <c r="A25" s="12" t="n">
        <f aca="false">+A24+1</f>
        <v>20</v>
      </c>
      <c r="B25" s="7" t="n">
        <f aca="false">+B24</f>
        <v>14823</v>
      </c>
      <c r="C25" s="8" t="n">
        <f aca="false">+C24</f>
        <v>10.5425</v>
      </c>
      <c r="D25" s="14" t="n">
        <f aca="false">+B25*C25</f>
        <v>156271.4775</v>
      </c>
      <c r="F25" s="7" t="n">
        <f aca="false">+F24</f>
        <v>2374</v>
      </c>
      <c r="G25" s="8" t="n">
        <f aca="false">+G24</f>
        <v>10.5425</v>
      </c>
      <c r="H25" s="14" t="n">
        <f aca="false">+F25*G25</f>
        <v>25027.895</v>
      </c>
      <c r="J25" s="7" t="n">
        <f aca="false">+J24</f>
        <v>1600</v>
      </c>
      <c r="K25" s="8" t="n">
        <f aca="false">+K24</f>
        <v>10.5425</v>
      </c>
      <c r="L25" s="14" t="n">
        <f aca="false">+J25*K25</f>
        <v>16868</v>
      </c>
      <c r="N25" s="7" t="n">
        <f aca="false">+N24</f>
        <v>4000</v>
      </c>
      <c r="O25" s="8" t="n">
        <f aca="false">+O24</f>
        <v>10.5425</v>
      </c>
      <c r="P25" s="14" t="n">
        <f aca="false">+N25*O25</f>
        <v>42170</v>
      </c>
      <c r="R25" s="7" t="n">
        <f aca="false">+R24</f>
        <v>3674</v>
      </c>
      <c r="S25" s="8" t="n">
        <f aca="false">+S24</f>
        <v>10.5425</v>
      </c>
      <c r="T25" s="14" t="n">
        <f aca="false">+R25*S25</f>
        <v>38733.145</v>
      </c>
      <c r="V25" s="9" t="n">
        <f aca="false">SUM(B25,F25,J25,N25,R25)</f>
        <v>26471</v>
      </c>
      <c r="W25" s="11" t="n">
        <f aca="false">ROUND(+V25*(1-0.02184),0)-1</f>
        <v>25892</v>
      </c>
    </row>
    <row r="26" customFormat="false" ht="12.75" hidden="false" customHeight="false" outlineLevel="0" collapsed="false">
      <c r="A26" s="12" t="n">
        <f aca="false">+A25+1</f>
        <v>21</v>
      </c>
      <c r="B26" s="7" t="n">
        <f aca="false">+B25</f>
        <v>14823</v>
      </c>
      <c r="C26" s="8" t="n">
        <f aca="false">+C25</f>
        <v>10.5425</v>
      </c>
      <c r="D26" s="14" t="n">
        <f aca="false">+B26*C26</f>
        <v>156271.4775</v>
      </c>
      <c r="F26" s="7" t="n">
        <f aca="false">+F25</f>
        <v>2374</v>
      </c>
      <c r="G26" s="8" t="n">
        <f aca="false">+G25</f>
        <v>10.5425</v>
      </c>
      <c r="H26" s="14" t="n">
        <f aca="false">+F26*G26</f>
        <v>25027.895</v>
      </c>
      <c r="J26" s="7" t="n">
        <f aca="false">+J25</f>
        <v>1600</v>
      </c>
      <c r="K26" s="8" t="n">
        <f aca="false">+K25</f>
        <v>10.5425</v>
      </c>
      <c r="L26" s="14" t="n">
        <f aca="false">+J26*K26</f>
        <v>16868</v>
      </c>
      <c r="N26" s="7" t="n">
        <f aca="false">+N25</f>
        <v>4000</v>
      </c>
      <c r="O26" s="8" t="n">
        <f aca="false">+O25</f>
        <v>10.5425</v>
      </c>
      <c r="P26" s="14" t="n">
        <f aca="false">+N26*O26</f>
        <v>42170</v>
      </c>
      <c r="R26" s="7" t="n">
        <f aca="false">+R25</f>
        <v>3674</v>
      </c>
      <c r="S26" s="8" t="n">
        <f aca="false">+S25</f>
        <v>10.5425</v>
      </c>
      <c r="T26" s="14" t="n">
        <f aca="false">+R26*S26</f>
        <v>38733.145</v>
      </c>
      <c r="V26" s="9" t="n">
        <f aca="false">SUM(B26,F26,J26,N26,R26)</f>
        <v>26471</v>
      </c>
      <c r="W26" s="11" t="n">
        <f aca="false">ROUND(+V26*(1-0.02184),0)-1</f>
        <v>25892</v>
      </c>
    </row>
    <row r="27" customFormat="false" ht="12.75" hidden="false" customHeight="false" outlineLevel="0" collapsed="false">
      <c r="A27" s="12" t="n">
        <f aca="false">+A26+1</f>
        <v>22</v>
      </c>
      <c r="B27" s="7" t="n">
        <f aca="false">+B26</f>
        <v>14823</v>
      </c>
      <c r="C27" s="8" t="n">
        <f aca="false">+C26</f>
        <v>10.5425</v>
      </c>
      <c r="D27" s="14" t="n">
        <f aca="false">+B27*C27</f>
        <v>156271.4775</v>
      </c>
      <c r="F27" s="7" t="n">
        <f aca="false">+F26</f>
        <v>2374</v>
      </c>
      <c r="G27" s="8" t="n">
        <f aca="false">+G26</f>
        <v>10.5425</v>
      </c>
      <c r="H27" s="14" t="n">
        <f aca="false">+F27*G27</f>
        <v>25027.895</v>
      </c>
      <c r="J27" s="7" t="n">
        <f aca="false">+J26</f>
        <v>1600</v>
      </c>
      <c r="K27" s="8" t="n">
        <f aca="false">+K26</f>
        <v>10.5425</v>
      </c>
      <c r="L27" s="14" t="n">
        <f aca="false">+J27*K27</f>
        <v>16868</v>
      </c>
      <c r="N27" s="7" t="n">
        <f aca="false">+N26</f>
        <v>4000</v>
      </c>
      <c r="O27" s="8" t="n">
        <f aca="false">+O26</f>
        <v>10.5425</v>
      </c>
      <c r="P27" s="14" t="n">
        <f aca="false">+N27*O27</f>
        <v>42170</v>
      </c>
      <c r="R27" s="7" t="n">
        <f aca="false">+R26</f>
        <v>3674</v>
      </c>
      <c r="S27" s="8" t="n">
        <f aca="false">+S26</f>
        <v>10.5425</v>
      </c>
      <c r="T27" s="14" t="n">
        <f aca="false">+R27*S27</f>
        <v>38733.145</v>
      </c>
      <c r="V27" s="9" t="n">
        <f aca="false">SUM(B27,F27,J27,N27,R27)</f>
        <v>26471</v>
      </c>
      <c r="W27" s="11" t="n">
        <f aca="false">ROUND(+V27*(1-0.02184),0)-1</f>
        <v>25892</v>
      </c>
    </row>
    <row r="28" customFormat="false" ht="12.75" hidden="false" customHeight="false" outlineLevel="0" collapsed="false">
      <c r="A28" s="12" t="n">
        <f aca="false">+A27+1</f>
        <v>23</v>
      </c>
      <c r="B28" s="7" t="n">
        <f aca="false">+B27</f>
        <v>14823</v>
      </c>
      <c r="C28" s="8" t="n">
        <f aca="false">+C27</f>
        <v>10.5425</v>
      </c>
      <c r="D28" s="14" t="n">
        <f aca="false">+B28*C28</f>
        <v>156271.4775</v>
      </c>
      <c r="F28" s="7" t="n">
        <f aca="false">+F27</f>
        <v>2374</v>
      </c>
      <c r="G28" s="8" t="n">
        <f aca="false">+G27</f>
        <v>10.5425</v>
      </c>
      <c r="H28" s="14" t="n">
        <f aca="false">+F28*G28</f>
        <v>25027.895</v>
      </c>
      <c r="J28" s="7" t="n">
        <f aca="false">+J27</f>
        <v>1600</v>
      </c>
      <c r="K28" s="8" t="n">
        <f aca="false">+K27</f>
        <v>10.5425</v>
      </c>
      <c r="L28" s="14" t="n">
        <f aca="false">+J28*K28</f>
        <v>16868</v>
      </c>
      <c r="N28" s="7" t="n">
        <f aca="false">+N27</f>
        <v>4000</v>
      </c>
      <c r="O28" s="8" t="n">
        <f aca="false">+O27</f>
        <v>10.5425</v>
      </c>
      <c r="P28" s="14" t="n">
        <f aca="false">+N28*O28</f>
        <v>42170</v>
      </c>
      <c r="R28" s="7" t="n">
        <f aca="false">+R27</f>
        <v>3674</v>
      </c>
      <c r="S28" s="8" t="n">
        <f aca="false">+S27</f>
        <v>10.5425</v>
      </c>
      <c r="T28" s="14" t="n">
        <f aca="false">+R28*S28</f>
        <v>38733.145</v>
      </c>
      <c r="V28" s="9" t="n">
        <f aca="false">SUM(B28,F28,J28,N28,R28)</f>
        <v>26471</v>
      </c>
      <c r="W28" s="11" t="n">
        <f aca="false">ROUND(+V28*(1-0.02184),0)-1</f>
        <v>25892</v>
      </c>
    </row>
    <row r="29" customFormat="false" ht="12.75" hidden="false" customHeight="false" outlineLevel="0" collapsed="false">
      <c r="A29" s="12" t="n">
        <f aca="false">+A28+1</f>
        <v>24</v>
      </c>
      <c r="B29" s="7" t="n">
        <f aca="false">+B28</f>
        <v>14823</v>
      </c>
      <c r="C29" s="8" t="n">
        <f aca="false">+C28</f>
        <v>10.5425</v>
      </c>
      <c r="D29" s="14" t="n">
        <f aca="false">+B29*C29</f>
        <v>156271.4775</v>
      </c>
      <c r="F29" s="7" t="n">
        <f aca="false">+F28</f>
        <v>2374</v>
      </c>
      <c r="G29" s="8" t="n">
        <f aca="false">+G28</f>
        <v>10.5425</v>
      </c>
      <c r="H29" s="14" t="n">
        <f aca="false">+F29*G29</f>
        <v>25027.895</v>
      </c>
      <c r="J29" s="7" t="n">
        <f aca="false">+J28</f>
        <v>1600</v>
      </c>
      <c r="K29" s="8" t="n">
        <f aca="false">+K28</f>
        <v>10.5425</v>
      </c>
      <c r="L29" s="14" t="n">
        <f aca="false">+J29*K29</f>
        <v>16868</v>
      </c>
      <c r="N29" s="7" t="n">
        <f aca="false">+N28</f>
        <v>4000</v>
      </c>
      <c r="O29" s="8" t="n">
        <f aca="false">+O28</f>
        <v>10.5425</v>
      </c>
      <c r="P29" s="14" t="n">
        <f aca="false">+N29*O29</f>
        <v>42170</v>
      </c>
      <c r="R29" s="7" t="n">
        <f aca="false">+R28</f>
        <v>3674</v>
      </c>
      <c r="S29" s="8" t="n">
        <f aca="false">+S28</f>
        <v>10.5425</v>
      </c>
      <c r="T29" s="14" t="n">
        <f aca="false">+R29*S29</f>
        <v>38733.145</v>
      </c>
      <c r="V29" s="9" t="n">
        <f aca="false">SUM(B29,F29,J29,N29,R29)</f>
        <v>26471</v>
      </c>
      <c r="W29" s="11" t="n">
        <f aca="false">ROUND(+V29*(1-0.02184),0)-1</f>
        <v>25892</v>
      </c>
    </row>
    <row r="30" customFormat="false" ht="12.75" hidden="false" customHeight="false" outlineLevel="0" collapsed="false">
      <c r="A30" s="12" t="n">
        <f aca="false">+A29+1</f>
        <v>25</v>
      </c>
      <c r="B30" s="7" t="n">
        <f aca="false">+B29</f>
        <v>14823</v>
      </c>
      <c r="C30" s="8" t="n">
        <f aca="false">+C29</f>
        <v>10.5425</v>
      </c>
      <c r="D30" s="14" t="n">
        <f aca="false">+B30*C30</f>
        <v>156271.4775</v>
      </c>
      <c r="F30" s="7" t="n">
        <f aca="false">+F29</f>
        <v>2374</v>
      </c>
      <c r="G30" s="8" t="n">
        <f aca="false">+G29</f>
        <v>10.5425</v>
      </c>
      <c r="H30" s="14" t="n">
        <f aca="false">+F30*G30</f>
        <v>25027.895</v>
      </c>
      <c r="J30" s="7" t="n">
        <f aca="false">+J29</f>
        <v>1600</v>
      </c>
      <c r="K30" s="8" t="n">
        <f aca="false">+K29</f>
        <v>10.5425</v>
      </c>
      <c r="L30" s="14" t="n">
        <f aca="false">+J30*K30</f>
        <v>16868</v>
      </c>
      <c r="N30" s="7" t="n">
        <f aca="false">+N29</f>
        <v>4000</v>
      </c>
      <c r="O30" s="8" t="n">
        <f aca="false">+O29</f>
        <v>10.5425</v>
      </c>
      <c r="P30" s="14" t="n">
        <f aca="false">+N30*O30</f>
        <v>42170</v>
      </c>
      <c r="R30" s="7" t="n">
        <f aca="false">+R29</f>
        <v>3674</v>
      </c>
      <c r="S30" s="8" t="n">
        <f aca="false">+S29</f>
        <v>10.5425</v>
      </c>
      <c r="T30" s="14" t="n">
        <f aca="false">+R30*S30</f>
        <v>38733.145</v>
      </c>
      <c r="V30" s="9" t="n">
        <f aca="false">SUM(B30,F30,J30,N30,R30)</f>
        <v>26471</v>
      </c>
      <c r="W30" s="11" t="n">
        <f aca="false">ROUND(+V30*(1-0.02184),0)-1</f>
        <v>25892</v>
      </c>
    </row>
    <row r="31" customFormat="false" ht="12.75" hidden="false" customHeight="false" outlineLevel="0" collapsed="false">
      <c r="A31" s="12" t="n">
        <f aca="false">+A30+1</f>
        <v>26</v>
      </c>
      <c r="B31" s="7" t="n">
        <f aca="false">+B30</f>
        <v>14823</v>
      </c>
      <c r="C31" s="8" t="n">
        <f aca="false">+C30</f>
        <v>10.5425</v>
      </c>
      <c r="D31" s="14" t="n">
        <f aca="false">+B31*C31</f>
        <v>156271.4775</v>
      </c>
      <c r="F31" s="7" t="n">
        <f aca="false">+F30</f>
        <v>2374</v>
      </c>
      <c r="G31" s="8" t="n">
        <f aca="false">+G30</f>
        <v>10.5425</v>
      </c>
      <c r="H31" s="14" t="n">
        <f aca="false">+F31*G31</f>
        <v>25027.895</v>
      </c>
      <c r="J31" s="7" t="n">
        <f aca="false">+J30</f>
        <v>1600</v>
      </c>
      <c r="K31" s="8" t="n">
        <f aca="false">+K30</f>
        <v>10.5425</v>
      </c>
      <c r="L31" s="14" t="n">
        <f aca="false">+J31*K31</f>
        <v>16868</v>
      </c>
      <c r="N31" s="7" t="n">
        <f aca="false">+N30</f>
        <v>4000</v>
      </c>
      <c r="O31" s="8" t="n">
        <f aca="false">+O30</f>
        <v>10.5425</v>
      </c>
      <c r="P31" s="14" t="n">
        <f aca="false">+N31*O31</f>
        <v>42170</v>
      </c>
      <c r="R31" s="7" t="n">
        <f aca="false">+R30</f>
        <v>3674</v>
      </c>
      <c r="S31" s="8" t="n">
        <f aca="false">+S30</f>
        <v>10.5425</v>
      </c>
      <c r="T31" s="14" t="n">
        <f aca="false">+R31*S31</f>
        <v>38733.145</v>
      </c>
      <c r="V31" s="9" t="n">
        <f aca="false">SUM(B31,F31,J31,N31,R31)</f>
        <v>26471</v>
      </c>
      <c r="W31" s="11" t="n">
        <f aca="false">ROUND(+V31*(1-0.02184),0)-1</f>
        <v>25892</v>
      </c>
    </row>
    <row r="32" customFormat="false" ht="12.75" hidden="false" customHeight="false" outlineLevel="0" collapsed="false">
      <c r="A32" s="12" t="n">
        <f aca="false">+A31+1</f>
        <v>27</v>
      </c>
      <c r="B32" s="7" t="n">
        <f aca="false">+B31</f>
        <v>14823</v>
      </c>
      <c r="C32" s="8" t="n">
        <f aca="false">+C31</f>
        <v>10.5425</v>
      </c>
      <c r="D32" s="14" t="n">
        <f aca="false">+B32*C32</f>
        <v>156271.4775</v>
      </c>
      <c r="F32" s="7" t="n">
        <f aca="false">+F31</f>
        <v>2374</v>
      </c>
      <c r="G32" s="8" t="n">
        <f aca="false">+G31</f>
        <v>10.5425</v>
      </c>
      <c r="H32" s="14" t="n">
        <f aca="false">+F32*G32</f>
        <v>25027.895</v>
      </c>
      <c r="J32" s="7" t="n">
        <f aca="false">+J31</f>
        <v>1600</v>
      </c>
      <c r="K32" s="8" t="n">
        <f aca="false">+K31</f>
        <v>10.5425</v>
      </c>
      <c r="L32" s="14" t="n">
        <f aca="false">+J32*K32</f>
        <v>16868</v>
      </c>
      <c r="N32" s="7" t="n">
        <f aca="false">+N31</f>
        <v>4000</v>
      </c>
      <c r="O32" s="8" t="n">
        <f aca="false">+O31</f>
        <v>10.5425</v>
      </c>
      <c r="P32" s="14" t="n">
        <f aca="false">+N32*O32</f>
        <v>42170</v>
      </c>
      <c r="R32" s="7" t="n">
        <f aca="false">+R31</f>
        <v>3674</v>
      </c>
      <c r="S32" s="8" t="n">
        <f aca="false">+S31</f>
        <v>10.5425</v>
      </c>
      <c r="T32" s="14" t="n">
        <f aca="false">+R32*S32</f>
        <v>38733.145</v>
      </c>
      <c r="V32" s="9" t="n">
        <f aca="false">SUM(B32,F32,J32,N32,R32)</f>
        <v>26471</v>
      </c>
      <c r="W32" s="11" t="n">
        <f aca="false">ROUND(+V32*(1-0.02184),0)-1</f>
        <v>25892</v>
      </c>
    </row>
    <row r="33" customFormat="false" ht="12.75" hidden="false" customHeight="false" outlineLevel="0" collapsed="false">
      <c r="A33" s="12" t="n">
        <f aca="false">+A32+1</f>
        <v>28</v>
      </c>
      <c r="B33" s="7" t="n">
        <f aca="false">+B32</f>
        <v>14823</v>
      </c>
      <c r="C33" s="8" t="n">
        <f aca="false">+C32</f>
        <v>10.5425</v>
      </c>
      <c r="D33" s="14" t="n">
        <f aca="false">+B33*C33</f>
        <v>156271.4775</v>
      </c>
      <c r="F33" s="7" t="n">
        <f aca="false">+F32</f>
        <v>2374</v>
      </c>
      <c r="G33" s="8" t="n">
        <f aca="false">+G32</f>
        <v>10.5425</v>
      </c>
      <c r="H33" s="14" t="n">
        <f aca="false">+F33*G33</f>
        <v>25027.895</v>
      </c>
      <c r="J33" s="7" t="n">
        <f aca="false">+J32</f>
        <v>1600</v>
      </c>
      <c r="K33" s="8" t="n">
        <f aca="false">+K32</f>
        <v>10.5425</v>
      </c>
      <c r="L33" s="14" t="n">
        <f aca="false">+J33*K33</f>
        <v>16868</v>
      </c>
      <c r="N33" s="7" t="n">
        <f aca="false">+N32</f>
        <v>4000</v>
      </c>
      <c r="O33" s="8" t="n">
        <f aca="false">+O32</f>
        <v>10.5425</v>
      </c>
      <c r="P33" s="14" t="n">
        <f aca="false">+N33*O33</f>
        <v>42170</v>
      </c>
      <c r="R33" s="7" t="n">
        <f aca="false">+R32</f>
        <v>3674</v>
      </c>
      <c r="S33" s="8" t="n">
        <f aca="false">+S32</f>
        <v>10.5425</v>
      </c>
      <c r="T33" s="14" t="n">
        <f aca="false">+R33*S33</f>
        <v>38733.145</v>
      </c>
      <c r="V33" s="9" t="n">
        <f aca="false">SUM(B33,F33,J33,N33,R33)</f>
        <v>26471</v>
      </c>
      <c r="W33" s="11" t="n">
        <f aca="false">ROUND(+V33*(1-0.02184),0)-1</f>
        <v>25892</v>
      </c>
    </row>
    <row r="34" customFormat="false" ht="12.75" hidden="false" customHeight="false" outlineLevel="0" collapsed="false">
      <c r="A34" s="12" t="n">
        <f aca="false">+A33+1</f>
        <v>29</v>
      </c>
      <c r="B34" s="7" t="n">
        <f aca="false">+B33</f>
        <v>14823</v>
      </c>
      <c r="C34" s="8" t="n">
        <f aca="false">+C33</f>
        <v>10.5425</v>
      </c>
      <c r="D34" s="14" t="n">
        <f aca="false">+B34*C34</f>
        <v>156271.4775</v>
      </c>
      <c r="F34" s="7" t="n">
        <f aca="false">+F33</f>
        <v>2374</v>
      </c>
      <c r="G34" s="8" t="n">
        <f aca="false">+G33</f>
        <v>10.5425</v>
      </c>
      <c r="H34" s="14" t="n">
        <f aca="false">+F34*G34</f>
        <v>25027.895</v>
      </c>
      <c r="J34" s="7" t="n">
        <f aca="false">+J33</f>
        <v>1600</v>
      </c>
      <c r="K34" s="8" t="n">
        <f aca="false">+K33</f>
        <v>10.5425</v>
      </c>
      <c r="L34" s="14" t="n">
        <f aca="false">+J34*K34</f>
        <v>16868</v>
      </c>
      <c r="N34" s="7" t="n">
        <f aca="false">+N33</f>
        <v>4000</v>
      </c>
      <c r="O34" s="8" t="n">
        <f aca="false">+O33</f>
        <v>10.5425</v>
      </c>
      <c r="P34" s="14" t="n">
        <f aca="false">+N34*O34</f>
        <v>42170</v>
      </c>
      <c r="R34" s="7" t="n">
        <f aca="false">+R33</f>
        <v>3674</v>
      </c>
      <c r="S34" s="8" t="n">
        <f aca="false">+S33</f>
        <v>10.5425</v>
      </c>
      <c r="T34" s="14" t="n">
        <f aca="false">+R34*S34</f>
        <v>38733.145</v>
      </c>
      <c r="V34" s="9" t="n">
        <f aca="false">SUM(B34,F34,J34,N34,R34)</f>
        <v>26471</v>
      </c>
      <c r="W34" s="11" t="n">
        <f aca="false">ROUND(+V34*(1-0.02184),0)-1</f>
        <v>25892</v>
      </c>
    </row>
    <row r="35" customFormat="false" ht="12.75" hidden="false" customHeight="false" outlineLevel="0" collapsed="false">
      <c r="A35" s="12" t="n">
        <f aca="false">+A34+1</f>
        <v>30</v>
      </c>
      <c r="B35" s="7" t="n">
        <f aca="false">+B34</f>
        <v>14823</v>
      </c>
      <c r="C35" s="8" t="n">
        <f aca="false">+C34</f>
        <v>10.5425</v>
      </c>
      <c r="D35" s="14" t="n">
        <f aca="false">+B35*C35</f>
        <v>156271.4775</v>
      </c>
      <c r="F35" s="7" t="n">
        <f aca="false">+F34</f>
        <v>2374</v>
      </c>
      <c r="G35" s="8" t="n">
        <f aca="false">+G34</f>
        <v>10.5425</v>
      </c>
      <c r="H35" s="14" t="n">
        <f aca="false">+F35*G35</f>
        <v>25027.895</v>
      </c>
      <c r="J35" s="7" t="n">
        <f aca="false">+J34</f>
        <v>1600</v>
      </c>
      <c r="K35" s="8" t="n">
        <f aca="false">+K34</f>
        <v>10.5425</v>
      </c>
      <c r="L35" s="14" t="n">
        <f aca="false">+J35*K35</f>
        <v>16868</v>
      </c>
      <c r="N35" s="7" t="n">
        <f aca="false">+N34</f>
        <v>4000</v>
      </c>
      <c r="O35" s="8" t="n">
        <f aca="false">+O34</f>
        <v>10.5425</v>
      </c>
      <c r="P35" s="14" t="n">
        <f aca="false">+N35*O35</f>
        <v>42170</v>
      </c>
      <c r="R35" s="7" t="n">
        <f aca="false">+R34</f>
        <v>3674</v>
      </c>
      <c r="S35" s="8" t="n">
        <f aca="false">+S34</f>
        <v>10.5425</v>
      </c>
      <c r="T35" s="14" t="n">
        <f aca="false">+R35*S35</f>
        <v>38733.145</v>
      </c>
      <c r="V35" s="9" t="n">
        <f aca="false">SUM(B35,F35,J35,N35,R35)</f>
        <v>26471</v>
      </c>
      <c r="W35" s="11" t="n">
        <f aca="false">ROUND(+V35*(1-0.02184),0)-1</f>
        <v>25892</v>
      </c>
    </row>
    <row r="36" customFormat="false" ht="12.75" hidden="false" customHeight="false" outlineLevel="0" collapsed="false">
      <c r="A36" s="12" t="n">
        <f aca="false">+A35+1</f>
        <v>31</v>
      </c>
      <c r="B36" s="7" t="n">
        <f aca="false">+B35</f>
        <v>14823</v>
      </c>
      <c r="C36" s="8" t="n">
        <f aca="false">+C35</f>
        <v>10.5425</v>
      </c>
      <c r="D36" s="14" t="n">
        <f aca="false">+B36*C36</f>
        <v>156271.4775</v>
      </c>
      <c r="F36" s="7" t="n">
        <f aca="false">+F35</f>
        <v>2374</v>
      </c>
      <c r="G36" s="8" t="n">
        <f aca="false">+G35</f>
        <v>10.5425</v>
      </c>
      <c r="H36" s="14" t="n">
        <f aca="false">+F36*G36</f>
        <v>25027.895</v>
      </c>
      <c r="J36" s="7" t="n">
        <f aca="false">+J35</f>
        <v>1600</v>
      </c>
      <c r="K36" s="8" t="n">
        <f aca="false">+K35</f>
        <v>10.5425</v>
      </c>
      <c r="L36" s="14" t="n">
        <f aca="false">+J36*K36</f>
        <v>16868</v>
      </c>
      <c r="N36" s="7" t="n">
        <f aca="false">+N35</f>
        <v>4000</v>
      </c>
      <c r="O36" s="8" t="n">
        <f aca="false">+O35</f>
        <v>10.5425</v>
      </c>
      <c r="P36" s="14" t="n">
        <f aca="false">+N36*O36</f>
        <v>42170</v>
      </c>
      <c r="R36" s="7" t="n">
        <f aca="false">+R35</f>
        <v>3674</v>
      </c>
      <c r="S36" s="8" t="n">
        <f aca="false">+S35</f>
        <v>10.5425</v>
      </c>
      <c r="T36" s="14" t="n">
        <f aca="false">+R36*S36</f>
        <v>38733.145</v>
      </c>
      <c r="V36" s="9" t="n">
        <f aca="false">SUM(B36,F36,J36,N36,R36)</f>
        <v>26471</v>
      </c>
      <c r="W36" s="11" t="n">
        <f aca="false">ROUND(+V36*(1-0.02184),0)-1</f>
        <v>25892</v>
      </c>
    </row>
    <row r="37" customFormat="false" ht="12.75" hidden="false" customHeight="false" outlineLevel="0" collapsed="false">
      <c r="A37" s="12"/>
    </row>
    <row r="38" customFormat="false" ht="12.75" hidden="false" customHeight="false" outlineLevel="0" collapsed="false">
      <c r="A3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9" width="12.99"/>
    <col collapsed="false" customWidth="true" hidden="false" outlineLevel="0" max="4" min="3" style="15" width="12.99"/>
    <col collapsed="false" customWidth="true" hidden="false" outlineLevel="0" max="5" min="5" style="9" width="4.28"/>
    <col collapsed="false" customWidth="true" hidden="false" outlineLevel="0" max="6" min="6" style="9" width="12.99"/>
    <col collapsed="false" customWidth="true" hidden="false" outlineLevel="0" max="8" min="7" style="15" width="12.99"/>
    <col collapsed="false" customWidth="true" hidden="false" outlineLevel="0" max="9" min="9" style="9" width="4.28"/>
    <col collapsed="false" customWidth="true" hidden="false" outlineLevel="0" max="10" min="10" style="9" width="12.99"/>
    <col collapsed="false" customWidth="true" hidden="false" outlineLevel="0" max="12" min="11" style="15" width="12.99"/>
    <col collapsed="false" customWidth="true" hidden="false" outlineLevel="0" max="13" min="13" style="9" width="4.28"/>
    <col collapsed="false" customWidth="true" hidden="false" outlineLevel="0" max="14" min="14" style="9" width="12.99"/>
    <col collapsed="false" customWidth="true" hidden="false" outlineLevel="0" max="16" min="15" style="15" width="12.99"/>
    <col collapsed="false" customWidth="true" hidden="false" outlineLevel="0" max="17" min="17" style="9" width="4.28"/>
    <col collapsed="false" customWidth="true" hidden="false" outlineLevel="0" max="18" min="18" style="9" width="12.99"/>
    <col collapsed="false" customWidth="true" hidden="false" outlineLevel="0" max="20" min="19" style="15" width="12.99"/>
    <col collapsed="false" customWidth="true" hidden="false" outlineLevel="0" max="21" min="21" style="9" width="4.28"/>
    <col collapsed="false" customWidth="true" hidden="false" outlineLevel="0" max="22" min="22" style="9" width="12.99"/>
    <col collapsed="false" customWidth="true" hidden="false" outlineLevel="0" max="24" min="23" style="15" width="12.99"/>
    <col collapsed="false" customWidth="true" hidden="false" outlineLevel="0" max="25" min="25" style="10" width="4.14"/>
    <col collapsed="false" customWidth="false" hidden="false" outlineLevel="0" max="257" min="26" style="10" width="9.14"/>
  </cols>
  <sheetData>
    <row r="2" customFormat="false" ht="12.75" hidden="false" customHeight="false" outlineLevel="0" collapsed="false">
      <c r="A2" s="12"/>
    </row>
    <row r="3" customFormat="false" ht="12.75" hidden="false" customHeight="false" outlineLevel="0" collapsed="false">
      <c r="A3" s="12"/>
    </row>
    <row r="4" customFormat="false" ht="12.75" hidden="false" customHeight="false" outlineLevel="0" collapsed="false">
      <c r="A4" s="12"/>
      <c r="Z4" s="10" t="s">
        <v>51</v>
      </c>
    </row>
    <row r="5" customFormat="false" ht="12.75" hidden="false" customHeight="false" outlineLevel="0" collapsed="false">
      <c r="A5" s="12"/>
      <c r="B5" s="9" t="s">
        <v>52</v>
      </c>
      <c r="C5" s="15" t="s">
        <v>46</v>
      </c>
      <c r="D5" s="15" t="s">
        <v>47</v>
      </c>
      <c r="F5" s="9" t="s">
        <v>52</v>
      </c>
      <c r="G5" s="15" t="s">
        <v>46</v>
      </c>
      <c r="H5" s="15" t="s">
        <v>47</v>
      </c>
      <c r="J5" s="9" t="s">
        <v>52</v>
      </c>
      <c r="K5" s="15" t="s">
        <v>46</v>
      </c>
      <c r="L5" s="15" t="s">
        <v>47</v>
      </c>
      <c r="O5" s="15" t="s">
        <v>46</v>
      </c>
      <c r="P5" s="15" t="s">
        <v>47</v>
      </c>
      <c r="S5" s="15" t="s">
        <v>46</v>
      </c>
      <c r="T5" s="15" t="s">
        <v>47</v>
      </c>
      <c r="W5" s="15" t="s">
        <v>46</v>
      </c>
      <c r="X5" s="15" t="s">
        <v>47</v>
      </c>
      <c r="Z5" s="10" t="s">
        <v>53</v>
      </c>
    </row>
    <row r="6" customFormat="false" ht="12.75" hidden="false" customHeight="false" outlineLevel="0" collapsed="false">
      <c r="A6" s="12" t="n">
        <v>1</v>
      </c>
      <c r="B6" s="9" t="n">
        <v>0</v>
      </c>
      <c r="C6" s="15" t="n">
        <v>0</v>
      </c>
      <c r="D6" s="16" t="n">
        <f aca="false">+B6*C6</f>
        <v>0</v>
      </c>
      <c r="F6" s="9" t="n">
        <v>0</v>
      </c>
      <c r="G6" s="15" t="n">
        <v>0</v>
      </c>
      <c r="H6" s="16" t="n">
        <f aca="false">+F6*G6</f>
        <v>0</v>
      </c>
      <c r="J6" s="9" t="n">
        <v>0</v>
      </c>
      <c r="K6" s="15" t="n">
        <v>0</v>
      </c>
      <c r="L6" s="16" t="n">
        <f aca="false">+J6*K6</f>
        <v>0</v>
      </c>
      <c r="N6" s="9" t="n">
        <v>0</v>
      </c>
      <c r="O6" s="15" t="n">
        <v>0</v>
      </c>
      <c r="P6" s="16" t="n">
        <f aca="false">+N6*O6</f>
        <v>0</v>
      </c>
      <c r="R6" s="9" t="n">
        <v>0</v>
      </c>
      <c r="S6" s="15" t="n">
        <v>0</v>
      </c>
      <c r="T6" s="16" t="n">
        <f aca="false">+R6*S6</f>
        <v>0</v>
      </c>
      <c r="V6" s="9" t="n">
        <v>0</v>
      </c>
      <c r="W6" s="15" t="n">
        <v>0</v>
      </c>
      <c r="X6" s="16" t="n">
        <f aca="false">+V6*W6</f>
        <v>0</v>
      </c>
      <c r="Z6" s="9" t="n">
        <f aca="false">SUM(B6,F6,J6,N6,R6,V6)</f>
        <v>0</v>
      </c>
    </row>
    <row r="7" customFormat="false" ht="12.75" hidden="false" customHeight="false" outlineLevel="0" collapsed="false">
      <c r="A7" s="12" t="n">
        <f aca="false">+A6+1</f>
        <v>2</v>
      </c>
      <c r="B7" s="9" t="n">
        <f aca="false">+B6</f>
        <v>0</v>
      </c>
      <c r="C7" s="15" t="n">
        <f aca="false">+C6</f>
        <v>0</v>
      </c>
      <c r="D7" s="16" t="n">
        <f aca="false">+B7*C7</f>
        <v>0</v>
      </c>
      <c r="F7" s="9" t="n">
        <f aca="false">+F6</f>
        <v>0</v>
      </c>
      <c r="G7" s="15" t="n">
        <f aca="false">+G6</f>
        <v>0</v>
      </c>
      <c r="H7" s="16" t="n">
        <f aca="false">+F7*G7</f>
        <v>0</v>
      </c>
      <c r="J7" s="9" t="n">
        <f aca="false">+J6</f>
        <v>0</v>
      </c>
      <c r="K7" s="15" t="n">
        <f aca="false">+K6</f>
        <v>0</v>
      </c>
      <c r="L7" s="16" t="n">
        <f aca="false">+J7*K7</f>
        <v>0</v>
      </c>
      <c r="N7" s="9" t="n">
        <f aca="false">+N6</f>
        <v>0</v>
      </c>
      <c r="O7" s="15" t="n">
        <f aca="false">+O6</f>
        <v>0</v>
      </c>
      <c r="P7" s="16" t="n">
        <f aca="false">+N7*O7</f>
        <v>0</v>
      </c>
      <c r="R7" s="9" t="n">
        <f aca="false">+R6</f>
        <v>0</v>
      </c>
      <c r="S7" s="15" t="n">
        <f aca="false">+S6</f>
        <v>0</v>
      </c>
      <c r="T7" s="16" t="n">
        <f aca="false">+R7*S7</f>
        <v>0</v>
      </c>
      <c r="V7" s="9" t="n">
        <f aca="false">+V6</f>
        <v>0</v>
      </c>
      <c r="W7" s="15" t="n">
        <f aca="false">+W6</f>
        <v>0</v>
      </c>
      <c r="X7" s="16" t="n">
        <f aca="false">+V7*W7</f>
        <v>0</v>
      </c>
      <c r="Z7" s="9" t="n">
        <f aca="false">SUM(B7,F7,J7,N7,R7,V7)</f>
        <v>0</v>
      </c>
    </row>
    <row r="8" customFormat="false" ht="12.75" hidden="false" customHeight="false" outlineLevel="0" collapsed="false">
      <c r="A8" s="12" t="n">
        <f aca="false">+A7+1</f>
        <v>3</v>
      </c>
      <c r="B8" s="9" t="n">
        <f aca="false">+B7</f>
        <v>0</v>
      </c>
      <c r="C8" s="15" t="n">
        <f aca="false">+C7</f>
        <v>0</v>
      </c>
      <c r="D8" s="16" t="n">
        <f aca="false">+B8*C8</f>
        <v>0</v>
      </c>
      <c r="F8" s="9" t="n">
        <f aca="false">+F7</f>
        <v>0</v>
      </c>
      <c r="G8" s="15" t="n">
        <f aca="false">+G7</f>
        <v>0</v>
      </c>
      <c r="H8" s="16" t="n">
        <f aca="false">+F8*G8</f>
        <v>0</v>
      </c>
      <c r="J8" s="9" t="n">
        <f aca="false">+J7</f>
        <v>0</v>
      </c>
      <c r="K8" s="15" t="n">
        <f aca="false">+K7</f>
        <v>0</v>
      </c>
      <c r="L8" s="16" t="n">
        <f aca="false">+J8*K8</f>
        <v>0</v>
      </c>
      <c r="N8" s="9" t="n">
        <f aca="false">+N7</f>
        <v>0</v>
      </c>
      <c r="O8" s="15" t="n">
        <f aca="false">+O7</f>
        <v>0</v>
      </c>
      <c r="P8" s="16" t="n">
        <f aca="false">+N8*O8</f>
        <v>0</v>
      </c>
      <c r="R8" s="9" t="n">
        <f aca="false">+R7</f>
        <v>0</v>
      </c>
      <c r="S8" s="15" t="n">
        <f aca="false">+S7</f>
        <v>0</v>
      </c>
      <c r="T8" s="16" t="n">
        <f aca="false">+R8*S8</f>
        <v>0</v>
      </c>
      <c r="V8" s="9" t="n">
        <f aca="false">+V7</f>
        <v>0</v>
      </c>
      <c r="W8" s="15" t="n">
        <f aca="false">+W7</f>
        <v>0</v>
      </c>
      <c r="X8" s="16" t="n">
        <f aca="false">+V8*W8</f>
        <v>0</v>
      </c>
      <c r="Z8" s="9" t="n">
        <f aca="false">SUM(B8,F8,J8,N8,R8,V8)</f>
        <v>0</v>
      </c>
    </row>
    <row r="9" customFormat="false" ht="12.75" hidden="false" customHeight="false" outlineLevel="0" collapsed="false">
      <c r="A9" s="12" t="n">
        <f aca="false">+A8+1</f>
        <v>4</v>
      </c>
      <c r="B9" s="9" t="n">
        <f aca="false">+B8</f>
        <v>0</v>
      </c>
      <c r="C9" s="15" t="n">
        <f aca="false">+C8</f>
        <v>0</v>
      </c>
      <c r="D9" s="16" t="n">
        <f aca="false">+B9*C9</f>
        <v>0</v>
      </c>
      <c r="F9" s="9" t="n">
        <f aca="false">+F8</f>
        <v>0</v>
      </c>
      <c r="G9" s="15" t="n">
        <f aca="false">+G8</f>
        <v>0</v>
      </c>
      <c r="H9" s="16" t="n">
        <f aca="false">+F9*G9</f>
        <v>0</v>
      </c>
      <c r="J9" s="9" t="n">
        <f aca="false">+J8</f>
        <v>0</v>
      </c>
      <c r="K9" s="15" t="n">
        <f aca="false">+K8</f>
        <v>0</v>
      </c>
      <c r="L9" s="16" t="n">
        <f aca="false">+J9*K9</f>
        <v>0</v>
      </c>
      <c r="N9" s="9" t="n">
        <f aca="false">+N8</f>
        <v>0</v>
      </c>
      <c r="O9" s="15" t="n">
        <f aca="false">+O8</f>
        <v>0</v>
      </c>
      <c r="P9" s="16" t="n">
        <f aca="false">+N9*O9</f>
        <v>0</v>
      </c>
      <c r="R9" s="9" t="n">
        <f aca="false">+R8</f>
        <v>0</v>
      </c>
      <c r="S9" s="15" t="n">
        <f aca="false">+S8</f>
        <v>0</v>
      </c>
      <c r="T9" s="16" t="n">
        <f aca="false">+R9*S9</f>
        <v>0</v>
      </c>
      <c r="V9" s="9" t="n">
        <f aca="false">+V8</f>
        <v>0</v>
      </c>
      <c r="W9" s="15" t="n">
        <f aca="false">+W8</f>
        <v>0</v>
      </c>
      <c r="X9" s="16" t="n">
        <f aca="false">+V9*W9</f>
        <v>0</v>
      </c>
      <c r="Z9" s="9" t="n">
        <f aca="false">SUM(B9,F9,J9,N9,R9,V9)</f>
        <v>0</v>
      </c>
    </row>
    <row r="10" customFormat="false" ht="12.75" hidden="false" customHeight="false" outlineLevel="0" collapsed="false">
      <c r="A10" s="12" t="n">
        <f aca="false">+A9+1</f>
        <v>5</v>
      </c>
      <c r="B10" s="9" t="n">
        <f aca="false">+B9</f>
        <v>0</v>
      </c>
      <c r="C10" s="15" t="n">
        <f aca="false">+C9</f>
        <v>0</v>
      </c>
      <c r="D10" s="16" t="n">
        <f aca="false">+B10*C10</f>
        <v>0</v>
      </c>
      <c r="F10" s="9" t="n">
        <f aca="false">+F9</f>
        <v>0</v>
      </c>
      <c r="G10" s="15" t="n">
        <f aca="false">+G9</f>
        <v>0</v>
      </c>
      <c r="H10" s="16" t="n">
        <f aca="false">+F10*G10</f>
        <v>0</v>
      </c>
      <c r="J10" s="9" t="n">
        <f aca="false">+J9</f>
        <v>0</v>
      </c>
      <c r="K10" s="15" t="n">
        <f aca="false">+K9</f>
        <v>0</v>
      </c>
      <c r="L10" s="16" t="n">
        <f aca="false">+J10*K10</f>
        <v>0</v>
      </c>
      <c r="N10" s="9" t="n">
        <f aca="false">+N9</f>
        <v>0</v>
      </c>
      <c r="O10" s="15" t="n">
        <f aca="false">+O9</f>
        <v>0</v>
      </c>
      <c r="P10" s="16" t="n">
        <f aca="false">+N10*O10</f>
        <v>0</v>
      </c>
      <c r="R10" s="9" t="n">
        <f aca="false">+R9</f>
        <v>0</v>
      </c>
      <c r="S10" s="15" t="n">
        <f aca="false">+S9</f>
        <v>0</v>
      </c>
      <c r="T10" s="16" t="n">
        <f aca="false">+R10*S10</f>
        <v>0</v>
      </c>
      <c r="V10" s="9" t="n">
        <f aca="false">+V9</f>
        <v>0</v>
      </c>
      <c r="W10" s="15" t="n">
        <f aca="false">+W9</f>
        <v>0</v>
      </c>
      <c r="X10" s="16" t="n">
        <f aca="false">+V10*W10</f>
        <v>0</v>
      </c>
      <c r="Z10" s="9" t="n">
        <f aca="false">SUM(B10,F10,J10,N10,R10,V10)</f>
        <v>0</v>
      </c>
    </row>
    <row r="11" customFormat="false" ht="12.75" hidden="false" customHeight="false" outlineLevel="0" collapsed="false">
      <c r="A11" s="12" t="n">
        <f aca="false">+A10+1</f>
        <v>6</v>
      </c>
      <c r="B11" s="9" t="n">
        <f aca="false">+B10</f>
        <v>0</v>
      </c>
      <c r="C11" s="15" t="n">
        <f aca="false">+C10</f>
        <v>0</v>
      </c>
      <c r="D11" s="16" t="n">
        <f aca="false">+B11*C11</f>
        <v>0</v>
      </c>
      <c r="F11" s="9" t="n">
        <f aca="false">+F10</f>
        <v>0</v>
      </c>
      <c r="G11" s="15" t="n">
        <f aca="false">+G10</f>
        <v>0</v>
      </c>
      <c r="H11" s="16" t="n">
        <f aca="false">+F11*G11</f>
        <v>0</v>
      </c>
      <c r="J11" s="9" t="n">
        <f aca="false">+J10</f>
        <v>0</v>
      </c>
      <c r="K11" s="15" t="n">
        <f aca="false">+K10</f>
        <v>0</v>
      </c>
      <c r="L11" s="16" t="n">
        <f aca="false">+J11*K11</f>
        <v>0</v>
      </c>
      <c r="N11" s="9" t="n">
        <f aca="false">+N10</f>
        <v>0</v>
      </c>
      <c r="O11" s="15" t="n">
        <f aca="false">+O10</f>
        <v>0</v>
      </c>
      <c r="P11" s="16" t="n">
        <f aca="false">+N11*O11</f>
        <v>0</v>
      </c>
      <c r="R11" s="9" t="n">
        <f aca="false">+R10</f>
        <v>0</v>
      </c>
      <c r="S11" s="15" t="n">
        <f aca="false">+S10</f>
        <v>0</v>
      </c>
      <c r="T11" s="16" t="n">
        <f aca="false">+R11*S11</f>
        <v>0</v>
      </c>
      <c r="V11" s="9" t="n">
        <f aca="false">+V10</f>
        <v>0</v>
      </c>
      <c r="W11" s="15" t="n">
        <f aca="false">+W10</f>
        <v>0</v>
      </c>
      <c r="X11" s="16" t="n">
        <f aca="false">+V11*W11</f>
        <v>0</v>
      </c>
      <c r="Z11" s="9" t="n">
        <f aca="false">SUM(B11,F11,J11,N11,R11,V11)</f>
        <v>0</v>
      </c>
    </row>
    <row r="12" customFormat="false" ht="12.75" hidden="false" customHeight="false" outlineLevel="0" collapsed="false">
      <c r="A12" s="12" t="n">
        <f aca="false">+A11+1</f>
        <v>7</v>
      </c>
      <c r="B12" s="9" t="n">
        <f aca="false">+B11</f>
        <v>0</v>
      </c>
      <c r="C12" s="15" t="n">
        <f aca="false">+C11</f>
        <v>0</v>
      </c>
      <c r="D12" s="16" t="n">
        <f aca="false">+B12*C12</f>
        <v>0</v>
      </c>
      <c r="F12" s="9" t="n">
        <f aca="false">+F11</f>
        <v>0</v>
      </c>
      <c r="G12" s="15" t="n">
        <f aca="false">+G11</f>
        <v>0</v>
      </c>
      <c r="H12" s="16" t="n">
        <f aca="false">+F12*G12</f>
        <v>0</v>
      </c>
      <c r="J12" s="9" t="n">
        <f aca="false">+J11</f>
        <v>0</v>
      </c>
      <c r="K12" s="15" t="n">
        <f aca="false">+K11</f>
        <v>0</v>
      </c>
      <c r="L12" s="16" t="n">
        <f aca="false">+J12*K12</f>
        <v>0</v>
      </c>
      <c r="N12" s="9" t="n">
        <f aca="false">+N11</f>
        <v>0</v>
      </c>
      <c r="O12" s="15" t="n">
        <f aca="false">+O11</f>
        <v>0</v>
      </c>
      <c r="P12" s="16" t="n">
        <f aca="false">+N12*O12</f>
        <v>0</v>
      </c>
      <c r="R12" s="9" t="n">
        <f aca="false">+R11</f>
        <v>0</v>
      </c>
      <c r="S12" s="15" t="n">
        <f aca="false">+S11</f>
        <v>0</v>
      </c>
      <c r="T12" s="16" t="n">
        <f aca="false">+R12*S12</f>
        <v>0</v>
      </c>
      <c r="V12" s="9" t="n">
        <f aca="false">+V11</f>
        <v>0</v>
      </c>
      <c r="W12" s="15" t="n">
        <f aca="false">+W11</f>
        <v>0</v>
      </c>
      <c r="X12" s="16" t="n">
        <f aca="false">+V12*W12</f>
        <v>0</v>
      </c>
      <c r="Z12" s="9" t="n">
        <f aca="false">SUM(B12,F12,J12,N12,R12,V12)</f>
        <v>0</v>
      </c>
    </row>
    <row r="13" customFormat="false" ht="12.75" hidden="false" customHeight="false" outlineLevel="0" collapsed="false">
      <c r="A13" s="12" t="n">
        <f aca="false">+A12+1</f>
        <v>8</v>
      </c>
      <c r="B13" s="9" t="n">
        <f aca="false">+B12</f>
        <v>0</v>
      </c>
      <c r="C13" s="15" t="n">
        <f aca="false">+C12</f>
        <v>0</v>
      </c>
      <c r="D13" s="16" t="n">
        <f aca="false">+B13*C13</f>
        <v>0</v>
      </c>
      <c r="F13" s="9" t="n">
        <f aca="false">+F12</f>
        <v>0</v>
      </c>
      <c r="G13" s="15" t="n">
        <f aca="false">+G12</f>
        <v>0</v>
      </c>
      <c r="H13" s="16" t="n">
        <f aca="false">+F13*G13</f>
        <v>0</v>
      </c>
      <c r="J13" s="9" t="n">
        <f aca="false">+J12</f>
        <v>0</v>
      </c>
      <c r="K13" s="15" t="n">
        <f aca="false">+K12</f>
        <v>0</v>
      </c>
      <c r="L13" s="16" t="n">
        <f aca="false">+J13*K13</f>
        <v>0</v>
      </c>
      <c r="N13" s="9" t="n">
        <f aca="false">+N12</f>
        <v>0</v>
      </c>
      <c r="O13" s="15" t="n">
        <f aca="false">+O12</f>
        <v>0</v>
      </c>
      <c r="P13" s="16" t="n">
        <f aca="false">+N13*O13</f>
        <v>0</v>
      </c>
      <c r="R13" s="9" t="n">
        <f aca="false">+R12</f>
        <v>0</v>
      </c>
      <c r="S13" s="15" t="n">
        <f aca="false">+S12</f>
        <v>0</v>
      </c>
      <c r="T13" s="16" t="n">
        <f aca="false">+R13*S13</f>
        <v>0</v>
      </c>
      <c r="V13" s="9" t="n">
        <f aca="false">+V12</f>
        <v>0</v>
      </c>
      <c r="W13" s="15" t="n">
        <f aca="false">+W12</f>
        <v>0</v>
      </c>
      <c r="X13" s="16" t="n">
        <f aca="false">+V13*W13</f>
        <v>0</v>
      </c>
      <c r="Z13" s="9" t="n">
        <f aca="false">SUM(B13,F13,J13,N13,R13,V13)</f>
        <v>0</v>
      </c>
    </row>
    <row r="14" customFormat="false" ht="12.75" hidden="false" customHeight="false" outlineLevel="0" collapsed="false">
      <c r="A14" s="12" t="n">
        <f aca="false">+A13+1</f>
        <v>9</v>
      </c>
      <c r="B14" s="9" t="n">
        <f aca="false">+B13</f>
        <v>0</v>
      </c>
      <c r="C14" s="15" t="n">
        <f aca="false">+C13</f>
        <v>0</v>
      </c>
      <c r="D14" s="16" t="n">
        <f aca="false">+B14*C14</f>
        <v>0</v>
      </c>
      <c r="F14" s="9" t="n">
        <f aca="false">+F13</f>
        <v>0</v>
      </c>
      <c r="G14" s="15" t="n">
        <f aca="false">+G13</f>
        <v>0</v>
      </c>
      <c r="H14" s="16" t="n">
        <f aca="false">+F14*G14</f>
        <v>0</v>
      </c>
      <c r="J14" s="9" t="n">
        <f aca="false">+J13</f>
        <v>0</v>
      </c>
      <c r="K14" s="15" t="n">
        <f aca="false">+K13</f>
        <v>0</v>
      </c>
      <c r="L14" s="16" t="n">
        <f aca="false">+J14*K14</f>
        <v>0</v>
      </c>
      <c r="N14" s="9" t="n">
        <f aca="false">+N13</f>
        <v>0</v>
      </c>
      <c r="O14" s="15" t="n">
        <f aca="false">+O13</f>
        <v>0</v>
      </c>
      <c r="P14" s="16" t="n">
        <f aca="false">+N14*O14</f>
        <v>0</v>
      </c>
      <c r="R14" s="9" t="n">
        <f aca="false">+R13</f>
        <v>0</v>
      </c>
      <c r="S14" s="15" t="n">
        <f aca="false">+S13</f>
        <v>0</v>
      </c>
      <c r="T14" s="16" t="n">
        <f aca="false">+R14*S14</f>
        <v>0</v>
      </c>
      <c r="V14" s="9" t="n">
        <f aca="false">+V13</f>
        <v>0</v>
      </c>
      <c r="W14" s="15" t="n">
        <f aca="false">+W13</f>
        <v>0</v>
      </c>
      <c r="X14" s="16" t="n">
        <f aca="false">+V14*W14</f>
        <v>0</v>
      </c>
      <c r="Z14" s="9" t="n">
        <f aca="false">SUM(B14,F14,J14,N14,R14,V14)</f>
        <v>0</v>
      </c>
    </row>
    <row r="15" customFormat="false" ht="12.75" hidden="false" customHeight="false" outlineLevel="0" collapsed="false">
      <c r="A15" s="12" t="n">
        <f aca="false">+A14+1</f>
        <v>10</v>
      </c>
      <c r="B15" s="9" t="n">
        <f aca="false">+B14</f>
        <v>0</v>
      </c>
      <c r="C15" s="15" t="n">
        <f aca="false">+C14</f>
        <v>0</v>
      </c>
      <c r="D15" s="16" t="n">
        <f aca="false">+B15*C15</f>
        <v>0</v>
      </c>
      <c r="F15" s="9" t="n">
        <f aca="false">+F14</f>
        <v>0</v>
      </c>
      <c r="G15" s="15" t="n">
        <f aca="false">+G14</f>
        <v>0</v>
      </c>
      <c r="H15" s="16" t="n">
        <f aca="false">+F15*G15</f>
        <v>0</v>
      </c>
      <c r="J15" s="9" t="n">
        <f aca="false">+J14</f>
        <v>0</v>
      </c>
      <c r="K15" s="15" t="n">
        <f aca="false">+K14</f>
        <v>0</v>
      </c>
      <c r="L15" s="16" t="n">
        <f aca="false">+J15*K15</f>
        <v>0</v>
      </c>
      <c r="N15" s="9" t="n">
        <f aca="false">+N14</f>
        <v>0</v>
      </c>
      <c r="O15" s="15" t="n">
        <f aca="false">+O14</f>
        <v>0</v>
      </c>
      <c r="P15" s="16" t="n">
        <f aca="false">+N15*O15</f>
        <v>0</v>
      </c>
      <c r="R15" s="9" t="n">
        <f aca="false">+R14</f>
        <v>0</v>
      </c>
      <c r="S15" s="15" t="n">
        <f aca="false">+S14</f>
        <v>0</v>
      </c>
      <c r="T15" s="16" t="n">
        <f aca="false">+R15*S15</f>
        <v>0</v>
      </c>
      <c r="V15" s="9" t="n">
        <f aca="false">+V14</f>
        <v>0</v>
      </c>
      <c r="W15" s="15" t="n">
        <f aca="false">+W14</f>
        <v>0</v>
      </c>
      <c r="X15" s="16" t="n">
        <f aca="false">+V15*W15</f>
        <v>0</v>
      </c>
      <c r="Z15" s="9" t="n">
        <f aca="false">SUM(B15,F15,J15,N15,R15,V15)</f>
        <v>0</v>
      </c>
    </row>
    <row r="16" customFormat="false" ht="12.75" hidden="false" customHeight="false" outlineLevel="0" collapsed="false">
      <c r="A16" s="12" t="n">
        <f aca="false">+A15+1</f>
        <v>11</v>
      </c>
      <c r="B16" s="9" t="n">
        <f aca="false">+B15</f>
        <v>0</v>
      </c>
      <c r="C16" s="15" t="n">
        <f aca="false">+C15</f>
        <v>0</v>
      </c>
      <c r="D16" s="16" t="n">
        <f aca="false">+B16*C16</f>
        <v>0</v>
      </c>
      <c r="F16" s="9" t="n">
        <f aca="false">+F15</f>
        <v>0</v>
      </c>
      <c r="G16" s="15" t="n">
        <f aca="false">+G15</f>
        <v>0</v>
      </c>
      <c r="H16" s="16" t="n">
        <f aca="false">+F16*G16</f>
        <v>0</v>
      </c>
      <c r="J16" s="9" t="n">
        <f aca="false">+J15</f>
        <v>0</v>
      </c>
      <c r="K16" s="15" t="n">
        <f aca="false">+K15</f>
        <v>0</v>
      </c>
      <c r="L16" s="16" t="n">
        <f aca="false">+J16*K16</f>
        <v>0</v>
      </c>
      <c r="N16" s="9" t="n">
        <f aca="false">+N15</f>
        <v>0</v>
      </c>
      <c r="O16" s="15" t="n">
        <f aca="false">+O15</f>
        <v>0</v>
      </c>
      <c r="P16" s="16" t="n">
        <f aca="false">+N16*O16</f>
        <v>0</v>
      </c>
      <c r="R16" s="9" t="n">
        <f aca="false">+R15</f>
        <v>0</v>
      </c>
      <c r="S16" s="15" t="n">
        <f aca="false">+S15</f>
        <v>0</v>
      </c>
      <c r="T16" s="16" t="n">
        <f aca="false">+R16*S16</f>
        <v>0</v>
      </c>
      <c r="V16" s="9" t="n">
        <f aca="false">+V15</f>
        <v>0</v>
      </c>
      <c r="W16" s="15" t="n">
        <f aca="false">+W15</f>
        <v>0</v>
      </c>
      <c r="X16" s="16" t="n">
        <f aca="false">+V16*W16</f>
        <v>0</v>
      </c>
      <c r="Z16" s="9" t="n">
        <f aca="false">SUM(B16,F16,J16,N16,R16,V16)</f>
        <v>0</v>
      </c>
    </row>
    <row r="17" customFormat="false" ht="12.75" hidden="false" customHeight="false" outlineLevel="0" collapsed="false">
      <c r="A17" s="12" t="n">
        <f aca="false">+A16+1</f>
        <v>12</v>
      </c>
      <c r="B17" s="9" t="n">
        <f aca="false">+B16</f>
        <v>0</v>
      </c>
      <c r="C17" s="15" t="n">
        <f aca="false">+C16</f>
        <v>0</v>
      </c>
      <c r="D17" s="16" t="n">
        <f aca="false">+B17*C17</f>
        <v>0</v>
      </c>
      <c r="F17" s="9" t="n">
        <f aca="false">+F16</f>
        <v>0</v>
      </c>
      <c r="G17" s="15" t="n">
        <f aca="false">+G16</f>
        <v>0</v>
      </c>
      <c r="H17" s="16" t="n">
        <f aca="false">+F17*G17</f>
        <v>0</v>
      </c>
      <c r="J17" s="9" t="n">
        <f aca="false">+J16</f>
        <v>0</v>
      </c>
      <c r="K17" s="15" t="n">
        <f aca="false">+K16</f>
        <v>0</v>
      </c>
      <c r="L17" s="16" t="n">
        <f aca="false">+J17*K17</f>
        <v>0</v>
      </c>
      <c r="N17" s="9" t="n">
        <f aca="false">+N16</f>
        <v>0</v>
      </c>
      <c r="O17" s="15" t="n">
        <f aca="false">+O16</f>
        <v>0</v>
      </c>
      <c r="P17" s="16" t="n">
        <f aca="false">+N17*O17</f>
        <v>0</v>
      </c>
      <c r="R17" s="9" t="n">
        <f aca="false">+R16</f>
        <v>0</v>
      </c>
      <c r="S17" s="15" t="n">
        <f aca="false">+S16</f>
        <v>0</v>
      </c>
      <c r="T17" s="16" t="n">
        <f aca="false">+R17*S17</f>
        <v>0</v>
      </c>
      <c r="V17" s="9" t="n">
        <f aca="false">+V16</f>
        <v>0</v>
      </c>
      <c r="W17" s="15" t="n">
        <f aca="false">+W16</f>
        <v>0</v>
      </c>
      <c r="X17" s="16" t="n">
        <f aca="false">+V17*W17</f>
        <v>0</v>
      </c>
      <c r="Z17" s="9" t="n">
        <f aca="false">SUM(B17,F17,J17,N17,R17,V17)</f>
        <v>0</v>
      </c>
    </row>
    <row r="18" customFormat="false" ht="12.75" hidden="false" customHeight="false" outlineLevel="0" collapsed="false">
      <c r="A18" s="12" t="n">
        <f aca="false">+A17+1</f>
        <v>13</v>
      </c>
      <c r="B18" s="9" t="n">
        <f aca="false">+B17</f>
        <v>0</v>
      </c>
      <c r="C18" s="15" t="n">
        <f aca="false">+C17</f>
        <v>0</v>
      </c>
      <c r="D18" s="16" t="n">
        <f aca="false">+B18*C18</f>
        <v>0</v>
      </c>
      <c r="F18" s="9" t="n">
        <f aca="false">+F17</f>
        <v>0</v>
      </c>
      <c r="G18" s="15" t="n">
        <f aca="false">+G17</f>
        <v>0</v>
      </c>
      <c r="H18" s="16" t="n">
        <f aca="false">+F18*G18</f>
        <v>0</v>
      </c>
      <c r="J18" s="9" t="n">
        <f aca="false">+J17</f>
        <v>0</v>
      </c>
      <c r="K18" s="15" t="n">
        <f aca="false">+K17</f>
        <v>0</v>
      </c>
      <c r="L18" s="16" t="n">
        <f aca="false">+J18*K18</f>
        <v>0</v>
      </c>
      <c r="N18" s="9" t="n">
        <f aca="false">+N17</f>
        <v>0</v>
      </c>
      <c r="O18" s="15" t="n">
        <f aca="false">+O17</f>
        <v>0</v>
      </c>
      <c r="P18" s="16" t="n">
        <f aca="false">+N18*O18</f>
        <v>0</v>
      </c>
      <c r="R18" s="9" t="n">
        <f aca="false">+R17</f>
        <v>0</v>
      </c>
      <c r="S18" s="15" t="n">
        <f aca="false">+S17</f>
        <v>0</v>
      </c>
      <c r="T18" s="16" t="n">
        <f aca="false">+R18*S18</f>
        <v>0</v>
      </c>
      <c r="V18" s="9" t="n">
        <f aca="false">+V17</f>
        <v>0</v>
      </c>
      <c r="W18" s="15" t="n">
        <f aca="false">+W17</f>
        <v>0</v>
      </c>
      <c r="X18" s="16" t="n">
        <f aca="false">+V18*W18</f>
        <v>0</v>
      </c>
      <c r="Z18" s="9" t="n">
        <f aca="false">SUM(B18,F18,J18,N18,R18,V18)</f>
        <v>0</v>
      </c>
    </row>
    <row r="19" customFormat="false" ht="12.75" hidden="false" customHeight="false" outlineLevel="0" collapsed="false">
      <c r="A19" s="12" t="n">
        <f aca="false">+A18+1</f>
        <v>14</v>
      </c>
      <c r="B19" s="9" t="n">
        <f aca="false">+B18</f>
        <v>0</v>
      </c>
      <c r="C19" s="15" t="n">
        <f aca="false">+C18</f>
        <v>0</v>
      </c>
      <c r="D19" s="16" t="n">
        <f aca="false">+B19*C19</f>
        <v>0</v>
      </c>
      <c r="F19" s="9" t="n">
        <f aca="false">+F18</f>
        <v>0</v>
      </c>
      <c r="G19" s="15" t="n">
        <f aca="false">+G18</f>
        <v>0</v>
      </c>
      <c r="H19" s="16" t="n">
        <f aca="false">+F19*G19</f>
        <v>0</v>
      </c>
      <c r="J19" s="9" t="n">
        <f aca="false">+J18</f>
        <v>0</v>
      </c>
      <c r="K19" s="15" t="n">
        <f aca="false">+K18</f>
        <v>0</v>
      </c>
      <c r="L19" s="16" t="n">
        <f aca="false">+J19*K19</f>
        <v>0</v>
      </c>
      <c r="N19" s="9" t="n">
        <f aca="false">+N18</f>
        <v>0</v>
      </c>
      <c r="O19" s="15" t="n">
        <f aca="false">+O18</f>
        <v>0</v>
      </c>
      <c r="P19" s="16" t="n">
        <f aca="false">+N19*O19</f>
        <v>0</v>
      </c>
      <c r="R19" s="9" t="n">
        <f aca="false">+R18</f>
        <v>0</v>
      </c>
      <c r="S19" s="15" t="n">
        <f aca="false">+S18</f>
        <v>0</v>
      </c>
      <c r="T19" s="16" t="n">
        <f aca="false">+R19*S19</f>
        <v>0</v>
      </c>
      <c r="V19" s="9" t="n">
        <f aca="false">+V18</f>
        <v>0</v>
      </c>
      <c r="W19" s="15" t="n">
        <f aca="false">+W18</f>
        <v>0</v>
      </c>
      <c r="X19" s="16" t="n">
        <f aca="false">+V19*W19</f>
        <v>0</v>
      </c>
      <c r="Z19" s="9" t="n">
        <f aca="false">SUM(B19,F19,J19,N19,R19,V19)</f>
        <v>0</v>
      </c>
    </row>
    <row r="20" customFormat="false" ht="12.75" hidden="false" customHeight="false" outlineLevel="0" collapsed="false">
      <c r="A20" s="12" t="n">
        <f aca="false">+A19+1</f>
        <v>15</v>
      </c>
      <c r="B20" s="9" t="n">
        <f aca="false">+B19</f>
        <v>0</v>
      </c>
      <c r="C20" s="15" t="n">
        <f aca="false">+C19</f>
        <v>0</v>
      </c>
      <c r="D20" s="16" t="n">
        <f aca="false">+B20*C20</f>
        <v>0</v>
      </c>
      <c r="F20" s="9" t="n">
        <f aca="false">+F19</f>
        <v>0</v>
      </c>
      <c r="G20" s="15" t="n">
        <f aca="false">+G19</f>
        <v>0</v>
      </c>
      <c r="H20" s="16" t="n">
        <f aca="false">+F20*G20</f>
        <v>0</v>
      </c>
      <c r="J20" s="9" t="n">
        <f aca="false">+J19</f>
        <v>0</v>
      </c>
      <c r="K20" s="15" t="n">
        <f aca="false">+K19</f>
        <v>0</v>
      </c>
      <c r="L20" s="16" t="n">
        <f aca="false">+J20*K20</f>
        <v>0</v>
      </c>
      <c r="N20" s="9" t="n">
        <f aca="false">+N19</f>
        <v>0</v>
      </c>
      <c r="O20" s="15" t="n">
        <f aca="false">+O19</f>
        <v>0</v>
      </c>
      <c r="P20" s="16" t="n">
        <f aca="false">+N20*O20</f>
        <v>0</v>
      </c>
      <c r="R20" s="9" t="n">
        <f aca="false">+R19</f>
        <v>0</v>
      </c>
      <c r="S20" s="15" t="n">
        <f aca="false">+S19</f>
        <v>0</v>
      </c>
      <c r="T20" s="16" t="n">
        <f aca="false">+R20*S20</f>
        <v>0</v>
      </c>
      <c r="V20" s="9" t="n">
        <f aca="false">+V19</f>
        <v>0</v>
      </c>
      <c r="W20" s="15" t="n">
        <f aca="false">+W19</f>
        <v>0</v>
      </c>
      <c r="X20" s="16" t="n">
        <f aca="false">+V20*W20</f>
        <v>0</v>
      </c>
      <c r="Z20" s="9" t="n">
        <f aca="false">SUM(B20,F20,J20,N20,R20,V20)</f>
        <v>0</v>
      </c>
    </row>
    <row r="21" customFormat="false" ht="12.75" hidden="false" customHeight="false" outlineLevel="0" collapsed="false">
      <c r="A21" s="12" t="n">
        <f aca="false">+A20+1</f>
        <v>16</v>
      </c>
      <c r="B21" s="9" t="n">
        <f aca="false">+B20</f>
        <v>0</v>
      </c>
      <c r="C21" s="15" t="n">
        <f aca="false">+C20</f>
        <v>0</v>
      </c>
      <c r="D21" s="16" t="n">
        <f aca="false">+B21*C21</f>
        <v>0</v>
      </c>
      <c r="F21" s="9" t="n">
        <f aca="false">+F20</f>
        <v>0</v>
      </c>
      <c r="G21" s="15" t="n">
        <f aca="false">+G20</f>
        <v>0</v>
      </c>
      <c r="H21" s="16" t="n">
        <f aca="false">+F21*G21</f>
        <v>0</v>
      </c>
      <c r="J21" s="9" t="n">
        <f aca="false">+J20</f>
        <v>0</v>
      </c>
      <c r="K21" s="15" t="n">
        <f aca="false">+K20</f>
        <v>0</v>
      </c>
      <c r="L21" s="16" t="n">
        <f aca="false">+J21*K21</f>
        <v>0</v>
      </c>
      <c r="N21" s="9" t="n">
        <f aca="false">+N20</f>
        <v>0</v>
      </c>
      <c r="O21" s="15" t="n">
        <f aca="false">+O20</f>
        <v>0</v>
      </c>
      <c r="P21" s="16" t="n">
        <f aca="false">+N21*O21</f>
        <v>0</v>
      </c>
      <c r="R21" s="9" t="n">
        <f aca="false">+R20</f>
        <v>0</v>
      </c>
      <c r="S21" s="15" t="n">
        <f aca="false">+S20</f>
        <v>0</v>
      </c>
      <c r="T21" s="16" t="n">
        <f aca="false">+R21*S21</f>
        <v>0</v>
      </c>
      <c r="V21" s="9" t="n">
        <f aca="false">+V20</f>
        <v>0</v>
      </c>
      <c r="W21" s="15" t="n">
        <f aca="false">+W20</f>
        <v>0</v>
      </c>
      <c r="X21" s="16" t="n">
        <f aca="false">+V21*W21</f>
        <v>0</v>
      </c>
      <c r="Z21" s="9" t="n">
        <f aca="false">SUM(B21,F21,J21,N21,R21,V21)</f>
        <v>0</v>
      </c>
    </row>
    <row r="22" customFormat="false" ht="12.75" hidden="false" customHeight="false" outlineLevel="0" collapsed="false">
      <c r="A22" s="12" t="n">
        <f aca="false">+A21+1</f>
        <v>17</v>
      </c>
      <c r="B22" s="9" t="n">
        <f aca="false">+B21</f>
        <v>0</v>
      </c>
      <c r="C22" s="15" t="n">
        <f aca="false">+C21</f>
        <v>0</v>
      </c>
      <c r="D22" s="16" t="n">
        <f aca="false">+B22*C22</f>
        <v>0</v>
      </c>
      <c r="F22" s="9" t="n">
        <f aca="false">+F21</f>
        <v>0</v>
      </c>
      <c r="G22" s="15" t="n">
        <f aca="false">+G21</f>
        <v>0</v>
      </c>
      <c r="H22" s="16" t="n">
        <f aca="false">+F22*G22</f>
        <v>0</v>
      </c>
      <c r="J22" s="9" t="n">
        <f aca="false">+J21</f>
        <v>0</v>
      </c>
      <c r="K22" s="15" t="n">
        <f aca="false">+K21</f>
        <v>0</v>
      </c>
      <c r="L22" s="16" t="n">
        <f aca="false">+J22*K22</f>
        <v>0</v>
      </c>
      <c r="N22" s="9" t="n">
        <f aca="false">+N21</f>
        <v>0</v>
      </c>
      <c r="O22" s="15" t="n">
        <f aca="false">+O21</f>
        <v>0</v>
      </c>
      <c r="P22" s="16" t="n">
        <f aca="false">+N22*O22</f>
        <v>0</v>
      </c>
      <c r="R22" s="9" t="n">
        <f aca="false">+R21</f>
        <v>0</v>
      </c>
      <c r="S22" s="15" t="n">
        <f aca="false">+S21</f>
        <v>0</v>
      </c>
      <c r="T22" s="16" t="n">
        <f aca="false">+R22*S22</f>
        <v>0</v>
      </c>
      <c r="V22" s="9" t="n">
        <f aca="false">+V21</f>
        <v>0</v>
      </c>
      <c r="W22" s="15" t="n">
        <f aca="false">+W21</f>
        <v>0</v>
      </c>
      <c r="X22" s="16" t="n">
        <f aca="false">+V22*W22</f>
        <v>0</v>
      </c>
      <c r="Z22" s="9" t="n">
        <f aca="false">SUM(B22,F22,J22,N22,R22,V22)</f>
        <v>0</v>
      </c>
    </row>
    <row r="23" customFormat="false" ht="12.75" hidden="false" customHeight="false" outlineLevel="0" collapsed="false">
      <c r="A23" s="12" t="n">
        <f aca="false">+A22+1</f>
        <v>18</v>
      </c>
      <c r="B23" s="9" t="n">
        <f aca="false">+B22</f>
        <v>0</v>
      </c>
      <c r="C23" s="15" t="n">
        <f aca="false">+C22</f>
        <v>0</v>
      </c>
      <c r="D23" s="16" t="n">
        <f aca="false">+B23*C23</f>
        <v>0</v>
      </c>
      <c r="F23" s="9" t="n">
        <f aca="false">+F22</f>
        <v>0</v>
      </c>
      <c r="G23" s="15" t="n">
        <f aca="false">+G22</f>
        <v>0</v>
      </c>
      <c r="H23" s="16" t="n">
        <f aca="false">+F23*G23</f>
        <v>0</v>
      </c>
      <c r="J23" s="9" t="n">
        <f aca="false">+J22</f>
        <v>0</v>
      </c>
      <c r="K23" s="15" t="n">
        <f aca="false">+K22</f>
        <v>0</v>
      </c>
      <c r="L23" s="16" t="n">
        <f aca="false">+J23*K23</f>
        <v>0</v>
      </c>
      <c r="N23" s="9" t="n">
        <f aca="false">+N22</f>
        <v>0</v>
      </c>
      <c r="O23" s="15" t="n">
        <f aca="false">+O22</f>
        <v>0</v>
      </c>
      <c r="P23" s="16" t="n">
        <f aca="false">+N23*O23</f>
        <v>0</v>
      </c>
      <c r="R23" s="9" t="n">
        <f aca="false">+R22</f>
        <v>0</v>
      </c>
      <c r="S23" s="15" t="n">
        <f aca="false">+S22</f>
        <v>0</v>
      </c>
      <c r="T23" s="16" t="n">
        <f aca="false">+R23*S23</f>
        <v>0</v>
      </c>
      <c r="V23" s="9" t="n">
        <f aca="false">+V22</f>
        <v>0</v>
      </c>
      <c r="W23" s="15" t="n">
        <f aca="false">+W22</f>
        <v>0</v>
      </c>
      <c r="X23" s="16" t="n">
        <f aca="false">+V23*W23</f>
        <v>0</v>
      </c>
      <c r="Z23" s="9" t="n">
        <f aca="false">SUM(B23,F23,J23,N23,R23,V23)</f>
        <v>0</v>
      </c>
    </row>
    <row r="24" customFormat="false" ht="12.75" hidden="false" customHeight="false" outlineLevel="0" collapsed="false">
      <c r="A24" s="12" t="n">
        <f aca="false">+A23+1</f>
        <v>19</v>
      </c>
      <c r="B24" s="9" t="n">
        <f aca="false">+B23</f>
        <v>0</v>
      </c>
      <c r="C24" s="15" t="n">
        <f aca="false">+C23</f>
        <v>0</v>
      </c>
      <c r="D24" s="16" t="n">
        <f aca="false">+B24*C24</f>
        <v>0</v>
      </c>
      <c r="F24" s="9" t="n">
        <f aca="false">+F23</f>
        <v>0</v>
      </c>
      <c r="G24" s="15" t="n">
        <f aca="false">+G23</f>
        <v>0</v>
      </c>
      <c r="H24" s="16" t="n">
        <f aca="false">+F24*G24</f>
        <v>0</v>
      </c>
      <c r="J24" s="9" t="n">
        <f aca="false">+J23</f>
        <v>0</v>
      </c>
      <c r="K24" s="15" t="n">
        <f aca="false">+K23</f>
        <v>0</v>
      </c>
      <c r="L24" s="16" t="n">
        <f aca="false">+J24*K24</f>
        <v>0</v>
      </c>
      <c r="N24" s="9" t="n">
        <f aca="false">+N23</f>
        <v>0</v>
      </c>
      <c r="O24" s="15" t="n">
        <f aca="false">+O23</f>
        <v>0</v>
      </c>
      <c r="P24" s="16" t="n">
        <f aca="false">+N24*O24</f>
        <v>0</v>
      </c>
      <c r="R24" s="9" t="n">
        <f aca="false">+R23</f>
        <v>0</v>
      </c>
      <c r="S24" s="15" t="n">
        <f aca="false">+S23</f>
        <v>0</v>
      </c>
      <c r="T24" s="16" t="n">
        <f aca="false">+R24*S24</f>
        <v>0</v>
      </c>
      <c r="V24" s="9" t="n">
        <f aca="false">+V23</f>
        <v>0</v>
      </c>
      <c r="W24" s="15" t="n">
        <f aca="false">+W23</f>
        <v>0</v>
      </c>
      <c r="X24" s="16" t="n">
        <f aca="false">+V24*W24</f>
        <v>0</v>
      </c>
      <c r="Z24" s="9" t="n">
        <f aca="false">SUM(B24,F24,J24,N24,R24,V24)</f>
        <v>0</v>
      </c>
    </row>
    <row r="25" customFormat="false" ht="12.75" hidden="false" customHeight="false" outlineLevel="0" collapsed="false">
      <c r="A25" s="12" t="n">
        <f aca="false">+A24+1</f>
        <v>20</v>
      </c>
      <c r="B25" s="9" t="n">
        <f aca="false">+B24</f>
        <v>0</v>
      </c>
      <c r="C25" s="15" t="n">
        <f aca="false">+C24</f>
        <v>0</v>
      </c>
      <c r="D25" s="16" t="n">
        <f aca="false">+B25*C25</f>
        <v>0</v>
      </c>
      <c r="F25" s="9" t="n">
        <f aca="false">+F24</f>
        <v>0</v>
      </c>
      <c r="G25" s="15" t="n">
        <f aca="false">+G24</f>
        <v>0</v>
      </c>
      <c r="H25" s="16" t="n">
        <f aca="false">+F25*G25</f>
        <v>0</v>
      </c>
      <c r="J25" s="9" t="n">
        <f aca="false">+J24</f>
        <v>0</v>
      </c>
      <c r="K25" s="15" t="n">
        <f aca="false">+K24</f>
        <v>0</v>
      </c>
      <c r="L25" s="16" t="n">
        <f aca="false">+J25*K25</f>
        <v>0</v>
      </c>
      <c r="N25" s="9" t="n">
        <f aca="false">+N24</f>
        <v>0</v>
      </c>
      <c r="O25" s="15" t="n">
        <f aca="false">+O24</f>
        <v>0</v>
      </c>
      <c r="P25" s="16" t="n">
        <f aca="false">+N25*O25</f>
        <v>0</v>
      </c>
      <c r="R25" s="9" t="n">
        <f aca="false">+R24</f>
        <v>0</v>
      </c>
      <c r="S25" s="15" t="n">
        <f aca="false">+S24</f>
        <v>0</v>
      </c>
      <c r="T25" s="16" t="n">
        <f aca="false">+R25*S25</f>
        <v>0</v>
      </c>
      <c r="V25" s="9" t="n">
        <f aca="false">+V24</f>
        <v>0</v>
      </c>
      <c r="W25" s="15" t="n">
        <f aca="false">+W24</f>
        <v>0</v>
      </c>
      <c r="X25" s="16" t="n">
        <f aca="false">+V25*W25</f>
        <v>0</v>
      </c>
      <c r="Z25" s="9" t="n">
        <f aca="false">SUM(B25,F25,J25,N25,R25,V25)</f>
        <v>0</v>
      </c>
    </row>
    <row r="26" customFormat="false" ht="12.75" hidden="false" customHeight="false" outlineLevel="0" collapsed="false">
      <c r="A26" s="12" t="n">
        <f aca="false">+A25+1</f>
        <v>21</v>
      </c>
      <c r="B26" s="9" t="n">
        <f aca="false">+B25</f>
        <v>0</v>
      </c>
      <c r="C26" s="15" t="n">
        <f aca="false">+C25</f>
        <v>0</v>
      </c>
      <c r="D26" s="16" t="n">
        <f aca="false">+B26*C26</f>
        <v>0</v>
      </c>
      <c r="F26" s="9" t="n">
        <f aca="false">+F25</f>
        <v>0</v>
      </c>
      <c r="G26" s="15" t="n">
        <f aca="false">+G25</f>
        <v>0</v>
      </c>
      <c r="H26" s="16" t="n">
        <f aca="false">+F26*G26</f>
        <v>0</v>
      </c>
      <c r="J26" s="9" t="n">
        <f aca="false">+J25</f>
        <v>0</v>
      </c>
      <c r="K26" s="15" t="n">
        <f aca="false">+K25</f>
        <v>0</v>
      </c>
      <c r="L26" s="16" t="n">
        <f aca="false">+J26*K26</f>
        <v>0</v>
      </c>
      <c r="N26" s="9" t="n">
        <f aca="false">+N25</f>
        <v>0</v>
      </c>
      <c r="O26" s="15" t="n">
        <f aca="false">+O25</f>
        <v>0</v>
      </c>
      <c r="P26" s="16" t="n">
        <f aca="false">+N26*O26</f>
        <v>0</v>
      </c>
      <c r="R26" s="9" t="n">
        <f aca="false">+R25</f>
        <v>0</v>
      </c>
      <c r="S26" s="15" t="n">
        <f aca="false">+S25</f>
        <v>0</v>
      </c>
      <c r="T26" s="16" t="n">
        <f aca="false">+R26*S26</f>
        <v>0</v>
      </c>
      <c r="V26" s="9" t="n">
        <f aca="false">+V25</f>
        <v>0</v>
      </c>
      <c r="W26" s="15" t="n">
        <f aca="false">+W25</f>
        <v>0</v>
      </c>
      <c r="X26" s="16" t="n">
        <f aca="false">+V26*W26</f>
        <v>0</v>
      </c>
      <c r="Z26" s="9" t="n">
        <f aca="false">SUM(B26,F26,J26,N26,R26,V26)</f>
        <v>0</v>
      </c>
    </row>
    <row r="27" customFormat="false" ht="12.75" hidden="false" customHeight="false" outlineLevel="0" collapsed="false">
      <c r="A27" s="12" t="n">
        <f aca="false">+A26+1</f>
        <v>22</v>
      </c>
      <c r="B27" s="9" t="n">
        <f aca="false">+B26</f>
        <v>0</v>
      </c>
      <c r="C27" s="15" t="n">
        <f aca="false">+C26</f>
        <v>0</v>
      </c>
      <c r="D27" s="16" t="n">
        <f aca="false">+B27*C27</f>
        <v>0</v>
      </c>
      <c r="F27" s="9" t="n">
        <f aca="false">+F26</f>
        <v>0</v>
      </c>
      <c r="G27" s="15" t="n">
        <f aca="false">+G26</f>
        <v>0</v>
      </c>
      <c r="H27" s="16" t="n">
        <f aca="false">+F27*G27</f>
        <v>0</v>
      </c>
      <c r="J27" s="9" t="n">
        <f aca="false">+J26</f>
        <v>0</v>
      </c>
      <c r="K27" s="15" t="n">
        <f aca="false">+K26</f>
        <v>0</v>
      </c>
      <c r="L27" s="16" t="n">
        <f aca="false">+J27*K27</f>
        <v>0</v>
      </c>
      <c r="N27" s="9" t="n">
        <f aca="false">+N26</f>
        <v>0</v>
      </c>
      <c r="O27" s="15" t="n">
        <f aca="false">+O26</f>
        <v>0</v>
      </c>
      <c r="P27" s="16" t="n">
        <f aca="false">+N27*O27</f>
        <v>0</v>
      </c>
      <c r="R27" s="9" t="n">
        <f aca="false">+R26</f>
        <v>0</v>
      </c>
      <c r="S27" s="15" t="n">
        <f aca="false">+S26</f>
        <v>0</v>
      </c>
      <c r="T27" s="16" t="n">
        <f aca="false">+R27*S27</f>
        <v>0</v>
      </c>
      <c r="V27" s="9" t="n">
        <f aca="false">+V26</f>
        <v>0</v>
      </c>
      <c r="W27" s="15" t="n">
        <f aca="false">+W26</f>
        <v>0</v>
      </c>
      <c r="X27" s="16" t="n">
        <f aca="false">+V27*W27</f>
        <v>0</v>
      </c>
      <c r="Z27" s="9" t="n">
        <f aca="false">SUM(B27,F27,J27,N27,R27,V27)</f>
        <v>0</v>
      </c>
    </row>
    <row r="28" customFormat="false" ht="12.75" hidden="false" customHeight="false" outlineLevel="0" collapsed="false">
      <c r="A28" s="12" t="n">
        <f aca="false">+A27+1</f>
        <v>23</v>
      </c>
      <c r="B28" s="9" t="n">
        <f aca="false">+B27</f>
        <v>0</v>
      </c>
      <c r="C28" s="15" t="n">
        <f aca="false">+C27</f>
        <v>0</v>
      </c>
      <c r="D28" s="16" t="n">
        <f aca="false">+B28*C28</f>
        <v>0</v>
      </c>
      <c r="F28" s="9" t="n">
        <f aca="false">+F27</f>
        <v>0</v>
      </c>
      <c r="G28" s="15" t="n">
        <f aca="false">+G27</f>
        <v>0</v>
      </c>
      <c r="H28" s="16" t="n">
        <f aca="false">+F28*G28</f>
        <v>0</v>
      </c>
      <c r="J28" s="9" t="n">
        <f aca="false">+J27</f>
        <v>0</v>
      </c>
      <c r="K28" s="15" t="n">
        <f aca="false">+K27</f>
        <v>0</v>
      </c>
      <c r="L28" s="16" t="n">
        <f aca="false">+J28*K28</f>
        <v>0</v>
      </c>
      <c r="N28" s="9" t="n">
        <f aca="false">+N27</f>
        <v>0</v>
      </c>
      <c r="O28" s="15" t="n">
        <f aca="false">+O27</f>
        <v>0</v>
      </c>
      <c r="P28" s="16" t="n">
        <f aca="false">+N28*O28</f>
        <v>0</v>
      </c>
      <c r="R28" s="9" t="n">
        <f aca="false">+R27</f>
        <v>0</v>
      </c>
      <c r="S28" s="15" t="n">
        <f aca="false">+S27</f>
        <v>0</v>
      </c>
      <c r="T28" s="16" t="n">
        <f aca="false">+R28*S28</f>
        <v>0</v>
      </c>
      <c r="V28" s="9" t="n">
        <f aca="false">+V27</f>
        <v>0</v>
      </c>
      <c r="W28" s="15" t="n">
        <f aca="false">+W27</f>
        <v>0</v>
      </c>
      <c r="X28" s="16" t="n">
        <f aca="false">+V28*W28</f>
        <v>0</v>
      </c>
      <c r="Z28" s="9" t="n">
        <f aca="false">SUM(B28,F28,J28,N28,R28,V28)</f>
        <v>0</v>
      </c>
    </row>
    <row r="29" customFormat="false" ht="12.75" hidden="false" customHeight="false" outlineLevel="0" collapsed="false">
      <c r="A29" s="12" t="n">
        <f aca="false">+A28+1</f>
        <v>24</v>
      </c>
      <c r="B29" s="9" t="n">
        <f aca="false">+B28</f>
        <v>0</v>
      </c>
      <c r="C29" s="15" t="n">
        <f aca="false">+C28</f>
        <v>0</v>
      </c>
      <c r="D29" s="16" t="n">
        <f aca="false">+B29*C29</f>
        <v>0</v>
      </c>
      <c r="F29" s="9" t="n">
        <f aca="false">+F28</f>
        <v>0</v>
      </c>
      <c r="G29" s="15" t="n">
        <f aca="false">+G28</f>
        <v>0</v>
      </c>
      <c r="H29" s="16" t="n">
        <f aca="false">+F29*G29</f>
        <v>0</v>
      </c>
      <c r="J29" s="9" t="n">
        <f aca="false">+J28</f>
        <v>0</v>
      </c>
      <c r="K29" s="15" t="n">
        <f aca="false">+K28</f>
        <v>0</v>
      </c>
      <c r="L29" s="16" t="n">
        <f aca="false">+J29*K29</f>
        <v>0</v>
      </c>
      <c r="N29" s="9" t="n">
        <f aca="false">+N28</f>
        <v>0</v>
      </c>
      <c r="O29" s="15" t="n">
        <f aca="false">+O28</f>
        <v>0</v>
      </c>
      <c r="P29" s="16" t="n">
        <f aca="false">+N29*O29</f>
        <v>0</v>
      </c>
      <c r="R29" s="9" t="n">
        <f aca="false">+R28</f>
        <v>0</v>
      </c>
      <c r="S29" s="15" t="n">
        <f aca="false">+S28</f>
        <v>0</v>
      </c>
      <c r="T29" s="16" t="n">
        <f aca="false">+R29*S29</f>
        <v>0</v>
      </c>
      <c r="V29" s="9" t="n">
        <f aca="false">+V28</f>
        <v>0</v>
      </c>
      <c r="W29" s="15" t="n">
        <f aca="false">+W28</f>
        <v>0</v>
      </c>
      <c r="X29" s="16" t="n">
        <f aca="false">+V29*W29</f>
        <v>0</v>
      </c>
      <c r="Z29" s="9" t="n">
        <f aca="false">SUM(B29,F29,J29,N29,R29,V29)</f>
        <v>0</v>
      </c>
    </row>
    <row r="30" customFormat="false" ht="12.75" hidden="false" customHeight="false" outlineLevel="0" collapsed="false">
      <c r="A30" s="12" t="n">
        <f aca="false">+A29+1</f>
        <v>25</v>
      </c>
      <c r="B30" s="9" t="n">
        <f aca="false">+B29</f>
        <v>0</v>
      </c>
      <c r="C30" s="15" t="n">
        <f aca="false">+C29</f>
        <v>0</v>
      </c>
      <c r="D30" s="16" t="n">
        <f aca="false">+B30*C30</f>
        <v>0</v>
      </c>
      <c r="F30" s="9" t="n">
        <f aca="false">+F29</f>
        <v>0</v>
      </c>
      <c r="G30" s="15" t="n">
        <f aca="false">+G29</f>
        <v>0</v>
      </c>
      <c r="H30" s="16" t="n">
        <f aca="false">+F30*G30</f>
        <v>0</v>
      </c>
      <c r="J30" s="9" t="n">
        <f aca="false">+J29</f>
        <v>0</v>
      </c>
      <c r="K30" s="15" t="n">
        <f aca="false">+K29</f>
        <v>0</v>
      </c>
      <c r="L30" s="16" t="n">
        <f aca="false">+J30*K30</f>
        <v>0</v>
      </c>
      <c r="N30" s="9" t="n">
        <f aca="false">+N29</f>
        <v>0</v>
      </c>
      <c r="O30" s="15" t="n">
        <f aca="false">+O29</f>
        <v>0</v>
      </c>
      <c r="P30" s="16" t="n">
        <f aca="false">+N30*O30</f>
        <v>0</v>
      </c>
      <c r="R30" s="9" t="n">
        <f aca="false">+R29</f>
        <v>0</v>
      </c>
      <c r="S30" s="15" t="n">
        <f aca="false">+S29</f>
        <v>0</v>
      </c>
      <c r="T30" s="16" t="n">
        <f aca="false">+R30*S30</f>
        <v>0</v>
      </c>
      <c r="V30" s="9" t="n">
        <f aca="false">+V29</f>
        <v>0</v>
      </c>
      <c r="W30" s="15" t="n">
        <f aca="false">+W29</f>
        <v>0</v>
      </c>
      <c r="X30" s="16" t="n">
        <f aca="false">+V30*W30</f>
        <v>0</v>
      </c>
      <c r="Z30" s="9" t="n">
        <f aca="false">SUM(B30,F30,J30,N30,R30,V30)</f>
        <v>0</v>
      </c>
    </row>
    <row r="31" customFormat="false" ht="12.75" hidden="false" customHeight="false" outlineLevel="0" collapsed="false">
      <c r="A31" s="12" t="n">
        <f aca="false">+A30+1</f>
        <v>26</v>
      </c>
      <c r="B31" s="9" t="n">
        <f aca="false">+B30</f>
        <v>0</v>
      </c>
      <c r="C31" s="15" t="n">
        <f aca="false">+C30</f>
        <v>0</v>
      </c>
      <c r="D31" s="16" t="n">
        <f aca="false">+B31*C31</f>
        <v>0</v>
      </c>
      <c r="F31" s="9" t="n">
        <f aca="false">+F30</f>
        <v>0</v>
      </c>
      <c r="G31" s="15" t="n">
        <f aca="false">+G30</f>
        <v>0</v>
      </c>
      <c r="H31" s="16" t="n">
        <f aca="false">+F31*G31</f>
        <v>0</v>
      </c>
      <c r="J31" s="9" t="n">
        <f aca="false">+J30</f>
        <v>0</v>
      </c>
      <c r="K31" s="15" t="n">
        <f aca="false">+K30</f>
        <v>0</v>
      </c>
      <c r="L31" s="16" t="n">
        <f aca="false">+J31*K31</f>
        <v>0</v>
      </c>
      <c r="N31" s="9" t="n">
        <f aca="false">+N30</f>
        <v>0</v>
      </c>
      <c r="O31" s="15" t="n">
        <f aca="false">+O30</f>
        <v>0</v>
      </c>
      <c r="P31" s="16" t="n">
        <f aca="false">+N31*O31</f>
        <v>0</v>
      </c>
      <c r="R31" s="9" t="n">
        <f aca="false">+R30</f>
        <v>0</v>
      </c>
      <c r="S31" s="15" t="n">
        <f aca="false">+S30</f>
        <v>0</v>
      </c>
      <c r="T31" s="16" t="n">
        <f aca="false">+R31*S31</f>
        <v>0</v>
      </c>
      <c r="V31" s="9" t="n">
        <f aca="false">+V30</f>
        <v>0</v>
      </c>
      <c r="W31" s="15" t="n">
        <f aca="false">+W30</f>
        <v>0</v>
      </c>
      <c r="X31" s="16" t="n">
        <f aca="false">+V31*W31</f>
        <v>0</v>
      </c>
      <c r="Z31" s="9" t="n">
        <f aca="false">SUM(B31,F31,J31,N31,R31,V31)</f>
        <v>0</v>
      </c>
    </row>
    <row r="32" customFormat="false" ht="12.75" hidden="false" customHeight="false" outlineLevel="0" collapsed="false">
      <c r="A32" s="12" t="n">
        <f aca="false">+A31+1</f>
        <v>27</v>
      </c>
      <c r="B32" s="9" t="n">
        <f aca="false">+B31</f>
        <v>0</v>
      </c>
      <c r="C32" s="15" t="n">
        <f aca="false">+C31</f>
        <v>0</v>
      </c>
      <c r="D32" s="16" t="n">
        <f aca="false">+B32*C32</f>
        <v>0</v>
      </c>
      <c r="F32" s="9" t="n">
        <f aca="false">+F31</f>
        <v>0</v>
      </c>
      <c r="G32" s="15" t="n">
        <f aca="false">+G31</f>
        <v>0</v>
      </c>
      <c r="H32" s="16" t="n">
        <f aca="false">+F32*G32</f>
        <v>0</v>
      </c>
      <c r="J32" s="9" t="n">
        <f aca="false">+J31</f>
        <v>0</v>
      </c>
      <c r="K32" s="15" t="n">
        <f aca="false">+K31</f>
        <v>0</v>
      </c>
      <c r="L32" s="16" t="n">
        <f aca="false">+J32*K32</f>
        <v>0</v>
      </c>
      <c r="N32" s="9" t="n">
        <f aca="false">+N31</f>
        <v>0</v>
      </c>
      <c r="O32" s="15" t="n">
        <f aca="false">+O31</f>
        <v>0</v>
      </c>
      <c r="P32" s="16" t="n">
        <f aca="false">+N32*O32</f>
        <v>0</v>
      </c>
      <c r="R32" s="9" t="n">
        <f aca="false">+R31</f>
        <v>0</v>
      </c>
      <c r="S32" s="15" t="n">
        <f aca="false">+S31</f>
        <v>0</v>
      </c>
      <c r="T32" s="16" t="n">
        <f aca="false">+R32*S32</f>
        <v>0</v>
      </c>
      <c r="V32" s="9" t="n">
        <f aca="false">+V31</f>
        <v>0</v>
      </c>
      <c r="W32" s="15" t="n">
        <f aca="false">+W31</f>
        <v>0</v>
      </c>
      <c r="X32" s="16" t="n">
        <f aca="false">+V32*W32</f>
        <v>0</v>
      </c>
      <c r="Z32" s="9" t="n">
        <f aca="false">SUM(B32,F32,J32,N32,R32,V32)</f>
        <v>0</v>
      </c>
    </row>
    <row r="33" customFormat="false" ht="12.75" hidden="false" customHeight="false" outlineLevel="0" collapsed="false">
      <c r="A33" s="12" t="n">
        <f aca="false">+A32+1</f>
        <v>28</v>
      </c>
      <c r="B33" s="9" t="n">
        <f aca="false">+B32</f>
        <v>0</v>
      </c>
      <c r="C33" s="15" t="n">
        <f aca="false">+C32</f>
        <v>0</v>
      </c>
      <c r="D33" s="16" t="n">
        <f aca="false">+B33*C33</f>
        <v>0</v>
      </c>
      <c r="F33" s="9" t="n">
        <f aca="false">+F32</f>
        <v>0</v>
      </c>
      <c r="G33" s="15" t="n">
        <f aca="false">+G32</f>
        <v>0</v>
      </c>
      <c r="H33" s="16" t="n">
        <f aca="false">+F33*G33</f>
        <v>0</v>
      </c>
      <c r="J33" s="9" t="n">
        <f aca="false">+J32</f>
        <v>0</v>
      </c>
      <c r="K33" s="15" t="n">
        <f aca="false">+K32</f>
        <v>0</v>
      </c>
      <c r="L33" s="16" t="n">
        <f aca="false">+J33*K33</f>
        <v>0</v>
      </c>
      <c r="N33" s="9" t="n">
        <f aca="false">+N32</f>
        <v>0</v>
      </c>
      <c r="O33" s="15" t="n">
        <f aca="false">+O32</f>
        <v>0</v>
      </c>
      <c r="P33" s="16" t="n">
        <f aca="false">+N33*O33</f>
        <v>0</v>
      </c>
      <c r="R33" s="9" t="n">
        <f aca="false">+R32</f>
        <v>0</v>
      </c>
      <c r="S33" s="15" t="n">
        <f aca="false">+S32</f>
        <v>0</v>
      </c>
      <c r="T33" s="16" t="n">
        <f aca="false">+R33*S33</f>
        <v>0</v>
      </c>
      <c r="V33" s="9" t="n">
        <f aca="false">+V32</f>
        <v>0</v>
      </c>
      <c r="W33" s="15" t="n">
        <f aca="false">+W32</f>
        <v>0</v>
      </c>
      <c r="X33" s="16" t="n">
        <f aca="false">+V33*W33</f>
        <v>0</v>
      </c>
      <c r="Z33" s="9" t="n">
        <f aca="false">SUM(B33,F33,J33,N33,R33,V33)</f>
        <v>0</v>
      </c>
    </row>
    <row r="34" customFormat="false" ht="12.75" hidden="false" customHeight="false" outlineLevel="0" collapsed="false">
      <c r="A34" s="12" t="n">
        <f aca="false">+A33+1</f>
        <v>29</v>
      </c>
      <c r="B34" s="9" t="n">
        <f aca="false">+B33</f>
        <v>0</v>
      </c>
      <c r="C34" s="15" t="n">
        <f aca="false">+C33</f>
        <v>0</v>
      </c>
      <c r="D34" s="16" t="n">
        <f aca="false">+B34*C34</f>
        <v>0</v>
      </c>
      <c r="F34" s="9" t="n">
        <f aca="false">+F33</f>
        <v>0</v>
      </c>
      <c r="G34" s="15" t="n">
        <f aca="false">+G33</f>
        <v>0</v>
      </c>
      <c r="H34" s="16" t="n">
        <f aca="false">+F34*G34</f>
        <v>0</v>
      </c>
      <c r="J34" s="9" t="n">
        <f aca="false">+J33</f>
        <v>0</v>
      </c>
      <c r="K34" s="15" t="n">
        <f aca="false">+K33</f>
        <v>0</v>
      </c>
      <c r="L34" s="16" t="n">
        <f aca="false">+J34*K34</f>
        <v>0</v>
      </c>
      <c r="N34" s="9" t="n">
        <f aca="false">+N33</f>
        <v>0</v>
      </c>
      <c r="O34" s="15" t="n">
        <f aca="false">+O33</f>
        <v>0</v>
      </c>
      <c r="P34" s="16" t="n">
        <f aca="false">+N34*O34</f>
        <v>0</v>
      </c>
      <c r="R34" s="9" t="n">
        <f aca="false">+R33</f>
        <v>0</v>
      </c>
      <c r="S34" s="15" t="n">
        <f aca="false">+S33</f>
        <v>0</v>
      </c>
      <c r="T34" s="16" t="n">
        <f aca="false">+R34*S34</f>
        <v>0</v>
      </c>
      <c r="V34" s="9" t="n">
        <f aca="false">+V33</f>
        <v>0</v>
      </c>
      <c r="W34" s="15" t="n">
        <f aca="false">+W33</f>
        <v>0</v>
      </c>
      <c r="X34" s="16" t="n">
        <f aca="false">+V34*W34</f>
        <v>0</v>
      </c>
      <c r="Z34" s="9" t="n">
        <f aca="false">SUM(B34,F34,J34,N34,R34,V34)</f>
        <v>0</v>
      </c>
    </row>
    <row r="35" customFormat="false" ht="12.75" hidden="false" customHeight="false" outlineLevel="0" collapsed="false">
      <c r="A35" s="12" t="n">
        <f aca="false">+A34+1</f>
        <v>30</v>
      </c>
      <c r="B35" s="9" t="n">
        <f aca="false">+B34</f>
        <v>0</v>
      </c>
      <c r="C35" s="15" t="n">
        <f aca="false">+C34</f>
        <v>0</v>
      </c>
      <c r="D35" s="16" t="n">
        <f aca="false">+B35*C35</f>
        <v>0</v>
      </c>
      <c r="F35" s="9" t="n">
        <f aca="false">+F34</f>
        <v>0</v>
      </c>
      <c r="G35" s="15" t="n">
        <f aca="false">+G34</f>
        <v>0</v>
      </c>
      <c r="H35" s="16" t="n">
        <f aca="false">+F35*G35</f>
        <v>0</v>
      </c>
      <c r="J35" s="9" t="n">
        <f aca="false">+J34</f>
        <v>0</v>
      </c>
      <c r="K35" s="15" t="n">
        <f aca="false">+K34</f>
        <v>0</v>
      </c>
      <c r="L35" s="16" t="n">
        <f aca="false">+J35*K35</f>
        <v>0</v>
      </c>
      <c r="N35" s="9" t="n">
        <f aca="false">+N34</f>
        <v>0</v>
      </c>
      <c r="O35" s="15" t="n">
        <f aca="false">+O34</f>
        <v>0</v>
      </c>
      <c r="P35" s="16" t="n">
        <f aca="false">+N35*O35</f>
        <v>0</v>
      </c>
      <c r="R35" s="9" t="n">
        <f aca="false">+R34</f>
        <v>0</v>
      </c>
      <c r="S35" s="15" t="n">
        <f aca="false">+S34</f>
        <v>0</v>
      </c>
      <c r="T35" s="16" t="n">
        <f aca="false">+R35*S35</f>
        <v>0</v>
      </c>
      <c r="V35" s="9" t="n">
        <f aca="false">+V34</f>
        <v>0</v>
      </c>
      <c r="W35" s="15" t="n">
        <f aca="false">+W34</f>
        <v>0</v>
      </c>
      <c r="X35" s="16" t="n">
        <f aca="false">+V35*W35</f>
        <v>0</v>
      </c>
      <c r="Z35" s="9" t="n">
        <f aca="false">SUM(B35,F35,J35,N35,R35,V35)</f>
        <v>0</v>
      </c>
    </row>
    <row r="36" customFormat="false" ht="12.75" hidden="false" customHeight="false" outlineLevel="0" collapsed="false">
      <c r="A36" s="12" t="n">
        <v>31</v>
      </c>
      <c r="B36" s="9" t="n">
        <f aca="false">+B35</f>
        <v>0</v>
      </c>
      <c r="C36" s="15" t="n">
        <f aca="false">+C35</f>
        <v>0</v>
      </c>
      <c r="D36" s="16" t="n">
        <f aca="false">+B36*C36</f>
        <v>0</v>
      </c>
      <c r="F36" s="9" t="n">
        <f aca="false">+F35</f>
        <v>0</v>
      </c>
      <c r="G36" s="15" t="n">
        <f aca="false">+G35</f>
        <v>0</v>
      </c>
      <c r="H36" s="16" t="n">
        <f aca="false">+F36*G36</f>
        <v>0</v>
      </c>
      <c r="J36" s="9" t="n">
        <f aca="false">+J35</f>
        <v>0</v>
      </c>
      <c r="K36" s="15" t="n">
        <f aca="false">+K35</f>
        <v>0</v>
      </c>
      <c r="L36" s="16" t="n">
        <f aca="false">+J36*K36</f>
        <v>0</v>
      </c>
      <c r="N36" s="9" t="n">
        <f aca="false">+N35</f>
        <v>0</v>
      </c>
      <c r="O36" s="15" t="n">
        <f aca="false">+O35</f>
        <v>0</v>
      </c>
      <c r="P36" s="16" t="n">
        <f aca="false">+N36*O36</f>
        <v>0</v>
      </c>
      <c r="R36" s="9" t="n">
        <f aca="false">+R35</f>
        <v>0</v>
      </c>
      <c r="S36" s="15" t="n">
        <f aca="false">+S35</f>
        <v>0</v>
      </c>
      <c r="T36" s="16" t="n">
        <f aca="false">+R36*S36</f>
        <v>0</v>
      </c>
      <c r="V36" s="9" t="n">
        <f aca="false">+V35</f>
        <v>0</v>
      </c>
      <c r="W36" s="15" t="n">
        <f aca="false">+W35</f>
        <v>0</v>
      </c>
      <c r="X36" s="16" t="n">
        <f aca="false">+V36*W36</f>
        <v>0</v>
      </c>
      <c r="Z36" s="9" t="n">
        <f aca="false">SUM(B36,F36,J36,N36,R36,V36)</f>
        <v>0</v>
      </c>
    </row>
    <row r="37" customFormat="false" ht="12.75" hidden="false" customHeight="false" outlineLevel="0" collapsed="false">
      <c r="A37" s="12"/>
    </row>
    <row r="38" customFormat="false" ht="12.75" hidden="false" customHeight="false" outlineLevel="0" collapsed="false">
      <c r="A3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M6" activePane="bottomRight" state="frozen"/>
      <selection pane="topLeft" activeCell="A1" activeCellId="0" sqref="A1"/>
      <selection pane="topRight" activeCell="M1" activeCellId="0" sqref="M1"/>
      <selection pane="bottomLeft" activeCell="A6" activeCellId="0" sqref="A6"/>
      <selection pane="bottomRight" activeCell="T5" activeCellId="0" sqref="T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3" min="2" style="6" width="10.99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7" width="13.85"/>
    <col collapsed="false" customWidth="false" hidden="false" outlineLevel="0" max="257" min="25" style="6" width="9.14"/>
  </cols>
  <sheetData>
    <row r="2" customFormat="false" ht="12.75" hidden="false" customHeight="false" outlineLevel="0" collapsed="false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8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2.75" hidden="false" customHeight="false" outlineLevel="0" collapsed="false">
      <c r="A3" s="12"/>
      <c r="B3" s="12" t="s">
        <v>50</v>
      </c>
      <c r="C3" s="12" t="s">
        <v>54</v>
      </c>
      <c r="D3" s="12"/>
      <c r="E3" s="19" t="n">
        <v>456379</v>
      </c>
      <c r="F3" s="12"/>
      <c r="G3" s="12"/>
      <c r="H3" s="12"/>
      <c r="I3" s="12"/>
      <c r="J3" s="12"/>
      <c r="K3" s="12" t="s">
        <v>55</v>
      </c>
      <c r="L3" s="12"/>
      <c r="M3" s="12"/>
      <c r="N3" s="12"/>
      <c r="O3" s="12"/>
      <c r="P3" s="12"/>
      <c r="Q3" s="12"/>
      <c r="R3" s="12" t="s">
        <v>56</v>
      </c>
      <c r="S3" s="12"/>
      <c r="T3" s="12"/>
      <c r="V3" s="12" t="s">
        <v>57</v>
      </c>
      <c r="X3" s="18"/>
      <c r="Y3" s="6" t="s">
        <v>58</v>
      </c>
    </row>
    <row r="4" customFormat="false" ht="12.75" hidden="false" customHeight="false" outlineLevel="0" collapsed="false">
      <c r="A4" s="12"/>
      <c r="B4" s="12" t="s">
        <v>59</v>
      </c>
      <c r="C4" s="12" t="s">
        <v>59</v>
      </c>
      <c r="D4" s="12"/>
      <c r="E4" s="20" t="s">
        <v>60</v>
      </c>
      <c r="F4" s="21" t="s">
        <v>60</v>
      </c>
      <c r="G4" s="12"/>
      <c r="H4" s="12" t="s">
        <v>61</v>
      </c>
      <c r="I4" s="12" t="s">
        <v>37</v>
      </c>
      <c r="J4" s="12"/>
      <c r="K4" s="12" t="s">
        <v>62</v>
      </c>
      <c r="L4" s="12"/>
      <c r="M4" s="12"/>
      <c r="N4" s="12"/>
      <c r="O4" s="12"/>
      <c r="P4" s="12" t="s">
        <v>63</v>
      </c>
      <c r="Q4" s="12"/>
      <c r="R4" s="12" t="s">
        <v>64</v>
      </c>
      <c r="S4" s="12"/>
      <c r="T4" s="12" t="s">
        <v>65</v>
      </c>
      <c r="V4" s="12" t="s">
        <v>66</v>
      </c>
      <c r="X4" s="18"/>
      <c r="Y4" s="6" t="s">
        <v>50</v>
      </c>
      <c r="AA4" s="6" t="s">
        <v>67</v>
      </c>
    </row>
    <row r="5" customFormat="false" ht="12.75" hidden="false" customHeight="false" outlineLevel="0" collapsed="false">
      <c r="A5" s="12"/>
      <c r="B5" s="19" t="n">
        <v>549411</v>
      </c>
      <c r="C5" s="19" t="n">
        <v>559947</v>
      </c>
      <c r="D5" s="12"/>
      <c r="E5" s="22" t="s">
        <v>68</v>
      </c>
      <c r="F5" s="23" t="s">
        <v>45</v>
      </c>
      <c r="G5" s="12"/>
      <c r="H5" s="12" t="s">
        <v>69</v>
      </c>
      <c r="I5" s="12" t="s">
        <v>69</v>
      </c>
      <c r="J5" s="12"/>
      <c r="K5" s="12" t="s">
        <v>70</v>
      </c>
      <c r="L5" s="12"/>
      <c r="M5" s="12" t="s">
        <v>71</v>
      </c>
      <c r="N5" s="12" t="s">
        <v>72</v>
      </c>
      <c r="O5" s="12" t="s">
        <v>73</v>
      </c>
      <c r="P5" s="24" t="s">
        <v>71</v>
      </c>
      <c r="Q5" s="12"/>
      <c r="R5" s="24" t="n">
        <v>502957</v>
      </c>
      <c r="S5" s="12"/>
      <c r="T5" s="12" t="s">
        <v>74</v>
      </c>
      <c r="V5" s="12" t="s">
        <v>75</v>
      </c>
      <c r="X5" s="18" t="s">
        <v>76</v>
      </c>
      <c r="Y5" s="6" t="s">
        <v>46</v>
      </c>
      <c r="AA5" s="6" t="s">
        <v>77</v>
      </c>
      <c r="AB5" s="6" t="s">
        <v>32</v>
      </c>
      <c r="AC5" s="6" t="s">
        <v>78</v>
      </c>
    </row>
    <row r="6" customFormat="false" ht="12.75" hidden="false" customHeight="false" outlineLevel="0" collapsed="false">
      <c r="A6" s="12" t="n">
        <v>1</v>
      </c>
      <c r="B6" s="12" t="n">
        <v>79967</v>
      </c>
      <c r="C6" s="12" t="n">
        <v>11386</v>
      </c>
      <c r="D6" s="12"/>
      <c r="E6" s="12" t="n">
        <v>41969</v>
      </c>
      <c r="F6" s="12" t="n">
        <f aca="false">ROUND(+E6*(1-0.02184),0)</f>
        <v>41052</v>
      </c>
      <c r="G6" s="12"/>
      <c r="H6" s="12" t="n">
        <v>140099</v>
      </c>
      <c r="I6" s="12" t="n">
        <f aca="false">IF(B6-H6&gt;0,+B6-H6,0)</f>
        <v>0</v>
      </c>
      <c r="J6" s="12"/>
      <c r="K6" s="12" t="n">
        <f aca="false">+B6+C6-F6</f>
        <v>50301</v>
      </c>
      <c r="L6" s="12"/>
      <c r="M6" s="12" t="n">
        <v>31679</v>
      </c>
      <c r="N6" s="12" t="n">
        <f aca="false">SUM('3rd Party Deals'!W6)</f>
        <v>11393</v>
      </c>
      <c r="O6" s="12" t="n">
        <f aca="false">SUM('Spot wENA'!Z6)</f>
        <v>0</v>
      </c>
      <c r="P6" s="12" t="n">
        <f aca="false">SUM(M6:O6)</f>
        <v>43072</v>
      </c>
      <c r="Q6" s="12"/>
      <c r="R6" s="12" t="n">
        <f aca="false">IF(T6&gt;0,+B6-T6,0)</f>
        <v>72738</v>
      </c>
      <c r="S6" s="12"/>
      <c r="T6" s="12" t="n">
        <f aca="false">IF(K6-P6&gt;0,K6-P6,0)</f>
        <v>7229</v>
      </c>
      <c r="V6" s="12" t="n">
        <f aca="false">IF(P6-K6&gt;0,P6-K6,0)</f>
        <v>0</v>
      </c>
      <c r="X6" s="25" t="n">
        <v>10.97</v>
      </c>
      <c r="Y6" s="25" t="n">
        <f aca="false">ROUND((+X6+0.01)/(1-0.02184)+0.0227,2)</f>
        <v>11.25</v>
      </c>
      <c r="AA6" s="6" t="n">
        <v>39493</v>
      </c>
      <c r="AB6" s="6" t="n">
        <v>25887</v>
      </c>
      <c r="AC6" s="6" t="n">
        <v>-17479</v>
      </c>
    </row>
    <row r="7" customFormat="false" ht="12.75" hidden="false" customHeight="false" outlineLevel="0" collapsed="false">
      <c r="A7" s="12" t="n">
        <f aca="false">+A6+1</f>
        <v>2</v>
      </c>
      <c r="B7" s="12" t="n">
        <v>89394</v>
      </c>
      <c r="C7" s="12" t="n">
        <f aca="false">+C6</f>
        <v>11386</v>
      </c>
      <c r="D7" s="12"/>
      <c r="E7" s="12" t="n">
        <v>44463</v>
      </c>
      <c r="F7" s="12" t="n">
        <f aca="false">ROUND(+E7*(1-0.02184),0)</f>
        <v>43492</v>
      </c>
      <c r="G7" s="12"/>
      <c r="H7" s="12" t="n">
        <f aca="false">+H6</f>
        <v>140099</v>
      </c>
      <c r="I7" s="12" t="n">
        <f aca="false">IF(B7-H7&gt;0,+B7-H7,0)</f>
        <v>0</v>
      </c>
      <c r="J7" s="12"/>
      <c r="K7" s="12" t="n">
        <f aca="false">+B7+C7-F7</f>
        <v>57288</v>
      </c>
      <c r="L7" s="12"/>
      <c r="M7" s="12" t="n">
        <f aca="false">+M6</f>
        <v>31679</v>
      </c>
      <c r="N7" s="12" t="n">
        <f aca="false">SUM('3rd Party Deals'!W7)</f>
        <v>17266</v>
      </c>
      <c r="O7" s="12" t="n">
        <f aca="false">SUM('Spot wENA'!Z7)</f>
        <v>0</v>
      </c>
      <c r="P7" s="12" t="n">
        <f aca="false">SUM(M7:O7)</f>
        <v>48945</v>
      </c>
      <c r="Q7" s="12"/>
      <c r="R7" s="12" t="n">
        <f aca="false">IF(T7&gt;0,+B7-T7,0)</f>
        <v>81051</v>
      </c>
      <c r="S7" s="12"/>
      <c r="T7" s="12" t="n">
        <f aca="false">IF(K7-P7&gt;0,K7-P7,0)</f>
        <v>8343</v>
      </c>
      <c r="V7" s="12" t="n">
        <f aca="false">IF(P7-K7&gt;0,P7-K7,0)</f>
        <v>0</v>
      </c>
      <c r="X7" s="25" t="n">
        <v>10.97</v>
      </c>
      <c r="Y7" s="25" t="n">
        <f aca="false">ROUND((+X7+0.01)/(1-0.02184)+0.0227,2)</f>
        <v>11.25</v>
      </c>
      <c r="AA7" s="6" t="n">
        <v>43520</v>
      </c>
      <c r="AB7" s="6" t="n">
        <v>31286</v>
      </c>
      <c r="AC7" s="6" t="n">
        <v>-11959</v>
      </c>
    </row>
    <row r="8" customFormat="false" ht="12.75" hidden="false" customHeight="false" outlineLevel="0" collapsed="false">
      <c r="A8" s="12" t="n">
        <f aca="false">+A7+1</f>
        <v>3</v>
      </c>
      <c r="B8" s="12" t="n">
        <v>72957</v>
      </c>
      <c r="C8" s="12" t="n">
        <v>27835</v>
      </c>
      <c r="D8" s="12"/>
      <c r="E8" s="12" t="n">
        <v>56441</v>
      </c>
      <c r="F8" s="12" t="n">
        <f aca="false">ROUND(+E8*(1-0.02184),0)</f>
        <v>55208</v>
      </c>
      <c r="G8" s="12"/>
      <c r="H8" s="12" t="n">
        <f aca="false">+H7</f>
        <v>140099</v>
      </c>
      <c r="I8" s="12" t="n">
        <f aca="false">IF(B8-H8&gt;0,+B8-H8,0)</f>
        <v>0</v>
      </c>
      <c r="J8" s="12"/>
      <c r="K8" s="12" t="n">
        <f aca="false">+B8+C8-F8</f>
        <v>45584</v>
      </c>
      <c r="L8" s="12"/>
      <c r="M8" s="12" t="n">
        <f aca="false">+M7</f>
        <v>31679</v>
      </c>
      <c r="N8" s="12" t="n">
        <f aca="false">SUM('3rd Party Deals'!W8)</f>
        <v>13296</v>
      </c>
      <c r="O8" s="12" t="n">
        <f aca="false">SUM('Spot wENA'!Z8)</f>
        <v>0</v>
      </c>
      <c r="P8" s="12" t="n">
        <f aca="false">SUM(M8:O8)</f>
        <v>44975</v>
      </c>
      <c r="Q8" s="12"/>
      <c r="R8" s="12" t="n">
        <f aca="false">IF(T8&gt;0,+B8-T8,0)</f>
        <v>72348</v>
      </c>
      <c r="S8" s="12"/>
      <c r="T8" s="12" t="n">
        <f aca="false">IF(K8-P8&gt;0,K8-P8,0)</f>
        <v>609</v>
      </c>
      <c r="V8" s="12" t="n">
        <f aca="false">IF(P8-K8&gt;0,P8-K8,0)</f>
        <v>0</v>
      </c>
      <c r="X8" s="25" t="n">
        <v>9.895</v>
      </c>
      <c r="Y8" s="25" t="n">
        <f aca="false">ROUND((+X8+0.01)/(1-0.02184)+0.0227,2)</f>
        <v>10.15</v>
      </c>
      <c r="AA8" s="6" t="n">
        <v>55480</v>
      </c>
      <c r="AB8" s="6" t="n">
        <v>2888</v>
      </c>
      <c r="AC8" s="6" t="n">
        <v>-15974</v>
      </c>
    </row>
    <row r="9" customFormat="false" ht="12.75" hidden="false" customHeight="false" outlineLevel="0" collapsed="false">
      <c r="A9" s="12" t="n">
        <f aca="false">+A8+1</f>
        <v>4</v>
      </c>
      <c r="B9" s="12" t="n">
        <v>78716</v>
      </c>
      <c r="C9" s="12" t="n">
        <f aca="false">+C8</f>
        <v>27835</v>
      </c>
      <c r="D9" s="12"/>
      <c r="E9" s="12" t="n">
        <v>50473</v>
      </c>
      <c r="F9" s="12" t="n">
        <f aca="false">ROUND(+E9*(1-0.02184),0)</f>
        <v>49371</v>
      </c>
      <c r="G9" s="12"/>
      <c r="H9" s="12" t="n">
        <f aca="false">+H8</f>
        <v>140099</v>
      </c>
      <c r="I9" s="12" t="n">
        <f aca="false">IF(B9-H9&gt;0,+B9-H9,0)</f>
        <v>0</v>
      </c>
      <c r="J9" s="12"/>
      <c r="K9" s="12" t="n">
        <f aca="false">+B9+C9-F9</f>
        <v>57180</v>
      </c>
      <c r="L9" s="12"/>
      <c r="M9" s="12" t="n">
        <f aca="false">+M8</f>
        <v>31679</v>
      </c>
      <c r="N9" s="12" t="n">
        <f aca="false">SUM('3rd Party Deals'!W9)</f>
        <v>24892</v>
      </c>
      <c r="O9" s="12" t="n">
        <f aca="false">SUM('Spot wENA'!Z9)</f>
        <v>0</v>
      </c>
      <c r="P9" s="12" t="n">
        <f aca="false">SUM(M9:O9)</f>
        <v>56571</v>
      </c>
      <c r="Q9" s="12"/>
      <c r="R9" s="12" t="n">
        <f aca="false">IF(T9&gt;0,+B9-T9,0)</f>
        <v>78107</v>
      </c>
      <c r="S9" s="12"/>
      <c r="T9" s="12" t="n">
        <f aca="false">IF(K9-P9&gt;0,K9-P9,0)</f>
        <v>609</v>
      </c>
      <c r="V9" s="12" t="n">
        <f aca="false">IF(P9-K9&gt;0,P9-K9,0)</f>
        <v>0</v>
      </c>
      <c r="X9" s="25" t="n">
        <v>9.845</v>
      </c>
      <c r="Y9" s="25" t="n">
        <f aca="false">ROUND((+X9+0.01)/(1-0.02184)+0.0227,2)</f>
        <v>10.1</v>
      </c>
      <c r="AA9" s="6" t="n">
        <v>49425</v>
      </c>
      <c r="AB9" s="6" t="n">
        <v>14702</v>
      </c>
      <c r="AC9" s="6" t="n">
        <v>-1078</v>
      </c>
    </row>
    <row r="10" customFormat="false" ht="12.75" hidden="false" customHeight="false" outlineLevel="0" collapsed="false">
      <c r="A10" s="12" t="n">
        <f aca="false">+A9+1</f>
        <v>5</v>
      </c>
      <c r="B10" s="12" t="n">
        <v>66580</v>
      </c>
      <c r="C10" s="12" t="n">
        <f aca="false">+C9</f>
        <v>27835</v>
      </c>
      <c r="D10" s="12"/>
      <c r="E10" s="12" t="n">
        <v>42635</v>
      </c>
      <c r="F10" s="12" t="n">
        <f aca="false">ROUND(+E10*(1-0.02184),0)</f>
        <v>41704</v>
      </c>
      <c r="G10" s="12"/>
      <c r="H10" s="12" t="n">
        <f aca="false">+H9</f>
        <v>140099</v>
      </c>
      <c r="I10" s="12" t="n">
        <f aca="false">IF(B10-H10&gt;0,+B10-H10,0)</f>
        <v>0</v>
      </c>
      <c r="J10" s="12"/>
      <c r="K10" s="12" t="n">
        <f aca="false">+B10+C10-F10</f>
        <v>52711</v>
      </c>
      <c r="L10" s="12"/>
      <c r="M10" s="12" t="n">
        <f aca="false">+M9</f>
        <v>31679</v>
      </c>
      <c r="N10" s="12" t="n">
        <f aca="false">SUM('3rd Party Deals'!W10)</f>
        <v>14439</v>
      </c>
      <c r="O10" s="12" t="n">
        <f aca="false">SUM('Spot wENA'!Z10)</f>
        <v>0</v>
      </c>
      <c r="P10" s="12" t="n">
        <f aca="false">SUM(M10:O10)</f>
        <v>46118</v>
      </c>
      <c r="Q10" s="12"/>
      <c r="R10" s="12" t="n">
        <f aca="false">IF(T10&gt;0,+B10-T10,0)</f>
        <v>59987</v>
      </c>
      <c r="S10" s="12"/>
      <c r="T10" s="12" t="n">
        <f aca="false">IF(K10-P10&gt;0,K10-P10,0)</f>
        <v>6593</v>
      </c>
      <c r="V10" s="12" t="n">
        <f aca="false">IF(P10-K10&gt;0,P10-K10,0)</f>
        <v>0</v>
      </c>
      <c r="X10" s="25" t="n">
        <v>9.8</v>
      </c>
      <c r="Y10" s="25" t="n">
        <f aca="false">ROUND((+X10+0.01)/(1-0.02184)+0.0227,2)</f>
        <v>10.05</v>
      </c>
      <c r="AA10" s="6" t="n">
        <v>42070</v>
      </c>
      <c r="AB10" s="6" t="n">
        <v>9921</v>
      </c>
      <c r="AC10" s="6" t="s">
        <v>79</v>
      </c>
    </row>
    <row r="11" customFormat="false" ht="12.75" hidden="false" customHeight="false" outlineLevel="0" collapsed="false">
      <c r="A11" s="12" t="n">
        <f aca="false">+A10+1</f>
        <v>6</v>
      </c>
      <c r="B11" s="12" t="n">
        <v>71150</v>
      </c>
      <c r="C11" s="12" t="n">
        <f aca="false">+C10</f>
        <v>27835</v>
      </c>
      <c r="D11" s="12"/>
      <c r="E11" s="12" t="n">
        <v>37731</v>
      </c>
      <c r="F11" s="12" t="n">
        <f aca="false">ROUND(+E11*(1-0.02184),0)</f>
        <v>36907</v>
      </c>
      <c r="G11" s="12"/>
      <c r="H11" s="12" t="n">
        <f aca="false">+H10</f>
        <v>140099</v>
      </c>
      <c r="I11" s="12" t="n">
        <f aca="false">IF(B11-H11&gt;0,+B11-H11,0)</f>
        <v>0</v>
      </c>
      <c r="J11" s="12"/>
      <c r="K11" s="12" t="n">
        <f aca="false">+B11+C11-F11</f>
        <v>62078</v>
      </c>
      <c r="L11" s="12"/>
      <c r="M11" s="12" t="n">
        <f aca="false">+M10</f>
        <v>31679</v>
      </c>
      <c r="N11" s="12" t="n">
        <f aca="false">SUM('3rd Party Deals'!W11)</f>
        <v>25892</v>
      </c>
      <c r="O11" s="12" t="n">
        <f aca="false">SUM('Spot wENA'!Z11)</f>
        <v>0</v>
      </c>
      <c r="P11" s="12" t="n">
        <f aca="false">SUM(M11:O11)</f>
        <v>57571</v>
      </c>
      <c r="Q11" s="12"/>
      <c r="R11" s="12" t="n">
        <f aca="false">IF(T11&gt;0,+B11-T11,0)</f>
        <v>66643</v>
      </c>
      <c r="S11" s="12"/>
      <c r="T11" s="12" t="n">
        <f aca="false">IF(K11-P11&gt;0,K11-P11,0)</f>
        <v>4507</v>
      </c>
      <c r="V11" s="12" t="n">
        <f aca="false">IF(P11-K11&gt;0,P11-K11,0)</f>
        <v>0</v>
      </c>
      <c r="X11" s="25" t="n">
        <v>10.225</v>
      </c>
      <c r="Y11" s="25" t="n">
        <f aca="false">ROUND((+X11+0.01)/(1-0.02184)+0.0227,2)</f>
        <v>10.49</v>
      </c>
      <c r="AA11" s="6" t="n">
        <v>36776</v>
      </c>
      <c r="AB11" s="6" t="n">
        <v>19785</v>
      </c>
      <c r="AC11" s="6" t="s">
        <v>79</v>
      </c>
    </row>
    <row r="12" customFormat="false" ht="12.75" hidden="false" customHeight="false" outlineLevel="0" collapsed="false">
      <c r="A12" s="12" t="n">
        <f aca="false">+A11+1</f>
        <v>7</v>
      </c>
      <c r="B12" s="12" t="n">
        <v>59594</v>
      </c>
      <c r="C12" s="12" t="n">
        <f aca="false">+C11</f>
        <v>27835</v>
      </c>
      <c r="D12" s="12"/>
      <c r="E12" s="12" t="n">
        <v>25870</v>
      </c>
      <c r="F12" s="12" t="n">
        <f aca="false">ROUND(+E12*(1-0.02184),0)</f>
        <v>25305</v>
      </c>
      <c r="G12" s="12"/>
      <c r="H12" s="12" t="n">
        <f aca="false">+H11</f>
        <v>140099</v>
      </c>
      <c r="I12" s="12" t="n">
        <f aca="false">IF(B12-H12&gt;0,+B12-H12,0)</f>
        <v>0</v>
      </c>
      <c r="J12" s="12"/>
      <c r="K12" s="12" t="n">
        <f aca="false">+B12+C12-F12</f>
        <v>62124</v>
      </c>
      <c r="L12" s="12"/>
      <c r="M12" s="12" t="n">
        <f aca="false">+M11</f>
        <v>31679</v>
      </c>
      <c r="N12" s="12" t="n">
        <f aca="false">SUM('3rd Party Deals'!W12)</f>
        <v>25892</v>
      </c>
      <c r="O12" s="12" t="n">
        <f aca="false">SUM('Spot wENA'!Z12)</f>
        <v>0</v>
      </c>
      <c r="P12" s="12" t="n">
        <f aca="false">SUM(M12:O12)</f>
        <v>57571</v>
      </c>
      <c r="Q12" s="12"/>
      <c r="R12" s="12" t="n">
        <f aca="false">IF(T12&gt;0,+B12-T12,0)</f>
        <v>55041</v>
      </c>
      <c r="S12" s="12"/>
      <c r="T12" s="12" t="n">
        <f aca="false">IF(K12-P12&gt;0,K12-P12,0)</f>
        <v>4553</v>
      </c>
      <c r="V12" s="12" t="n">
        <f aca="false">IF(P12-K12&gt;0,P12-K12,0)</f>
        <v>0</v>
      </c>
      <c r="X12" s="25" t="n">
        <v>10.225</v>
      </c>
      <c r="Y12" s="25" t="n">
        <f aca="false">ROUND((+X12+0.01)/(1-0.02184)+0.0227,2)</f>
        <v>10.49</v>
      </c>
      <c r="AA12" s="6" t="n">
        <v>25136</v>
      </c>
      <c r="AB12" s="6" t="n">
        <v>19841</v>
      </c>
      <c r="AC12" s="6" t="s">
        <v>79</v>
      </c>
    </row>
    <row r="13" customFormat="false" ht="12.75" hidden="false" customHeight="false" outlineLevel="0" collapsed="false">
      <c r="A13" s="12" t="n">
        <f aca="false">+A12+1</f>
        <v>8</v>
      </c>
      <c r="B13" s="12" t="n">
        <v>84204</v>
      </c>
      <c r="C13" s="12" t="n">
        <f aca="false">+C12</f>
        <v>27835</v>
      </c>
      <c r="D13" s="12"/>
      <c r="E13" s="12" t="n">
        <v>49560</v>
      </c>
      <c r="F13" s="12" t="n">
        <f aca="false">ROUND(+E13*(1-0.02184),0)</f>
        <v>48478</v>
      </c>
      <c r="G13" s="12"/>
      <c r="H13" s="12" t="n">
        <f aca="false">+H12</f>
        <v>140099</v>
      </c>
      <c r="I13" s="12" t="n">
        <f aca="false">IF(B13-H13&gt;0,+B13-H13,0)</f>
        <v>0</v>
      </c>
      <c r="J13" s="12"/>
      <c r="K13" s="12" t="n">
        <f aca="false">+B13+C13-F13</f>
        <v>63561</v>
      </c>
      <c r="L13" s="12"/>
      <c r="M13" s="12" t="n">
        <f aca="false">+M12</f>
        <v>31679</v>
      </c>
      <c r="N13" s="12" t="n">
        <f aca="false">SUM('3rd Party Deals'!W13)</f>
        <v>25892</v>
      </c>
      <c r="O13" s="12" t="n">
        <f aca="false">SUM('Spot wENA'!Z13)</f>
        <v>0</v>
      </c>
      <c r="P13" s="12" t="n">
        <f aca="false">SUM(M13:O13)</f>
        <v>57571</v>
      </c>
      <c r="Q13" s="12"/>
      <c r="R13" s="12" t="n">
        <f aca="false">IF(T13&gt;0,+B13-T13,0)</f>
        <v>78214</v>
      </c>
      <c r="S13" s="12"/>
      <c r="T13" s="12" t="n">
        <f aca="false">IF(K13-P13&gt;0,K13-P13,0)</f>
        <v>5990</v>
      </c>
      <c r="V13" s="12" t="n">
        <f aca="false">IF(P13-K13&gt;0,P13-K13,0)</f>
        <v>0</v>
      </c>
      <c r="X13" s="25" t="n">
        <v>10.225</v>
      </c>
      <c r="Y13" s="25" t="n">
        <f aca="false">ROUND((+X13+0.01)/(1-0.02184)+0.0227,2)</f>
        <v>10.49</v>
      </c>
      <c r="AA13" s="6" t="n">
        <v>57431</v>
      </c>
      <c r="AB13" s="6" t="n">
        <v>21089</v>
      </c>
      <c r="AC13" s="6" t="s">
        <v>79</v>
      </c>
    </row>
    <row r="14" customFormat="false" ht="12.75" hidden="false" customHeight="false" outlineLevel="0" collapsed="false">
      <c r="A14" s="12" t="n">
        <f aca="false">+A13+1</f>
        <v>9</v>
      </c>
      <c r="B14" s="12" t="n">
        <v>92863</v>
      </c>
      <c r="C14" s="12" t="n">
        <f aca="false">+C13</f>
        <v>27835</v>
      </c>
      <c r="D14" s="12"/>
      <c r="E14" s="12" t="n">
        <v>58503</v>
      </c>
      <c r="F14" s="12" t="n">
        <f aca="false">ROUND(+E14*(1-0.02184),0)</f>
        <v>57225</v>
      </c>
      <c r="G14" s="12"/>
      <c r="H14" s="12" t="n">
        <f aca="false">+H13</f>
        <v>140099</v>
      </c>
      <c r="I14" s="12" t="n">
        <f aca="false">IF(B14-H14&gt;0,+B14-H14,0)</f>
        <v>0</v>
      </c>
      <c r="J14" s="12"/>
      <c r="K14" s="12" t="n">
        <f aca="false">+B14+C14-F14</f>
        <v>63473</v>
      </c>
      <c r="L14" s="12"/>
      <c r="M14" s="12" t="n">
        <f aca="false">+M13</f>
        <v>31679</v>
      </c>
      <c r="N14" s="12" t="n">
        <f aca="false">SUM('3rd Party Deals'!W14)</f>
        <v>25892</v>
      </c>
      <c r="O14" s="12" t="n">
        <f aca="false">SUM('Spot wENA'!Z14)</f>
        <v>0</v>
      </c>
      <c r="P14" s="12" t="n">
        <f aca="false">SUM(M14:O14)</f>
        <v>57571</v>
      </c>
      <c r="Q14" s="12"/>
      <c r="R14" s="12" t="n">
        <f aca="false">IF(T14&gt;0,+B14-T14,0)</f>
        <v>86961</v>
      </c>
      <c r="S14" s="12"/>
      <c r="T14" s="12" t="n">
        <f aca="false">IF(K14-P14&gt;0,K14-P14,0)</f>
        <v>5902</v>
      </c>
      <c r="V14" s="12" t="n">
        <f aca="false">IF(P14-K14&gt;0,P14-K14,0)</f>
        <v>0</v>
      </c>
      <c r="X14" s="25" t="n">
        <v>10.63</v>
      </c>
      <c r="Y14" s="25" t="n">
        <f aca="false">ROUND((+X14+0.01)/(1-0.02184)+0.0227,2)</f>
        <v>10.9</v>
      </c>
      <c r="AA14" s="6" t="n">
        <v>57236</v>
      </c>
      <c r="AB14" s="6" t="n">
        <v>21038</v>
      </c>
      <c r="AC14" s="6" t="s">
        <v>79</v>
      </c>
    </row>
    <row r="15" customFormat="false" ht="12.75" hidden="false" customHeight="false" outlineLevel="0" collapsed="false">
      <c r="A15" s="12" t="n">
        <f aca="false">+A14+1</f>
        <v>10</v>
      </c>
      <c r="B15" s="12" t="n">
        <v>75697</v>
      </c>
      <c r="C15" s="12" t="n">
        <f aca="false">+C14</f>
        <v>27835</v>
      </c>
      <c r="D15" s="12"/>
      <c r="E15" s="12" t="n">
        <v>46361</v>
      </c>
      <c r="F15" s="12" t="n">
        <f aca="false">ROUND(+E15*(1-0.02184),0)</f>
        <v>45348</v>
      </c>
      <c r="G15" s="12"/>
      <c r="H15" s="12" t="n">
        <f aca="false">+H14</f>
        <v>140099</v>
      </c>
      <c r="I15" s="12" t="n">
        <f aca="false">IF(B15-H15&gt;0,+B15-H15,0)</f>
        <v>0</v>
      </c>
      <c r="J15" s="12"/>
      <c r="K15" s="12" t="n">
        <f aca="false">+B15+C15-F15</f>
        <v>58184</v>
      </c>
      <c r="L15" s="12"/>
      <c r="M15" s="12" t="n">
        <f aca="false">+M14</f>
        <v>31679</v>
      </c>
      <c r="N15" s="12" t="n">
        <f aca="false">SUM('3rd Party Deals'!W15)</f>
        <v>25892</v>
      </c>
      <c r="O15" s="12" t="n">
        <f aca="false">SUM('Spot wENA'!Z15)</f>
        <v>0</v>
      </c>
      <c r="P15" s="12" t="n">
        <f aca="false">SUM(M15:O15)</f>
        <v>57571</v>
      </c>
      <c r="Q15" s="12"/>
      <c r="R15" s="12" t="n">
        <f aca="false">IF(T15&gt;0,+B15-T15,0)</f>
        <v>75084</v>
      </c>
      <c r="S15" s="12"/>
      <c r="T15" s="12" t="n">
        <f aca="false">IF(K15-P15&gt;0,K15-P15,0)</f>
        <v>613</v>
      </c>
      <c r="V15" s="12" t="n">
        <f aca="false">IF(P15-K15&gt;0,P15-K15,0)</f>
        <v>0</v>
      </c>
      <c r="X15" s="25" t="n">
        <v>10.33</v>
      </c>
      <c r="Y15" s="25" t="n">
        <f aca="false">ROUND((+X15+0.01)/(1-0.02184)+0.0227,2)</f>
        <v>10.59</v>
      </c>
    </row>
    <row r="16" customFormat="false" ht="12.75" hidden="false" customHeight="false" outlineLevel="0" collapsed="false">
      <c r="A16" s="12" t="n">
        <f aca="false">+A15+1</f>
        <v>11</v>
      </c>
      <c r="B16" s="12" t="n">
        <f aca="false">+B15</f>
        <v>75697</v>
      </c>
      <c r="C16" s="12" t="n">
        <f aca="false">+C15</f>
        <v>27835</v>
      </c>
      <c r="D16" s="12"/>
      <c r="E16" s="12" t="n">
        <f aca="false">+E15</f>
        <v>46361</v>
      </c>
      <c r="F16" s="12" t="n">
        <f aca="false">ROUND(+E16*(1-0.02184),0)</f>
        <v>45348</v>
      </c>
      <c r="G16" s="12"/>
      <c r="H16" s="12" t="n">
        <f aca="false">+H15</f>
        <v>140099</v>
      </c>
      <c r="I16" s="12" t="n">
        <f aca="false">IF(B16-H16&gt;0,+B16-H16,0)</f>
        <v>0</v>
      </c>
      <c r="J16" s="12"/>
      <c r="K16" s="12" t="n">
        <f aca="false">+B16+C16-F16</f>
        <v>58184</v>
      </c>
      <c r="L16" s="12"/>
      <c r="M16" s="12" t="n">
        <f aca="false">+M15</f>
        <v>31679</v>
      </c>
      <c r="N16" s="12" t="n">
        <f aca="false">SUM('3rd Party Deals'!W16)</f>
        <v>25892</v>
      </c>
      <c r="O16" s="12" t="n">
        <f aca="false">SUM('Spot wENA'!Z16)</f>
        <v>0</v>
      </c>
      <c r="P16" s="12" t="n">
        <f aca="false">SUM(M16:O16)</f>
        <v>57571</v>
      </c>
      <c r="Q16" s="12"/>
      <c r="R16" s="12" t="n">
        <f aca="false">IF(T16&gt;0,+B16-T16,0)</f>
        <v>75084</v>
      </c>
      <c r="S16" s="12"/>
      <c r="T16" s="12" t="n">
        <f aca="false">IF(K16-P16&gt;0,K16-P16,0)</f>
        <v>613</v>
      </c>
      <c r="V16" s="12" t="n">
        <f aca="false">IF(P16-K16&gt;0,P16-K16,0)</f>
        <v>0</v>
      </c>
      <c r="X16" s="25"/>
      <c r="Y16" s="25" t="n">
        <f aca="false">ROUND((+X16+0.01)/(1-0.02184)+0.0227,2)</f>
        <v>0.03</v>
      </c>
    </row>
    <row r="17" customFormat="false" ht="12.75" hidden="false" customHeight="false" outlineLevel="0" collapsed="false">
      <c r="A17" s="12" t="n">
        <f aca="false">+A16+1</f>
        <v>12</v>
      </c>
      <c r="B17" s="12" t="n">
        <f aca="false">+B16</f>
        <v>75697</v>
      </c>
      <c r="C17" s="12" t="n">
        <f aca="false">+C16</f>
        <v>27835</v>
      </c>
      <c r="D17" s="12"/>
      <c r="E17" s="12" t="n">
        <f aca="false">+E16</f>
        <v>46361</v>
      </c>
      <c r="F17" s="12" t="n">
        <f aca="false">ROUND(+E17*(1-0.02184),0)</f>
        <v>45348</v>
      </c>
      <c r="G17" s="12"/>
      <c r="H17" s="12" t="n">
        <f aca="false">+H16</f>
        <v>140099</v>
      </c>
      <c r="I17" s="12" t="n">
        <f aca="false">IF(B17-H17&gt;0,+B17-H17,0)</f>
        <v>0</v>
      </c>
      <c r="J17" s="12"/>
      <c r="K17" s="12" t="n">
        <f aca="false">+B17+C17-F17</f>
        <v>58184</v>
      </c>
      <c r="L17" s="12"/>
      <c r="M17" s="12" t="n">
        <f aca="false">+M16</f>
        <v>31679</v>
      </c>
      <c r="N17" s="12" t="n">
        <f aca="false">SUM('3rd Party Deals'!W17)</f>
        <v>25892</v>
      </c>
      <c r="O17" s="12" t="n">
        <f aca="false">SUM('Spot wENA'!Z17)</f>
        <v>0</v>
      </c>
      <c r="P17" s="12" t="n">
        <f aca="false">SUM(M17:O17)</f>
        <v>57571</v>
      </c>
      <c r="Q17" s="12"/>
      <c r="R17" s="12" t="n">
        <f aca="false">IF(T17&gt;0,+B17-T17,0)</f>
        <v>75084</v>
      </c>
      <c r="S17" s="12"/>
      <c r="T17" s="12" t="n">
        <f aca="false">IF(K17-P17&gt;0,K17-P17,0)</f>
        <v>613</v>
      </c>
      <c r="V17" s="12" t="n">
        <f aca="false">IF(P17-K17&gt;0,P17-K17,0)</f>
        <v>0</v>
      </c>
      <c r="X17" s="25"/>
      <c r="Y17" s="25" t="n">
        <f aca="false">ROUND((+X17+0.01)/(1-0.02184)+0.0227,2)</f>
        <v>0.03</v>
      </c>
    </row>
    <row r="18" customFormat="false" ht="12.75" hidden="false" customHeight="false" outlineLevel="0" collapsed="false">
      <c r="A18" s="12" t="n">
        <f aca="false">+A17+1</f>
        <v>13</v>
      </c>
      <c r="B18" s="12" t="n">
        <f aca="false">+B17</f>
        <v>75697</v>
      </c>
      <c r="C18" s="12" t="n">
        <f aca="false">+C17</f>
        <v>27835</v>
      </c>
      <c r="D18" s="12"/>
      <c r="E18" s="12" t="n">
        <f aca="false">+E17</f>
        <v>46361</v>
      </c>
      <c r="F18" s="12" t="n">
        <f aca="false">ROUND(+E18*(1-0.02184),0)</f>
        <v>45348</v>
      </c>
      <c r="G18" s="12"/>
      <c r="H18" s="12" t="n">
        <f aca="false">+H17</f>
        <v>140099</v>
      </c>
      <c r="I18" s="12" t="n">
        <f aca="false">IF(B18-H18&gt;0,+B18-H18,0)</f>
        <v>0</v>
      </c>
      <c r="J18" s="12"/>
      <c r="K18" s="12" t="n">
        <f aca="false">+B18+C18-F18</f>
        <v>58184</v>
      </c>
      <c r="L18" s="12"/>
      <c r="M18" s="12" t="n">
        <f aca="false">+M17</f>
        <v>31679</v>
      </c>
      <c r="N18" s="12" t="n">
        <f aca="false">SUM('3rd Party Deals'!W18)</f>
        <v>25892</v>
      </c>
      <c r="O18" s="12" t="n">
        <f aca="false">SUM('Spot wENA'!Z18)</f>
        <v>0</v>
      </c>
      <c r="P18" s="12" t="n">
        <f aca="false">SUM(M18:O18)</f>
        <v>57571</v>
      </c>
      <c r="Q18" s="12"/>
      <c r="R18" s="12" t="n">
        <f aca="false">IF(T18&gt;0,+B18-T18,0)</f>
        <v>75084</v>
      </c>
      <c r="S18" s="12"/>
      <c r="T18" s="12" t="n">
        <f aca="false">IF(K18-P18&gt;0,K18-P18,0)</f>
        <v>613</v>
      </c>
      <c r="V18" s="12" t="n">
        <f aca="false">IF(P18-K18&gt;0,P18-K18,0)</f>
        <v>0</v>
      </c>
      <c r="X18" s="25"/>
      <c r="Y18" s="25" t="n">
        <f aca="false">ROUND((+X18+0.01)/(1-0.02184)+0.0227,2)</f>
        <v>0.03</v>
      </c>
    </row>
    <row r="19" customFormat="false" ht="12.75" hidden="false" customHeight="false" outlineLevel="0" collapsed="false">
      <c r="A19" s="12" t="n">
        <f aca="false">+A18+1</f>
        <v>14</v>
      </c>
      <c r="B19" s="12" t="n">
        <f aca="false">+B18</f>
        <v>75697</v>
      </c>
      <c r="C19" s="12" t="n">
        <f aca="false">+C18</f>
        <v>27835</v>
      </c>
      <c r="D19" s="12"/>
      <c r="E19" s="12" t="n">
        <f aca="false">+E18</f>
        <v>46361</v>
      </c>
      <c r="F19" s="12" t="n">
        <f aca="false">ROUND(+E19*(1-0.02184),0)</f>
        <v>45348</v>
      </c>
      <c r="G19" s="12"/>
      <c r="H19" s="12" t="n">
        <f aca="false">+H18</f>
        <v>140099</v>
      </c>
      <c r="I19" s="12" t="n">
        <f aca="false">IF(B19-H19&gt;0,+B19-H19,0)</f>
        <v>0</v>
      </c>
      <c r="J19" s="12"/>
      <c r="K19" s="12" t="n">
        <f aca="false">+B19+C19-F19</f>
        <v>58184</v>
      </c>
      <c r="L19" s="12"/>
      <c r="M19" s="12" t="n">
        <f aca="false">+M18</f>
        <v>31679</v>
      </c>
      <c r="N19" s="12" t="n">
        <f aca="false">SUM('3rd Party Deals'!W19)</f>
        <v>25892</v>
      </c>
      <c r="O19" s="12" t="n">
        <f aca="false">SUM('Spot wENA'!Z19)</f>
        <v>0</v>
      </c>
      <c r="P19" s="12" t="n">
        <f aca="false">SUM(M19:O19)</f>
        <v>57571</v>
      </c>
      <c r="Q19" s="12"/>
      <c r="R19" s="12" t="n">
        <f aca="false">IF(T19&gt;0,+B19-T19,0)</f>
        <v>75084</v>
      </c>
      <c r="S19" s="12"/>
      <c r="T19" s="12" t="n">
        <f aca="false">IF(K19-P19&gt;0,K19-P19,0)</f>
        <v>613</v>
      </c>
      <c r="V19" s="12" t="n">
        <f aca="false">IF(P19-K19&gt;0,P19-K19,0)</f>
        <v>0</v>
      </c>
      <c r="X19" s="25"/>
      <c r="Y19" s="25" t="n">
        <f aca="false">ROUND((+X19+0.01)/(1-0.02184)+0.0227,2)</f>
        <v>0.03</v>
      </c>
    </row>
    <row r="20" customFormat="false" ht="12.75" hidden="false" customHeight="false" outlineLevel="0" collapsed="false">
      <c r="A20" s="12" t="n">
        <f aca="false">+A19+1</f>
        <v>15</v>
      </c>
      <c r="B20" s="12" t="n">
        <f aca="false">+B19</f>
        <v>75697</v>
      </c>
      <c r="C20" s="12" t="n">
        <f aca="false">+C19</f>
        <v>27835</v>
      </c>
      <c r="D20" s="12"/>
      <c r="E20" s="12" t="n">
        <f aca="false">+E19</f>
        <v>46361</v>
      </c>
      <c r="F20" s="12" t="n">
        <f aca="false">ROUND(+E20*(1-0.02184),0)</f>
        <v>45348</v>
      </c>
      <c r="G20" s="12"/>
      <c r="H20" s="12" t="n">
        <f aca="false">+H19</f>
        <v>140099</v>
      </c>
      <c r="I20" s="12" t="n">
        <f aca="false">IF(B20-H20&gt;0,+B20-H20,0)</f>
        <v>0</v>
      </c>
      <c r="J20" s="12"/>
      <c r="K20" s="12" t="n">
        <f aca="false">+B20+C20-F20</f>
        <v>58184</v>
      </c>
      <c r="L20" s="12"/>
      <c r="M20" s="12" t="n">
        <f aca="false">+M19</f>
        <v>31679</v>
      </c>
      <c r="N20" s="12" t="n">
        <f aca="false">SUM('3rd Party Deals'!W20)</f>
        <v>25892</v>
      </c>
      <c r="O20" s="12" t="n">
        <f aca="false">SUM('Spot wENA'!Z20)</f>
        <v>0</v>
      </c>
      <c r="P20" s="12" t="n">
        <f aca="false">SUM(M20:O20)</f>
        <v>57571</v>
      </c>
      <c r="Q20" s="12"/>
      <c r="R20" s="12" t="n">
        <f aca="false">IF(T20&gt;0,+B20-T20,0)</f>
        <v>75084</v>
      </c>
      <c r="S20" s="12"/>
      <c r="T20" s="12" t="n">
        <f aca="false">IF(K20-P20&gt;0,K20-P20,0)</f>
        <v>613</v>
      </c>
      <c r="V20" s="12" t="n">
        <f aca="false">IF(P20-K20&gt;0,P20-K20,0)</f>
        <v>0</v>
      </c>
      <c r="X20" s="25"/>
      <c r="Y20" s="25" t="n">
        <f aca="false">ROUND((+X20+0.01)/(1-0.02184)+0.0227,2)</f>
        <v>0.03</v>
      </c>
    </row>
    <row r="21" customFormat="false" ht="12.75" hidden="false" customHeight="false" outlineLevel="0" collapsed="false">
      <c r="A21" s="12" t="n">
        <f aca="false">+A20+1</f>
        <v>16</v>
      </c>
      <c r="B21" s="12" t="n">
        <f aca="false">+B20</f>
        <v>75697</v>
      </c>
      <c r="C21" s="12" t="n">
        <f aca="false">+C20</f>
        <v>27835</v>
      </c>
      <c r="D21" s="12"/>
      <c r="E21" s="12" t="n">
        <f aca="false">+E20</f>
        <v>46361</v>
      </c>
      <c r="F21" s="12" t="n">
        <f aca="false">ROUND(+E21*(1-0.02184),0)</f>
        <v>45348</v>
      </c>
      <c r="G21" s="12"/>
      <c r="H21" s="12" t="n">
        <f aca="false">+H20</f>
        <v>140099</v>
      </c>
      <c r="I21" s="12" t="n">
        <f aca="false">IF(B21-H21&gt;0,+B21-H21,0)</f>
        <v>0</v>
      </c>
      <c r="J21" s="12"/>
      <c r="K21" s="12" t="n">
        <f aca="false">+B21+C21-F21</f>
        <v>58184</v>
      </c>
      <c r="L21" s="12"/>
      <c r="M21" s="12" t="n">
        <f aca="false">+M20</f>
        <v>31679</v>
      </c>
      <c r="N21" s="12" t="n">
        <f aca="false">SUM('3rd Party Deals'!W21)</f>
        <v>25892</v>
      </c>
      <c r="O21" s="12" t="n">
        <f aca="false">SUM('Spot wENA'!Z21)</f>
        <v>0</v>
      </c>
      <c r="P21" s="12" t="n">
        <f aca="false">SUM(M21:O21)</f>
        <v>57571</v>
      </c>
      <c r="Q21" s="12"/>
      <c r="R21" s="12" t="n">
        <f aca="false">IF(T21&gt;0,+B21-T21,0)</f>
        <v>75084</v>
      </c>
      <c r="S21" s="12"/>
      <c r="T21" s="12" t="n">
        <f aca="false">IF(K21-P21&gt;0,K21-P21,0)</f>
        <v>613</v>
      </c>
      <c r="V21" s="12" t="n">
        <f aca="false">IF(P21-K21&gt;0,P21-K21,0)</f>
        <v>0</v>
      </c>
      <c r="X21" s="25"/>
      <c r="Y21" s="25" t="n">
        <f aca="false">ROUND((+X21+0.01)/(1-0.02184)+0.0227,2)</f>
        <v>0.03</v>
      </c>
    </row>
    <row r="22" customFormat="false" ht="12.75" hidden="false" customHeight="false" outlineLevel="0" collapsed="false">
      <c r="A22" s="12" t="n">
        <f aca="false">+A21+1</f>
        <v>17</v>
      </c>
      <c r="B22" s="12" t="n">
        <f aca="false">+B21</f>
        <v>75697</v>
      </c>
      <c r="C22" s="12" t="n">
        <f aca="false">+C21</f>
        <v>27835</v>
      </c>
      <c r="D22" s="12"/>
      <c r="E22" s="12" t="n">
        <f aca="false">+E21</f>
        <v>46361</v>
      </c>
      <c r="F22" s="12" t="n">
        <f aca="false">ROUND(+E22*(1-0.02184),0)</f>
        <v>45348</v>
      </c>
      <c r="G22" s="12"/>
      <c r="H22" s="12" t="n">
        <f aca="false">+H21</f>
        <v>140099</v>
      </c>
      <c r="I22" s="12" t="n">
        <f aca="false">IF(B22-H22&gt;0,+B22-H22,0)</f>
        <v>0</v>
      </c>
      <c r="J22" s="12"/>
      <c r="K22" s="12" t="n">
        <f aca="false">+B22+C22-F22</f>
        <v>58184</v>
      </c>
      <c r="L22" s="12"/>
      <c r="M22" s="12" t="n">
        <f aca="false">+M21</f>
        <v>31679</v>
      </c>
      <c r="N22" s="12" t="n">
        <f aca="false">SUM('3rd Party Deals'!W22)</f>
        <v>25892</v>
      </c>
      <c r="O22" s="12" t="n">
        <f aca="false">SUM('Spot wENA'!Z22)</f>
        <v>0</v>
      </c>
      <c r="P22" s="12" t="n">
        <f aca="false">SUM(M22:O22)</f>
        <v>57571</v>
      </c>
      <c r="Q22" s="12"/>
      <c r="R22" s="12" t="n">
        <f aca="false">IF(T22&gt;0,+B22-T22,0)</f>
        <v>75084</v>
      </c>
      <c r="S22" s="12"/>
      <c r="T22" s="12" t="n">
        <f aca="false">IF(K22-P22&gt;0,K22-P22,0)</f>
        <v>613</v>
      </c>
      <c r="V22" s="12" t="n">
        <f aca="false">IF(P22-K22&gt;0,P22-K22,0)</f>
        <v>0</v>
      </c>
      <c r="X22" s="25"/>
      <c r="Y22" s="25" t="n">
        <f aca="false">ROUND((+X22+0.01)/(1-0.02184)+0.0227,2)</f>
        <v>0.03</v>
      </c>
    </row>
    <row r="23" customFormat="false" ht="12.75" hidden="false" customHeight="false" outlineLevel="0" collapsed="false">
      <c r="A23" s="12" t="n">
        <f aca="false">+A22+1</f>
        <v>18</v>
      </c>
      <c r="B23" s="12" t="n">
        <f aca="false">+B22</f>
        <v>75697</v>
      </c>
      <c r="C23" s="12" t="n">
        <f aca="false">+C22</f>
        <v>27835</v>
      </c>
      <c r="D23" s="12"/>
      <c r="E23" s="12" t="n">
        <f aca="false">+E22</f>
        <v>46361</v>
      </c>
      <c r="F23" s="12" t="n">
        <f aca="false">ROUND(+E23*(1-0.02184),0)</f>
        <v>45348</v>
      </c>
      <c r="G23" s="12"/>
      <c r="H23" s="12" t="n">
        <f aca="false">+H22</f>
        <v>140099</v>
      </c>
      <c r="I23" s="12" t="n">
        <f aca="false">IF(B23-H23&gt;0,+B23-H23,0)</f>
        <v>0</v>
      </c>
      <c r="J23" s="12"/>
      <c r="K23" s="12" t="n">
        <f aca="false">+B23+C23-F23</f>
        <v>58184</v>
      </c>
      <c r="L23" s="12"/>
      <c r="M23" s="12" t="n">
        <f aca="false">+M22</f>
        <v>31679</v>
      </c>
      <c r="N23" s="12" t="n">
        <f aca="false">SUM('3rd Party Deals'!W23)</f>
        <v>25892</v>
      </c>
      <c r="O23" s="12" t="n">
        <f aca="false">SUM('Spot wENA'!Z23)</f>
        <v>0</v>
      </c>
      <c r="P23" s="12" t="n">
        <f aca="false">SUM(M23:O23)</f>
        <v>57571</v>
      </c>
      <c r="Q23" s="12"/>
      <c r="R23" s="12" t="n">
        <f aca="false">IF(T23&gt;0,+B23-T23,0)</f>
        <v>75084</v>
      </c>
      <c r="S23" s="12"/>
      <c r="T23" s="12" t="n">
        <f aca="false">IF(K23-P23&gt;0,K23-P23,0)</f>
        <v>613</v>
      </c>
      <c r="V23" s="12" t="n">
        <f aca="false">IF(P23-K23&gt;0,P23-K23,0)</f>
        <v>0</v>
      </c>
      <c r="X23" s="25"/>
      <c r="Y23" s="25" t="n">
        <f aca="false">ROUND((+X23+0.01)/(1-0.02184)+0.0227,2)</f>
        <v>0.03</v>
      </c>
    </row>
    <row r="24" customFormat="false" ht="12.75" hidden="false" customHeight="false" outlineLevel="0" collapsed="false">
      <c r="A24" s="12" t="n">
        <f aca="false">+A23+1</f>
        <v>19</v>
      </c>
      <c r="B24" s="12" t="n">
        <f aca="false">+B23</f>
        <v>75697</v>
      </c>
      <c r="C24" s="12" t="n">
        <f aca="false">+C23</f>
        <v>27835</v>
      </c>
      <c r="D24" s="12"/>
      <c r="E24" s="12" t="n">
        <f aca="false">+E23</f>
        <v>46361</v>
      </c>
      <c r="F24" s="12" t="n">
        <f aca="false">ROUND(+E24*(1-0.02184),0)</f>
        <v>45348</v>
      </c>
      <c r="G24" s="12"/>
      <c r="H24" s="12" t="n">
        <f aca="false">+H23</f>
        <v>140099</v>
      </c>
      <c r="I24" s="12" t="n">
        <f aca="false">IF(B24-H24&gt;0,+B24-H24,0)</f>
        <v>0</v>
      </c>
      <c r="J24" s="12"/>
      <c r="K24" s="12" t="n">
        <f aca="false">+B24+C24-F24</f>
        <v>58184</v>
      </c>
      <c r="L24" s="12"/>
      <c r="M24" s="12" t="n">
        <f aca="false">+M23</f>
        <v>31679</v>
      </c>
      <c r="N24" s="12" t="n">
        <f aca="false">SUM('3rd Party Deals'!W24)</f>
        <v>25892</v>
      </c>
      <c r="O24" s="12" t="n">
        <f aca="false">SUM('Spot wENA'!Z24)</f>
        <v>0</v>
      </c>
      <c r="P24" s="12" t="n">
        <f aca="false">SUM(M24:O24)</f>
        <v>57571</v>
      </c>
      <c r="Q24" s="12"/>
      <c r="R24" s="12" t="n">
        <f aca="false">IF(T24&gt;0,+B24-T24,0)</f>
        <v>75084</v>
      </c>
      <c r="S24" s="12"/>
      <c r="T24" s="12" t="n">
        <f aca="false">IF(K24-P24&gt;0,K24-P24,0)</f>
        <v>613</v>
      </c>
      <c r="V24" s="12" t="n">
        <f aca="false">IF(P24-K24&gt;0,P24-K24,0)</f>
        <v>0</v>
      </c>
      <c r="X24" s="25"/>
      <c r="Y24" s="25" t="n">
        <f aca="false">ROUND((+X24+0.01)/(1-0.02184)+0.0227,2)</f>
        <v>0.03</v>
      </c>
    </row>
    <row r="25" customFormat="false" ht="12.75" hidden="false" customHeight="false" outlineLevel="0" collapsed="false">
      <c r="A25" s="12" t="n">
        <f aca="false">+A24+1</f>
        <v>20</v>
      </c>
      <c r="B25" s="12" t="n">
        <f aca="false">+B24</f>
        <v>75697</v>
      </c>
      <c r="C25" s="12" t="n">
        <f aca="false">+C24</f>
        <v>27835</v>
      </c>
      <c r="D25" s="12"/>
      <c r="E25" s="12" t="n">
        <f aca="false">+E24</f>
        <v>46361</v>
      </c>
      <c r="F25" s="12" t="n">
        <f aca="false">ROUND(+E25*(1-0.02184),0)</f>
        <v>45348</v>
      </c>
      <c r="G25" s="12"/>
      <c r="H25" s="12" t="n">
        <f aca="false">+H24</f>
        <v>140099</v>
      </c>
      <c r="I25" s="12" t="n">
        <f aca="false">IF(B25-H25&gt;0,+B25-H25,0)</f>
        <v>0</v>
      </c>
      <c r="J25" s="12"/>
      <c r="K25" s="12" t="n">
        <f aca="false">+B25+C25-F25</f>
        <v>58184</v>
      </c>
      <c r="L25" s="12"/>
      <c r="M25" s="12" t="n">
        <f aca="false">+M24</f>
        <v>31679</v>
      </c>
      <c r="N25" s="12" t="n">
        <f aca="false">SUM('3rd Party Deals'!W25)</f>
        <v>25892</v>
      </c>
      <c r="O25" s="12" t="n">
        <f aca="false">SUM('Spot wENA'!Z25)</f>
        <v>0</v>
      </c>
      <c r="P25" s="12" t="n">
        <f aca="false">SUM(M25:O25)</f>
        <v>57571</v>
      </c>
      <c r="Q25" s="12"/>
      <c r="R25" s="12" t="n">
        <f aca="false">IF(T25&gt;0,+B25-T25,0)</f>
        <v>75084</v>
      </c>
      <c r="S25" s="12"/>
      <c r="T25" s="12" t="n">
        <f aca="false">IF(K25-P25&gt;0,K25-P25,0)</f>
        <v>613</v>
      </c>
      <c r="V25" s="12" t="n">
        <f aca="false">IF(P25-K25&gt;0,P25-K25,0)</f>
        <v>0</v>
      </c>
      <c r="X25" s="25"/>
      <c r="Y25" s="25" t="n">
        <f aca="false">ROUND((+X25+0.01)/(1-0.02184)+0.0227,2)</f>
        <v>0.03</v>
      </c>
    </row>
    <row r="26" customFormat="false" ht="12.75" hidden="false" customHeight="false" outlineLevel="0" collapsed="false">
      <c r="A26" s="12" t="n">
        <f aca="false">+A25+1</f>
        <v>21</v>
      </c>
      <c r="B26" s="12" t="n">
        <f aca="false">+B25</f>
        <v>75697</v>
      </c>
      <c r="C26" s="12" t="n">
        <f aca="false">+C25</f>
        <v>27835</v>
      </c>
      <c r="D26" s="12"/>
      <c r="E26" s="12" t="n">
        <f aca="false">+E25</f>
        <v>46361</v>
      </c>
      <c r="F26" s="12" t="n">
        <f aca="false">ROUND(+E26*(1-0.02184),0)</f>
        <v>45348</v>
      </c>
      <c r="G26" s="12"/>
      <c r="H26" s="12" t="n">
        <f aca="false">+H25</f>
        <v>140099</v>
      </c>
      <c r="I26" s="12" t="n">
        <f aca="false">IF(B26-H26&gt;0,+B26-H26,0)</f>
        <v>0</v>
      </c>
      <c r="J26" s="12"/>
      <c r="K26" s="12" t="n">
        <f aca="false">+B26+C26-F26</f>
        <v>58184</v>
      </c>
      <c r="L26" s="12"/>
      <c r="M26" s="12" t="n">
        <f aca="false">+M25</f>
        <v>31679</v>
      </c>
      <c r="N26" s="12" t="n">
        <f aca="false">SUM('3rd Party Deals'!W26)</f>
        <v>25892</v>
      </c>
      <c r="O26" s="12" t="n">
        <f aca="false">SUM('Spot wENA'!Z26)</f>
        <v>0</v>
      </c>
      <c r="P26" s="12" t="n">
        <f aca="false">SUM(M26:O26)</f>
        <v>57571</v>
      </c>
      <c r="Q26" s="12"/>
      <c r="R26" s="12" t="n">
        <f aca="false">IF(T26&gt;0,+B26-T26,0)</f>
        <v>75084</v>
      </c>
      <c r="S26" s="12"/>
      <c r="T26" s="12" t="n">
        <f aca="false">IF(K26-P26&gt;0,K26-P26,0)</f>
        <v>613</v>
      </c>
      <c r="V26" s="12" t="n">
        <f aca="false">IF(P26-K26&gt;0,P26-K26,0)</f>
        <v>0</v>
      </c>
      <c r="X26" s="25"/>
      <c r="Y26" s="25" t="n">
        <f aca="false">ROUND((+X26+0.01)/(1-0.02184)+0.0227,2)</f>
        <v>0.03</v>
      </c>
    </row>
    <row r="27" customFormat="false" ht="12.75" hidden="false" customHeight="false" outlineLevel="0" collapsed="false">
      <c r="A27" s="12" t="n">
        <f aca="false">+A26+1</f>
        <v>22</v>
      </c>
      <c r="B27" s="12" t="n">
        <f aca="false">+B26</f>
        <v>75697</v>
      </c>
      <c r="C27" s="12" t="n">
        <f aca="false">+C26</f>
        <v>27835</v>
      </c>
      <c r="D27" s="12"/>
      <c r="E27" s="12" t="n">
        <f aca="false">+E26</f>
        <v>46361</v>
      </c>
      <c r="F27" s="12" t="n">
        <f aca="false">ROUND(+E27*(1-0.02184),0)</f>
        <v>45348</v>
      </c>
      <c r="G27" s="12"/>
      <c r="H27" s="12" t="n">
        <f aca="false">+H26</f>
        <v>140099</v>
      </c>
      <c r="I27" s="12" t="n">
        <f aca="false">IF(B27-H27&gt;0,+B27-H27,0)</f>
        <v>0</v>
      </c>
      <c r="J27" s="12"/>
      <c r="K27" s="12" t="n">
        <f aca="false">+B27+C27-F27</f>
        <v>58184</v>
      </c>
      <c r="L27" s="12"/>
      <c r="M27" s="12" t="n">
        <f aca="false">+M26</f>
        <v>31679</v>
      </c>
      <c r="N27" s="12" t="n">
        <f aca="false">SUM('3rd Party Deals'!W27)</f>
        <v>25892</v>
      </c>
      <c r="O27" s="12" t="n">
        <f aca="false">SUM('Spot wENA'!Z27)</f>
        <v>0</v>
      </c>
      <c r="P27" s="12" t="n">
        <f aca="false">SUM(M27:O27)</f>
        <v>57571</v>
      </c>
      <c r="Q27" s="12"/>
      <c r="R27" s="12" t="n">
        <f aca="false">IF(T27&gt;0,+B27-T27,0)</f>
        <v>75084</v>
      </c>
      <c r="S27" s="12"/>
      <c r="T27" s="12" t="n">
        <f aca="false">IF(K27-P27&gt;0,K27-P27,0)</f>
        <v>613</v>
      </c>
      <c r="V27" s="12" t="n">
        <f aca="false">IF(P27-K27&gt;0,P27-K27,0)</f>
        <v>0</v>
      </c>
      <c r="X27" s="25"/>
      <c r="Y27" s="25" t="n">
        <f aca="false">ROUND((+X27+0.01)/(1-0.02184)+0.0227,2)</f>
        <v>0.03</v>
      </c>
    </row>
    <row r="28" customFormat="false" ht="12.75" hidden="false" customHeight="false" outlineLevel="0" collapsed="false">
      <c r="A28" s="12" t="n">
        <f aca="false">+A27+1</f>
        <v>23</v>
      </c>
      <c r="B28" s="12" t="n">
        <f aca="false">+B27</f>
        <v>75697</v>
      </c>
      <c r="C28" s="12" t="n">
        <f aca="false">+C27</f>
        <v>27835</v>
      </c>
      <c r="D28" s="12"/>
      <c r="E28" s="12" t="n">
        <f aca="false">+E27</f>
        <v>46361</v>
      </c>
      <c r="F28" s="12" t="n">
        <f aca="false">ROUND(+E28*(1-0.02184),0)</f>
        <v>45348</v>
      </c>
      <c r="G28" s="12"/>
      <c r="H28" s="12" t="n">
        <f aca="false">+H27</f>
        <v>140099</v>
      </c>
      <c r="I28" s="12" t="n">
        <f aca="false">IF(B28-H28&gt;0,+B28-H28,0)</f>
        <v>0</v>
      </c>
      <c r="J28" s="12"/>
      <c r="K28" s="12" t="n">
        <f aca="false">+B28+C28-F28</f>
        <v>58184</v>
      </c>
      <c r="L28" s="12"/>
      <c r="M28" s="12" t="n">
        <f aca="false">+M27</f>
        <v>31679</v>
      </c>
      <c r="N28" s="12" t="n">
        <f aca="false">SUM('3rd Party Deals'!W28)</f>
        <v>25892</v>
      </c>
      <c r="O28" s="12" t="n">
        <f aca="false">SUM('Spot wENA'!Z28)</f>
        <v>0</v>
      </c>
      <c r="P28" s="12" t="n">
        <f aca="false">SUM(M28:O28)</f>
        <v>57571</v>
      </c>
      <c r="Q28" s="12"/>
      <c r="R28" s="12" t="n">
        <f aca="false">IF(T28&gt;0,+B28-T28,0)</f>
        <v>75084</v>
      </c>
      <c r="S28" s="12"/>
      <c r="T28" s="12" t="n">
        <f aca="false">IF(K28-P28&gt;0,K28-P28,0)</f>
        <v>613</v>
      </c>
      <c r="V28" s="12" t="n">
        <f aca="false">IF(P28-K28&gt;0,P28-K28,0)</f>
        <v>0</v>
      </c>
      <c r="X28" s="25"/>
      <c r="Y28" s="25" t="n">
        <f aca="false">ROUND((+X28+0.01)/(1-0.02184)+0.0227,2)</f>
        <v>0.03</v>
      </c>
    </row>
    <row r="29" customFormat="false" ht="12.75" hidden="false" customHeight="false" outlineLevel="0" collapsed="false">
      <c r="A29" s="12" t="n">
        <f aca="false">+A28+1</f>
        <v>24</v>
      </c>
      <c r="B29" s="12" t="n">
        <f aca="false">+B28</f>
        <v>75697</v>
      </c>
      <c r="C29" s="12" t="n">
        <f aca="false">+C28</f>
        <v>27835</v>
      </c>
      <c r="D29" s="12"/>
      <c r="E29" s="12" t="n">
        <f aca="false">+E28</f>
        <v>46361</v>
      </c>
      <c r="F29" s="12" t="n">
        <f aca="false">ROUND(+E29*(1-0.02184),0)</f>
        <v>45348</v>
      </c>
      <c r="G29" s="12"/>
      <c r="H29" s="12" t="n">
        <f aca="false">+H28</f>
        <v>140099</v>
      </c>
      <c r="I29" s="12" t="n">
        <f aca="false">IF(B29-H29&gt;0,+B29-H29,0)</f>
        <v>0</v>
      </c>
      <c r="J29" s="12"/>
      <c r="K29" s="12" t="n">
        <f aca="false">+B29+C29-F29</f>
        <v>58184</v>
      </c>
      <c r="L29" s="12"/>
      <c r="M29" s="12" t="n">
        <f aca="false">+M28</f>
        <v>31679</v>
      </c>
      <c r="N29" s="12" t="n">
        <f aca="false">SUM('3rd Party Deals'!W29)</f>
        <v>25892</v>
      </c>
      <c r="O29" s="12" t="n">
        <f aca="false">SUM('Spot wENA'!Z29)</f>
        <v>0</v>
      </c>
      <c r="P29" s="12" t="n">
        <f aca="false">SUM(M29:O29)</f>
        <v>57571</v>
      </c>
      <c r="Q29" s="12"/>
      <c r="R29" s="12" t="n">
        <f aca="false">IF(T29&gt;0,+B29-T29,0)</f>
        <v>75084</v>
      </c>
      <c r="S29" s="12"/>
      <c r="T29" s="12" t="n">
        <f aca="false">IF(K29-P29&gt;0,K29-P29,0)</f>
        <v>613</v>
      </c>
      <c r="V29" s="12" t="n">
        <f aca="false">IF(P29-K29&gt;0,P29-K29,0)</f>
        <v>0</v>
      </c>
      <c r="X29" s="25"/>
      <c r="Y29" s="25" t="n">
        <f aca="false">ROUND((+X29+0.01)/(1-0.02184)+0.0227,2)</f>
        <v>0.03</v>
      </c>
    </row>
    <row r="30" customFormat="false" ht="12.75" hidden="false" customHeight="false" outlineLevel="0" collapsed="false">
      <c r="A30" s="12" t="n">
        <f aca="false">+A29+1</f>
        <v>25</v>
      </c>
      <c r="B30" s="12" t="n">
        <f aca="false">+B29</f>
        <v>75697</v>
      </c>
      <c r="C30" s="12" t="n">
        <f aca="false">+C29</f>
        <v>27835</v>
      </c>
      <c r="D30" s="12"/>
      <c r="E30" s="12" t="n">
        <f aca="false">+E29</f>
        <v>46361</v>
      </c>
      <c r="F30" s="12" t="n">
        <f aca="false">ROUND(+E30*(1-0.02184),0)</f>
        <v>45348</v>
      </c>
      <c r="G30" s="12"/>
      <c r="H30" s="12" t="n">
        <f aca="false">+H29</f>
        <v>140099</v>
      </c>
      <c r="I30" s="12" t="n">
        <f aca="false">IF(B30-H30&gt;0,+B30-H30,0)</f>
        <v>0</v>
      </c>
      <c r="J30" s="12"/>
      <c r="K30" s="12" t="n">
        <f aca="false">+B30+C30-F30</f>
        <v>58184</v>
      </c>
      <c r="L30" s="12"/>
      <c r="M30" s="12" t="n">
        <f aca="false">+M29</f>
        <v>31679</v>
      </c>
      <c r="N30" s="12" t="n">
        <f aca="false">SUM('3rd Party Deals'!W30)</f>
        <v>25892</v>
      </c>
      <c r="O30" s="12" t="n">
        <f aca="false">SUM('Spot wENA'!Z30)</f>
        <v>0</v>
      </c>
      <c r="P30" s="12" t="n">
        <f aca="false">SUM(M30:O30)</f>
        <v>57571</v>
      </c>
      <c r="Q30" s="12"/>
      <c r="R30" s="12" t="n">
        <f aca="false">IF(T30&gt;0,+B30-T30,0)</f>
        <v>75084</v>
      </c>
      <c r="S30" s="12"/>
      <c r="T30" s="12" t="n">
        <f aca="false">IF(K30-P30&gt;0,K30-P30,0)</f>
        <v>613</v>
      </c>
      <c r="V30" s="12" t="n">
        <f aca="false">IF(P30-K30&gt;0,P30-K30,0)</f>
        <v>0</v>
      </c>
      <c r="X30" s="25"/>
      <c r="Y30" s="25" t="n">
        <f aca="false">ROUND((+X30+0.01)/(1-0.02184)+0.0227,2)</f>
        <v>0.03</v>
      </c>
    </row>
    <row r="31" customFormat="false" ht="12.75" hidden="false" customHeight="false" outlineLevel="0" collapsed="false">
      <c r="A31" s="12" t="n">
        <f aca="false">+A30+1</f>
        <v>26</v>
      </c>
      <c r="B31" s="12" t="n">
        <f aca="false">+B30</f>
        <v>75697</v>
      </c>
      <c r="C31" s="12" t="n">
        <f aca="false">+C30</f>
        <v>27835</v>
      </c>
      <c r="D31" s="12"/>
      <c r="E31" s="12" t="n">
        <f aca="false">+E30</f>
        <v>46361</v>
      </c>
      <c r="F31" s="12" t="n">
        <f aca="false">ROUND(+E31*(1-0.02184),0)</f>
        <v>45348</v>
      </c>
      <c r="G31" s="12"/>
      <c r="H31" s="12" t="n">
        <f aca="false">+H30</f>
        <v>140099</v>
      </c>
      <c r="I31" s="12" t="n">
        <f aca="false">IF(B31-H31&gt;0,+B31-H31,0)</f>
        <v>0</v>
      </c>
      <c r="J31" s="12"/>
      <c r="K31" s="12" t="n">
        <f aca="false">+B31+C31-F31</f>
        <v>58184</v>
      </c>
      <c r="L31" s="12"/>
      <c r="M31" s="12" t="n">
        <f aca="false">+M30</f>
        <v>31679</v>
      </c>
      <c r="N31" s="12" t="n">
        <f aca="false">SUM('3rd Party Deals'!W31)</f>
        <v>25892</v>
      </c>
      <c r="O31" s="12" t="n">
        <f aca="false">SUM('Spot wENA'!Z31)</f>
        <v>0</v>
      </c>
      <c r="P31" s="12" t="n">
        <f aca="false">SUM(M31:O31)</f>
        <v>57571</v>
      </c>
      <c r="Q31" s="12"/>
      <c r="R31" s="12" t="n">
        <f aca="false">IF(T31&gt;0,+B31-T31,0)</f>
        <v>75084</v>
      </c>
      <c r="S31" s="12"/>
      <c r="T31" s="12" t="n">
        <f aca="false">IF(K31-P31&gt;0,K31-P31,0)</f>
        <v>613</v>
      </c>
      <c r="V31" s="12" t="n">
        <f aca="false">IF(P31-K31&gt;0,P31-K31,0)</f>
        <v>0</v>
      </c>
      <c r="X31" s="25"/>
      <c r="Y31" s="25" t="n">
        <f aca="false">ROUND((+X31+0.01)/(1-0.02184)+0.0227,2)</f>
        <v>0.03</v>
      </c>
    </row>
    <row r="32" customFormat="false" ht="12.75" hidden="false" customHeight="false" outlineLevel="0" collapsed="false">
      <c r="A32" s="12" t="n">
        <f aca="false">+A31+1</f>
        <v>27</v>
      </c>
      <c r="B32" s="12" t="n">
        <f aca="false">+B31</f>
        <v>75697</v>
      </c>
      <c r="C32" s="12" t="n">
        <f aca="false">+C31</f>
        <v>27835</v>
      </c>
      <c r="D32" s="12"/>
      <c r="E32" s="12" t="n">
        <f aca="false">+E31</f>
        <v>46361</v>
      </c>
      <c r="F32" s="12" t="n">
        <f aca="false">ROUND(+E32*(1-0.02184),0)</f>
        <v>45348</v>
      </c>
      <c r="G32" s="12"/>
      <c r="H32" s="12" t="n">
        <f aca="false">+H31</f>
        <v>140099</v>
      </c>
      <c r="I32" s="12" t="n">
        <f aca="false">IF(B32-H32&gt;0,+B32-H32,0)</f>
        <v>0</v>
      </c>
      <c r="J32" s="12"/>
      <c r="K32" s="12" t="n">
        <f aca="false">+B32+C32-F32</f>
        <v>58184</v>
      </c>
      <c r="L32" s="12"/>
      <c r="M32" s="12" t="n">
        <f aca="false">+M31</f>
        <v>31679</v>
      </c>
      <c r="N32" s="12" t="n">
        <f aca="false">SUM('3rd Party Deals'!W32)</f>
        <v>25892</v>
      </c>
      <c r="O32" s="12" t="n">
        <f aca="false">SUM('Spot wENA'!Z32)</f>
        <v>0</v>
      </c>
      <c r="P32" s="12" t="n">
        <f aca="false">SUM(M32:O32)</f>
        <v>57571</v>
      </c>
      <c r="Q32" s="12"/>
      <c r="R32" s="12" t="n">
        <f aca="false">IF(T32&gt;0,+B32-T32,0)</f>
        <v>75084</v>
      </c>
      <c r="S32" s="12"/>
      <c r="T32" s="12" t="n">
        <f aca="false">IF(K32-P32&gt;0,K32-P32,0)</f>
        <v>613</v>
      </c>
      <c r="V32" s="12" t="n">
        <f aca="false">IF(P32-K32&gt;0,P32-K32,0)</f>
        <v>0</v>
      </c>
      <c r="X32" s="25"/>
      <c r="Y32" s="25" t="n">
        <f aca="false">ROUND((+X32+0.01)/(1-0.02184)+0.0227,2)</f>
        <v>0.03</v>
      </c>
    </row>
    <row r="33" customFormat="false" ht="12.75" hidden="false" customHeight="false" outlineLevel="0" collapsed="false">
      <c r="A33" s="12" t="n">
        <f aca="false">+A32+1</f>
        <v>28</v>
      </c>
      <c r="B33" s="12" t="n">
        <f aca="false">+B32</f>
        <v>75697</v>
      </c>
      <c r="C33" s="12" t="n">
        <f aca="false">+C32</f>
        <v>27835</v>
      </c>
      <c r="D33" s="12"/>
      <c r="E33" s="12" t="n">
        <f aca="false">+E32</f>
        <v>46361</v>
      </c>
      <c r="F33" s="12" t="n">
        <f aca="false">ROUND(+E33*(1-0.02184),0)</f>
        <v>45348</v>
      </c>
      <c r="G33" s="12"/>
      <c r="H33" s="12" t="n">
        <f aca="false">+H32</f>
        <v>140099</v>
      </c>
      <c r="I33" s="12" t="n">
        <f aca="false">IF(B33-H33&gt;0,+B33-H33,0)</f>
        <v>0</v>
      </c>
      <c r="J33" s="12"/>
      <c r="K33" s="12" t="n">
        <f aca="false">+B33+C33-F33</f>
        <v>58184</v>
      </c>
      <c r="L33" s="12"/>
      <c r="M33" s="12" t="n">
        <f aca="false">+M32</f>
        <v>31679</v>
      </c>
      <c r="N33" s="12" t="n">
        <f aca="false">SUM('3rd Party Deals'!W33)</f>
        <v>25892</v>
      </c>
      <c r="O33" s="12" t="n">
        <f aca="false">SUM('Spot wENA'!Z33)</f>
        <v>0</v>
      </c>
      <c r="P33" s="12" t="n">
        <f aca="false">SUM(M33:O33)</f>
        <v>57571</v>
      </c>
      <c r="Q33" s="12"/>
      <c r="R33" s="12" t="n">
        <f aca="false">IF(T33&gt;0,+B33-T33,0)</f>
        <v>75084</v>
      </c>
      <c r="S33" s="12"/>
      <c r="T33" s="12" t="n">
        <f aca="false">IF(K33-P33&gt;0,K33-P33,0)</f>
        <v>613</v>
      </c>
      <c r="V33" s="12" t="n">
        <f aca="false">IF(P33-K33&gt;0,P33-K33,0)</f>
        <v>0</v>
      </c>
      <c r="X33" s="25"/>
      <c r="Y33" s="25" t="n">
        <f aca="false">ROUND((+X33+0.01)/(1-0.02184)+0.0227,2)</f>
        <v>0.03</v>
      </c>
    </row>
    <row r="34" customFormat="false" ht="12.75" hidden="false" customHeight="false" outlineLevel="0" collapsed="false">
      <c r="A34" s="12" t="n">
        <f aca="false">+A33+1</f>
        <v>29</v>
      </c>
      <c r="B34" s="12" t="n">
        <f aca="false">+B33</f>
        <v>75697</v>
      </c>
      <c r="C34" s="12" t="n">
        <f aca="false">+C33</f>
        <v>27835</v>
      </c>
      <c r="D34" s="12"/>
      <c r="E34" s="12" t="n">
        <f aca="false">+E33</f>
        <v>46361</v>
      </c>
      <c r="F34" s="12" t="n">
        <f aca="false">ROUND(+E34*(1-0.02184),0)</f>
        <v>45348</v>
      </c>
      <c r="G34" s="12"/>
      <c r="H34" s="12" t="n">
        <f aca="false">+H33</f>
        <v>140099</v>
      </c>
      <c r="I34" s="12" t="n">
        <f aca="false">IF(B34-H34&gt;0,+B34-H34,0)</f>
        <v>0</v>
      </c>
      <c r="J34" s="12"/>
      <c r="K34" s="12" t="n">
        <f aca="false">+B34+C34-F34</f>
        <v>58184</v>
      </c>
      <c r="L34" s="12"/>
      <c r="M34" s="12" t="n">
        <f aca="false">+M33</f>
        <v>31679</v>
      </c>
      <c r="N34" s="12" t="n">
        <f aca="false">SUM('3rd Party Deals'!W34)</f>
        <v>25892</v>
      </c>
      <c r="O34" s="12" t="n">
        <f aca="false">SUM('Spot wENA'!Z34)</f>
        <v>0</v>
      </c>
      <c r="P34" s="12" t="n">
        <f aca="false">SUM(M34:O34)</f>
        <v>57571</v>
      </c>
      <c r="Q34" s="12"/>
      <c r="R34" s="12" t="n">
        <f aca="false">IF(T34&gt;0,+B34-T34,0)</f>
        <v>75084</v>
      </c>
      <c r="S34" s="12"/>
      <c r="T34" s="12" t="n">
        <f aca="false">IF(K34-P34&gt;0,K34-P34,0)</f>
        <v>613</v>
      </c>
      <c r="V34" s="12" t="n">
        <f aca="false">IF(P34-K34&gt;0,P34-K34,0)</f>
        <v>0</v>
      </c>
      <c r="X34" s="25"/>
      <c r="Y34" s="25" t="n">
        <f aca="false">ROUND((+X34+0.01)/(1-0.02184)+0.0227,2)</f>
        <v>0.03</v>
      </c>
    </row>
    <row r="35" customFormat="false" ht="12.75" hidden="false" customHeight="false" outlineLevel="0" collapsed="false">
      <c r="A35" s="12" t="n">
        <f aca="false">+A34+1</f>
        <v>30</v>
      </c>
      <c r="B35" s="12" t="n">
        <f aca="false">+B34</f>
        <v>75697</v>
      </c>
      <c r="C35" s="12" t="n">
        <f aca="false">+C34</f>
        <v>27835</v>
      </c>
      <c r="D35" s="12"/>
      <c r="E35" s="12" t="n">
        <f aca="false">+E34</f>
        <v>46361</v>
      </c>
      <c r="F35" s="12" t="n">
        <f aca="false">ROUND(+E35*(1-0.02184),0)</f>
        <v>45348</v>
      </c>
      <c r="G35" s="12"/>
      <c r="H35" s="12" t="n">
        <f aca="false">+H34</f>
        <v>140099</v>
      </c>
      <c r="I35" s="12" t="n">
        <f aca="false">IF(B35-H35&gt;0,+B35-H35,0)</f>
        <v>0</v>
      </c>
      <c r="J35" s="12"/>
      <c r="K35" s="12" t="n">
        <f aca="false">+B35+C35-F35</f>
        <v>58184</v>
      </c>
      <c r="L35" s="12"/>
      <c r="M35" s="12" t="n">
        <f aca="false">+M34</f>
        <v>31679</v>
      </c>
      <c r="N35" s="12" t="n">
        <f aca="false">SUM('3rd Party Deals'!W35)</f>
        <v>25892</v>
      </c>
      <c r="O35" s="12" t="n">
        <f aca="false">SUM('Spot wENA'!Z35)</f>
        <v>0</v>
      </c>
      <c r="P35" s="12" t="n">
        <f aca="false">SUM(M35:O35)</f>
        <v>57571</v>
      </c>
      <c r="Q35" s="12"/>
      <c r="R35" s="12" t="n">
        <f aca="false">IF(T35&gt;0,+B35-T35,0)</f>
        <v>75084</v>
      </c>
      <c r="S35" s="12"/>
      <c r="T35" s="12" t="n">
        <f aca="false">IF(K35-P35&gt;0,K35-P35,0)</f>
        <v>613</v>
      </c>
      <c r="V35" s="12" t="n">
        <f aca="false">IF(P35-K35&gt;0,P35-K35,0)</f>
        <v>0</v>
      </c>
      <c r="X35" s="25"/>
      <c r="Y35" s="25" t="n">
        <f aca="false">ROUND((+X35+0.01)/(1-0.02184)+0.0227,2)</f>
        <v>0.03</v>
      </c>
    </row>
    <row r="36" customFormat="false" ht="12.75" hidden="false" customHeight="false" outlineLevel="0" collapsed="false">
      <c r="A36" s="12" t="n">
        <f aca="false">+A35+1</f>
        <v>31</v>
      </c>
      <c r="B36" s="12" t="n">
        <f aca="false">+B35</f>
        <v>75697</v>
      </c>
      <c r="C36" s="12" t="n">
        <f aca="false">+C35</f>
        <v>27835</v>
      </c>
      <c r="D36" s="12"/>
      <c r="E36" s="12" t="n">
        <f aca="false">+E35</f>
        <v>46361</v>
      </c>
      <c r="F36" s="12" t="n">
        <f aca="false">ROUND(+E36*(1-0.02184),0)</f>
        <v>45348</v>
      </c>
      <c r="G36" s="12"/>
      <c r="H36" s="12" t="n">
        <f aca="false">+H35</f>
        <v>140099</v>
      </c>
      <c r="I36" s="12" t="n">
        <f aca="false">IF(B36-H36&gt;0,+B36-H36,0)</f>
        <v>0</v>
      </c>
      <c r="J36" s="12"/>
      <c r="K36" s="12" t="n">
        <f aca="false">+B36+C36-F36</f>
        <v>58184</v>
      </c>
      <c r="L36" s="12"/>
      <c r="M36" s="12" t="n">
        <f aca="false">+M35</f>
        <v>31679</v>
      </c>
      <c r="N36" s="12" t="n">
        <f aca="false">SUM('3rd Party Deals'!W36)</f>
        <v>25892</v>
      </c>
      <c r="O36" s="12" t="n">
        <f aca="false">SUM('Spot wENA'!Z36)</f>
        <v>0</v>
      </c>
      <c r="P36" s="12" t="n">
        <f aca="false">SUM(M36:O36)</f>
        <v>57571</v>
      </c>
      <c r="Q36" s="12"/>
      <c r="R36" s="12" t="n">
        <f aca="false">IF(T36&gt;0,+B36-T36,0)</f>
        <v>75084</v>
      </c>
      <c r="S36" s="12"/>
      <c r="T36" s="12" t="n">
        <f aca="false">IF(K36-P36&gt;0,K36-P36,0)</f>
        <v>613</v>
      </c>
      <c r="V36" s="12" t="n">
        <f aca="false">IF(P36-K36&gt;0,P36-K36,0)</f>
        <v>0</v>
      </c>
      <c r="X36" s="25"/>
      <c r="Y36" s="25" t="n">
        <f aca="false">ROUND((+X36+0.01)/(1-0.02184)+0.0227,2)</f>
        <v>0.03</v>
      </c>
    </row>
    <row r="37" customFormat="false" ht="12.75" hidden="false" customHeight="false" outlineLevel="0" collapsed="false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V37" s="12"/>
      <c r="X37" s="18"/>
    </row>
    <row r="38" customFormat="false" ht="12.75" hidden="false" customHeight="false" outlineLevel="0" collapsed="false">
      <c r="A38" s="12"/>
      <c r="B38" s="12" t="n">
        <f aca="false">SUM(B6:B37)</f>
        <v>2360759</v>
      </c>
      <c r="C38" s="12" t="n">
        <f aca="false">SUM(C6:C37)</f>
        <v>829987</v>
      </c>
      <c r="D38" s="12"/>
      <c r="E38" s="12" t="n">
        <f aca="false">SUM(E6:E37)</f>
        <v>1427587</v>
      </c>
      <c r="F38" s="12" t="n">
        <f aca="false">SUM(F6:F37)</f>
        <v>1396398</v>
      </c>
      <c r="G38" s="12"/>
      <c r="H38" s="12"/>
      <c r="I38" s="12"/>
      <c r="J38" s="12"/>
      <c r="K38" s="12" t="n">
        <f aca="false">SUM(K6:K37)</f>
        <v>1794348</v>
      </c>
      <c r="L38" s="12"/>
      <c r="M38" s="12" t="n">
        <f aca="false">SUM(M6:M37)</f>
        <v>982049</v>
      </c>
      <c r="N38" s="12" t="n">
        <f aca="false">SUM(N6:N37)</f>
        <v>754478</v>
      </c>
      <c r="O38" s="12" t="n">
        <f aca="false">SUM(O6:O37)</f>
        <v>0</v>
      </c>
      <c r="P38" s="12" t="n">
        <f aca="false">SUM(P6:P37)</f>
        <v>1736527</v>
      </c>
      <c r="Q38" s="12"/>
      <c r="R38" s="12" t="n">
        <f aca="false">SUM(R6:R37)</f>
        <v>2302938</v>
      </c>
      <c r="S38" s="12"/>
      <c r="T38" s="12" t="n">
        <f aca="false">SUM(T6:T37)</f>
        <v>57821</v>
      </c>
      <c r="V38" s="12" t="n">
        <f aca="false">SUM(V6:V37)</f>
        <v>0</v>
      </c>
      <c r="X38" s="25"/>
    </row>
    <row r="40" customFormat="false" ht="12.75" hidden="false" customHeight="false" outlineLevel="0" collapsed="false">
      <c r="E40" s="6" t="n">
        <v>1448997</v>
      </c>
    </row>
    <row r="41" customFormat="false" ht="12.75" hidden="false" customHeight="false" outlineLevel="0" collapsed="false">
      <c r="E41" s="6" t="n">
        <f aca="false">+E40-E38</f>
        <v>21410</v>
      </c>
    </row>
    <row r="48" customFormat="false" ht="12.75" hidden="false" customHeight="false" outlineLevel="0" collapsed="false">
      <c r="V48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27" width="15.56"/>
    <col collapsed="false" customWidth="false" hidden="false" outlineLevel="0" max="2" min="2" style="27" width="9.14"/>
    <col collapsed="false" customWidth="true" hidden="false" outlineLevel="0" max="3" min="3" style="27" width="12.42"/>
    <col collapsed="false" customWidth="true" hidden="false" outlineLevel="0" max="4" min="4" style="27" width="12.14"/>
    <col collapsed="false" customWidth="true" hidden="false" outlineLevel="0" max="5" min="5" style="27" width="10.99"/>
    <col collapsed="false" customWidth="false" hidden="false" outlineLevel="0" max="6" min="6" style="27" width="9.14"/>
    <col collapsed="false" customWidth="true" hidden="false" outlineLevel="0" max="7" min="7" style="27" width="14.99"/>
    <col collapsed="false" customWidth="false" hidden="false" outlineLevel="0" max="8" min="8" style="27" width="9.14"/>
    <col collapsed="false" customWidth="true" hidden="false" outlineLevel="0" max="9" min="9" style="27" width="12.42"/>
    <col collapsed="false" customWidth="false" hidden="false" outlineLevel="0" max="11" min="10" style="27" width="9.14"/>
    <col collapsed="false" customWidth="true" hidden="false" outlineLevel="0" max="12" min="12" style="27" width="14.7"/>
    <col collapsed="false" customWidth="false" hidden="false" outlineLevel="0" max="257" min="13" style="27" width="9.14"/>
  </cols>
  <sheetData>
    <row r="1" customFormat="false" ht="12.75" hidden="false" customHeight="false" outlineLevel="0" collapsed="false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customFormat="false" ht="12.75" hidden="false" customHeight="false" outlineLevel="0" collapsed="false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customFormat="false" ht="12.75" hidden="false" customHeight="fals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customFormat="false" ht="12.75" hidden="false" customHeight="false" outlineLevel="0" collapsed="false">
      <c r="A5" s="29" t="s">
        <v>80</v>
      </c>
      <c r="C5" s="27" t="s">
        <v>81</v>
      </c>
      <c r="E5" s="27" t="s">
        <v>82</v>
      </c>
      <c r="F5" s="28"/>
      <c r="G5" s="28"/>
      <c r="H5" s="28"/>
      <c r="I5" s="28"/>
      <c r="J5" s="28"/>
      <c r="K5" s="28"/>
      <c r="L5" s="28"/>
      <c r="M5" s="28"/>
      <c r="N5" s="28"/>
    </row>
    <row r="6" customFormat="false" ht="12.75" hidden="false" customHeight="false" outlineLevel="0" collapsed="false">
      <c r="A6" s="27" t="s">
        <v>83</v>
      </c>
      <c r="B6" s="27" t="s">
        <v>80</v>
      </c>
      <c r="C6" s="30" t="n">
        <v>10.53</v>
      </c>
      <c r="E6" s="30" t="n">
        <v>10.53</v>
      </c>
      <c r="F6" s="28"/>
      <c r="G6" s="28" t="s">
        <v>84</v>
      </c>
      <c r="H6" s="28"/>
      <c r="I6" s="30" t="n">
        <v>10.53</v>
      </c>
      <c r="J6" s="28"/>
      <c r="K6" s="28"/>
      <c r="L6" s="28"/>
      <c r="M6" s="28"/>
      <c r="N6" s="28"/>
    </row>
    <row r="7" customFormat="false" ht="12.75" hidden="false" customHeight="false" outlineLevel="0" collapsed="false">
      <c r="A7" s="27" t="s">
        <v>85</v>
      </c>
      <c r="C7" s="31" t="n">
        <v>0.0125</v>
      </c>
      <c r="E7" s="31" t="n">
        <v>0.0125</v>
      </c>
      <c r="F7" s="28"/>
      <c r="G7" s="28"/>
      <c r="H7" s="28"/>
      <c r="I7" s="31" t="n">
        <v>0</v>
      </c>
      <c r="J7" s="28"/>
      <c r="K7" s="28"/>
      <c r="L7" s="28"/>
      <c r="M7" s="28"/>
      <c r="N7" s="28"/>
    </row>
    <row r="8" customFormat="false" ht="12.75" hidden="false" customHeight="false" outlineLevel="0" collapsed="false">
      <c r="A8" s="27" t="s">
        <v>86</v>
      </c>
      <c r="C8" s="31" t="n">
        <v>0.0133</v>
      </c>
      <c r="E8" s="31" t="n">
        <v>0.0133</v>
      </c>
      <c r="F8" s="28"/>
      <c r="G8" s="28" t="s">
        <v>87</v>
      </c>
      <c r="H8" s="28"/>
      <c r="I8" s="31" t="n">
        <v>0.0153</v>
      </c>
      <c r="J8" s="28"/>
      <c r="K8" s="28"/>
      <c r="L8" s="28"/>
      <c r="M8" s="28"/>
      <c r="N8" s="28"/>
    </row>
    <row r="9" customFormat="false" ht="12.75" hidden="false" customHeight="false" outlineLevel="0" collapsed="false">
      <c r="A9" s="27" t="s">
        <v>88</v>
      </c>
      <c r="C9" s="31" t="n">
        <v>0.0094</v>
      </c>
      <c r="E9" s="31" t="n">
        <f aca="false">0.0072+0.0022</f>
        <v>0.0094</v>
      </c>
      <c r="F9" s="28"/>
      <c r="G9" s="28" t="s">
        <v>89</v>
      </c>
      <c r="H9" s="28"/>
      <c r="I9" s="32" t="n">
        <v>0.0017</v>
      </c>
      <c r="J9" s="28"/>
      <c r="K9" s="28"/>
      <c r="L9" s="28"/>
      <c r="M9" s="28"/>
      <c r="N9" s="28"/>
    </row>
    <row r="10" customFormat="false" ht="12.75" hidden="false" customHeight="false" outlineLevel="0" collapsed="false">
      <c r="A10" s="27" t="s">
        <v>89</v>
      </c>
      <c r="C10" s="32" t="n">
        <v>0.02184</v>
      </c>
      <c r="E10" s="32" t="n">
        <v>0.02184</v>
      </c>
      <c r="F10" s="28"/>
      <c r="G10" s="28"/>
      <c r="H10" s="28"/>
      <c r="I10" s="33" t="n">
        <f aca="false">ROUND(+I6/(1-I9)+I8,4)-I6</f>
        <v>0.0332000000000008</v>
      </c>
      <c r="J10" s="28"/>
      <c r="K10" s="28"/>
      <c r="L10" s="28"/>
      <c r="M10" s="28"/>
      <c r="N10" s="28"/>
    </row>
    <row r="11" customFormat="false" ht="13.5" hidden="false" customHeight="false" outlineLevel="0" collapsed="false">
      <c r="A11" s="27" t="s">
        <v>69</v>
      </c>
      <c r="C11" s="33" t="n">
        <f aca="false">ROUND(+C6/(1-C10)+(C8+C9),4)-C6</f>
        <v>0.257800000000001</v>
      </c>
      <c r="E11" s="33" t="n">
        <f aca="false">ROUND(+E6/(1-E10)+(E8+E9),4)-E6</f>
        <v>0.257800000000001</v>
      </c>
      <c r="F11" s="28"/>
      <c r="G11" s="28"/>
      <c r="H11" s="28"/>
      <c r="I11" s="34" t="n">
        <f aca="false">I6+I10</f>
        <v>10.5632</v>
      </c>
      <c r="J11" s="28"/>
      <c r="K11" s="28"/>
      <c r="L11" s="35"/>
      <c r="M11" s="28"/>
      <c r="N11" s="28"/>
    </row>
    <row r="12" customFormat="false" ht="14.25" hidden="false" customHeight="false" outlineLevel="0" collapsed="false">
      <c r="C12" s="34" t="n">
        <f aca="false">SUM(C6,C7,C11)</f>
        <v>10.8003</v>
      </c>
      <c r="D12" s="27" t="s">
        <v>58</v>
      </c>
      <c r="E12" s="33" t="n">
        <v>0.11</v>
      </c>
      <c r="F12" s="28"/>
      <c r="G12" s="28"/>
      <c r="H12" s="28"/>
      <c r="I12" s="36"/>
      <c r="J12" s="28"/>
      <c r="K12" s="28"/>
      <c r="L12" s="35"/>
      <c r="M12" s="28"/>
      <c r="N12" s="28"/>
    </row>
    <row r="13" customFormat="false" ht="14.25" hidden="false" customHeight="false" outlineLevel="0" collapsed="false">
      <c r="E13" s="34" t="n">
        <f aca="false">+E12+E11+E6</f>
        <v>10.8978</v>
      </c>
      <c r="H13" s="28"/>
      <c r="I13" s="37"/>
      <c r="J13" s="28"/>
      <c r="K13" s="28"/>
      <c r="L13" s="35"/>
      <c r="M13" s="28"/>
      <c r="N13" s="28"/>
    </row>
    <row r="14" customFormat="false" ht="13.5" hidden="false" customHeight="false" outlineLevel="0" collapsed="false">
      <c r="C14" s="38"/>
      <c r="E14" s="38"/>
      <c r="H14" s="28"/>
      <c r="I14" s="37"/>
      <c r="J14" s="28"/>
      <c r="K14" s="28"/>
      <c r="L14" s="35"/>
      <c r="M14" s="28"/>
      <c r="N14" s="28"/>
    </row>
    <row r="15" customFormat="false" ht="12.75" hidden="false" customHeight="false" outlineLevel="0" collapsed="false">
      <c r="C15" s="39"/>
      <c r="E15" s="39"/>
      <c r="H15" s="28"/>
      <c r="I15" s="28"/>
      <c r="J15" s="28"/>
      <c r="K15" s="28"/>
      <c r="L15" s="35"/>
      <c r="M15" s="28"/>
      <c r="N15" s="28"/>
    </row>
    <row r="16" customFormat="false" ht="12.75" hidden="false" customHeight="false" outlineLevel="0" collapsed="false">
      <c r="C16" s="39"/>
      <c r="E16" s="39"/>
      <c r="H16" s="28"/>
      <c r="I16" s="28" t="s">
        <v>90</v>
      </c>
      <c r="J16" s="28"/>
      <c r="K16" s="28"/>
      <c r="L16" s="35"/>
      <c r="M16" s="28"/>
      <c r="N16" s="28"/>
    </row>
    <row r="17" customFormat="false" ht="12.75" hidden="false" customHeight="false" outlineLevel="0" collapsed="false">
      <c r="A17" s="29" t="s">
        <v>91</v>
      </c>
      <c r="C17" s="27" t="s">
        <v>92</v>
      </c>
      <c r="D17" s="40" t="s">
        <v>93</v>
      </c>
      <c r="E17" s="40"/>
      <c r="F17" s="41"/>
      <c r="G17" s="41"/>
      <c r="H17" s="41"/>
      <c r="I17" s="41" t="s">
        <v>94</v>
      </c>
      <c r="J17" s="28" t="s">
        <v>95</v>
      </c>
      <c r="K17" s="28"/>
      <c r="L17" s="28"/>
      <c r="M17" s="28"/>
      <c r="N17" s="28"/>
    </row>
    <row r="18" customFormat="false" ht="12.75" hidden="false" customHeight="false" outlineLevel="0" collapsed="false">
      <c r="A18" s="27" t="s">
        <v>83</v>
      </c>
      <c r="B18" s="27" t="s">
        <v>91</v>
      </c>
      <c r="C18" s="30" t="n">
        <v>9.94</v>
      </c>
      <c r="D18" s="42" t="n">
        <v>1338</v>
      </c>
      <c r="E18" s="40" t="s">
        <v>96</v>
      </c>
      <c r="F18" s="41"/>
      <c r="G18" s="41"/>
      <c r="H18" s="43" t="n">
        <v>36892</v>
      </c>
      <c r="I18" s="44" t="n">
        <v>41486</v>
      </c>
      <c r="J18" s="44" t="n">
        <f aca="false">+I18/31</f>
        <v>1338.25806451613</v>
      </c>
      <c r="K18" s="28"/>
      <c r="L18" s="28"/>
      <c r="M18" s="28"/>
      <c r="N18" s="28"/>
    </row>
    <row r="19" customFormat="false" ht="12.75" hidden="false" customHeight="false" outlineLevel="0" collapsed="false">
      <c r="A19" s="27" t="s">
        <v>85</v>
      </c>
      <c r="C19" s="31" t="n">
        <v>0.1</v>
      </c>
      <c r="D19" s="40"/>
      <c r="E19" s="36"/>
      <c r="F19" s="41"/>
      <c r="G19" s="41"/>
      <c r="H19" s="43" t="n">
        <v>36923</v>
      </c>
      <c r="I19" s="44" t="n">
        <v>36508</v>
      </c>
      <c r="J19" s="44" t="n">
        <f aca="false">+I19/28</f>
        <v>1303.85714285714</v>
      </c>
      <c r="K19" s="28"/>
      <c r="L19" s="28"/>
      <c r="M19" s="28"/>
      <c r="N19" s="28"/>
    </row>
    <row r="20" customFormat="false" ht="12.75" hidden="false" customHeight="false" outlineLevel="0" collapsed="false">
      <c r="A20" s="27" t="s">
        <v>86</v>
      </c>
      <c r="C20" s="31" t="n">
        <v>0.017</v>
      </c>
      <c r="D20" s="40"/>
      <c r="E20" s="36"/>
      <c r="F20" s="41"/>
      <c r="G20" s="41"/>
      <c r="H20" s="43" t="n">
        <v>36951</v>
      </c>
      <c r="I20" s="44" t="n">
        <v>26671</v>
      </c>
      <c r="J20" s="44" t="n">
        <f aca="false">+I20/31</f>
        <v>860.354838709677</v>
      </c>
      <c r="K20" s="28"/>
      <c r="L20" s="28"/>
      <c r="M20" s="28"/>
      <c r="N20" s="28"/>
    </row>
    <row r="21" customFormat="false" ht="12.75" hidden="false" customHeight="false" outlineLevel="0" collapsed="false">
      <c r="A21" s="27" t="s">
        <v>88</v>
      </c>
      <c r="C21" s="31" t="n">
        <v>0.0022</v>
      </c>
      <c r="D21" s="40"/>
      <c r="E21" s="36"/>
      <c r="F21" s="41"/>
      <c r="G21" s="41"/>
      <c r="H21" s="41"/>
      <c r="I21" s="32"/>
      <c r="J21" s="28"/>
      <c r="K21" s="28"/>
      <c r="L21" s="28"/>
      <c r="M21" s="28"/>
      <c r="N21" s="28"/>
    </row>
    <row r="22" customFormat="false" ht="12.75" hidden="false" customHeight="false" outlineLevel="0" collapsed="false">
      <c r="A22" s="27" t="s">
        <v>89</v>
      </c>
      <c r="C22" s="32" t="n">
        <v>0.0282</v>
      </c>
      <c r="D22" s="40" t="n">
        <f aca="false">ROUND(+D18*(1-C22),0)</f>
        <v>1300</v>
      </c>
      <c r="E22" s="32" t="s">
        <v>97</v>
      </c>
      <c r="F22" s="41"/>
      <c r="G22" s="41"/>
      <c r="H22" s="41"/>
      <c r="I22" s="36"/>
      <c r="J22" s="28"/>
      <c r="K22" s="28"/>
      <c r="L22" s="28"/>
      <c r="M22" s="28"/>
      <c r="N22" s="28"/>
    </row>
    <row r="23" customFormat="false" ht="12.75" hidden="false" customHeight="false" outlineLevel="0" collapsed="false">
      <c r="A23" s="27" t="s">
        <v>69</v>
      </c>
      <c r="C23" s="33" t="n">
        <f aca="false">ROUND((+C18+C19)/(1-C22)+(C20+C21),4)-C18-C19</f>
        <v>0.310500000000001</v>
      </c>
      <c r="D23" s="40"/>
      <c r="E23" s="36"/>
      <c r="F23" s="41"/>
      <c r="G23" s="41"/>
      <c r="H23" s="41"/>
      <c r="I23" s="36"/>
      <c r="J23" s="28"/>
      <c r="K23" s="28"/>
      <c r="L23" s="35"/>
      <c r="M23" s="28"/>
      <c r="N23" s="28"/>
    </row>
    <row r="24" customFormat="false" ht="13.5" hidden="false" customHeight="false" outlineLevel="0" collapsed="false">
      <c r="C24" s="34" t="n">
        <f aca="false">SUM(C18,C19,C23)</f>
        <v>10.3505</v>
      </c>
      <c r="D24" s="40"/>
      <c r="E24" s="36"/>
      <c r="F24" s="41"/>
      <c r="G24" s="41"/>
      <c r="H24" s="41"/>
      <c r="I24" s="36"/>
      <c r="J24" s="28"/>
      <c r="K24" s="28"/>
      <c r="L24" s="35"/>
      <c r="M24" s="28"/>
      <c r="N24" s="28"/>
    </row>
    <row r="25" customFormat="false" ht="13.5" hidden="false" customHeight="false" outlineLevel="0" collapsed="false">
      <c r="A25" s="27" t="s">
        <v>98</v>
      </c>
      <c r="D25" s="40"/>
      <c r="E25" s="36"/>
      <c r="F25" s="40"/>
      <c r="G25" s="40"/>
      <c r="H25" s="41"/>
      <c r="I25" s="41"/>
      <c r="J25" s="28"/>
      <c r="K25" s="28"/>
      <c r="L25" s="35"/>
      <c r="M25" s="28"/>
      <c r="N25" s="28"/>
    </row>
    <row r="26" customFormat="false" ht="12.75" hidden="false" customHeight="false" outlineLevel="0" collapsed="false">
      <c r="C26" s="38"/>
      <c r="E26" s="38"/>
      <c r="H26" s="28"/>
      <c r="I26" s="28"/>
      <c r="J26" s="28"/>
      <c r="K26" s="28"/>
      <c r="L26" s="35"/>
      <c r="M26" s="28"/>
      <c r="N26" s="28"/>
    </row>
    <row r="27" customFormat="false" ht="12.75" hidden="false" customHeight="false" outlineLevel="0" collapsed="false">
      <c r="A27" s="45" t="s">
        <v>99</v>
      </c>
      <c r="C27" s="39"/>
      <c r="E27" s="39"/>
      <c r="H27" s="28"/>
      <c r="I27" s="28"/>
      <c r="J27" s="28"/>
      <c r="K27" s="28"/>
      <c r="L27" s="35"/>
      <c r="M27" s="28"/>
      <c r="N27" s="28"/>
    </row>
    <row r="28" customFormat="false" ht="12.75" hidden="false" customHeight="false" outlineLevel="0" collapsed="false">
      <c r="B28" s="27" t="s">
        <v>100</v>
      </c>
      <c r="C28" s="31"/>
      <c r="H28" s="28"/>
      <c r="I28" s="28"/>
      <c r="J28" s="28"/>
      <c r="K28" s="28"/>
      <c r="L28" s="35"/>
      <c r="M28" s="28"/>
      <c r="N28" s="28"/>
    </row>
    <row r="29" customFormat="false" ht="12.75" hidden="false" customHeight="false" outlineLevel="0" collapsed="false">
      <c r="A29" s="28"/>
      <c r="B29" s="28" t="s">
        <v>101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customFormat="false" ht="12.75" hidden="false" customHeight="fals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customFormat="false" ht="12.75" hidden="false" customHeight="false" outlineLevel="0" collapsed="false">
      <c r="A31" s="28"/>
      <c r="B31" s="46" t="s">
        <v>102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customFormat="false" ht="12.75" hidden="false" customHeight="fals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customFormat="false" ht="12.75" hidden="false" customHeight="fals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customFormat="false" ht="12.75" hidden="false" customHeight="fals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customFormat="false" ht="12.75" hidden="false" customHeight="fals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customFormat="false" ht="12.75" hidden="false" customHeight="fals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customFormat="false" ht="12.75" hidden="false" customHeight="fals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D15" activeCellId="0" sqref="D15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" width="9.14"/>
    <col collapsed="false" customWidth="true" hidden="false" outlineLevel="0" max="2" min="2" style="10" width="9.99"/>
    <col collapsed="false" customWidth="false" hidden="false" outlineLevel="0" max="3" min="3" style="10" width="9.14"/>
    <col collapsed="false" customWidth="true" hidden="false" outlineLevel="0" max="4" min="4" style="10" width="10.56"/>
    <col collapsed="false" customWidth="true" hidden="false" outlineLevel="0" max="5" min="5" style="10" width="9.28"/>
    <col collapsed="false" customWidth="true" hidden="false" outlineLevel="0" max="6" min="6" style="10" width="9.56"/>
    <col collapsed="false" customWidth="true" hidden="false" outlineLevel="0" max="7" min="7" style="47" width="12.42"/>
    <col collapsed="false" customWidth="true" hidden="false" outlineLevel="0" max="8" min="8" style="47" width="13.99"/>
    <col collapsed="false" customWidth="true" hidden="false" outlineLevel="0" max="9" min="9" style="10" width="10.71"/>
    <col collapsed="false" customWidth="true" hidden="false" outlineLevel="0" max="10" min="10" style="10" width="7.7"/>
    <col collapsed="false" customWidth="true" hidden="true" outlineLevel="0" max="14" min="11" style="10" width="9.06"/>
    <col collapsed="false" customWidth="true" hidden="true" outlineLevel="0" max="15" min="15" style="48" width="9.06"/>
    <col collapsed="false" customWidth="true" hidden="true" outlineLevel="0" max="16" min="16" style="10" width="9.06"/>
    <col collapsed="false" customWidth="true" hidden="false" outlineLevel="0" max="17" min="17" style="10" width="11.7"/>
    <col collapsed="false" customWidth="true" hidden="false" outlineLevel="0" max="18" min="18" style="10" width="9.41"/>
    <col collapsed="false" customWidth="true" hidden="false" outlineLevel="0" max="19" min="19" style="10" width="12.28"/>
    <col collapsed="false" customWidth="true" hidden="false" outlineLevel="0" max="20" min="20" style="10" width="10.71"/>
    <col collapsed="false" customWidth="true" hidden="false" outlineLevel="0" max="21" min="21" style="10" width="11.85"/>
    <col collapsed="false" customWidth="true" hidden="false" outlineLevel="0" max="22" min="22" style="49" width="14.85"/>
    <col collapsed="false" customWidth="true" hidden="false" outlineLevel="0" max="23" min="23" style="47" width="42.28"/>
    <col collapsed="false" customWidth="false" hidden="false" outlineLevel="0" max="25" min="24" style="49" width="9.14"/>
    <col collapsed="false" customWidth="true" hidden="false" outlineLevel="0" max="26" min="26" style="10" width="12.42"/>
    <col collapsed="false" customWidth="false" hidden="false" outlineLevel="0" max="257" min="27" style="10" width="9.14"/>
  </cols>
  <sheetData>
    <row r="1" customFormat="false" ht="12.75" hidden="false" customHeight="false" outlineLevel="0" collapsed="false">
      <c r="B1" s="50" t="s">
        <v>103</v>
      </c>
      <c r="C1" s="51"/>
      <c r="D1" s="51"/>
      <c r="E1" s="52"/>
      <c r="F1" s="52"/>
      <c r="G1" s="53"/>
      <c r="H1" s="53"/>
      <c r="I1" s="51" t="s">
        <v>104</v>
      </c>
      <c r="J1" s="54" t="n">
        <v>31</v>
      </c>
      <c r="K1" s="55" t="s">
        <v>105</v>
      </c>
      <c r="L1" s="56"/>
      <c r="M1" s="56"/>
      <c r="N1" s="56"/>
      <c r="O1" s="57"/>
      <c r="P1" s="56"/>
      <c r="Q1" s="58"/>
      <c r="R1" s="59"/>
      <c r="S1" s="60"/>
      <c r="T1" s="60"/>
      <c r="U1" s="60"/>
      <c r="V1" s="61"/>
      <c r="W1" s="62"/>
      <c r="X1" s="63"/>
      <c r="Y1" s="63"/>
    </row>
    <row r="2" customFormat="false" ht="12.75" hidden="false" customHeight="false" outlineLevel="0" collapsed="false">
      <c r="B2" s="53" t="s">
        <v>106</v>
      </c>
      <c r="C2" s="53"/>
      <c r="D2" s="53"/>
      <c r="E2" s="52"/>
      <c r="F2" s="52"/>
      <c r="G2" s="53"/>
      <c r="H2" s="53"/>
      <c r="I2" s="51"/>
      <c r="J2" s="54"/>
      <c r="K2" s="55" t="s">
        <v>107</v>
      </c>
      <c r="L2" s="56"/>
      <c r="M2" s="56"/>
      <c r="N2" s="56"/>
      <c r="O2" s="57"/>
      <c r="P2" s="56"/>
      <c r="Q2" s="58"/>
      <c r="R2" s="59"/>
      <c r="S2" s="60"/>
      <c r="T2" s="60"/>
      <c r="U2" s="60"/>
      <c r="V2" s="61"/>
      <c r="W2" s="62"/>
      <c r="X2" s="63"/>
      <c r="Y2" s="63"/>
    </row>
    <row r="3" customFormat="false" ht="12.75" hidden="false" customHeight="false" outlineLevel="0" collapsed="false">
      <c r="B3" s="53" t="s">
        <v>108</v>
      </c>
      <c r="C3" s="53"/>
      <c r="D3" s="53"/>
      <c r="E3" s="52"/>
      <c r="F3" s="52"/>
      <c r="G3" s="64" t="s">
        <v>109</v>
      </c>
      <c r="H3" s="53" t="s">
        <v>109</v>
      </c>
      <c r="I3" s="59" t="s">
        <v>109</v>
      </c>
      <c r="J3" s="65"/>
      <c r="K3" s="66" t="s">
        <v>109</v>
      </c>
      <c r="L3" s="56"/>
      <c r="M3" s="66" t="s">
        <v>109</v>
      </c>
      <c r="N3" s="56"/>
      <c r="O3" s="57"/>
      <c r="P3" s="66" t="s">
        <v>109</v>
      </c>
      <c r="Q3" s="58"/>
      <c r="R3" s="59"/>
      <c r="S3" s="60"/>
      <c r="T3" s="60"/>
      <c r="U3" s="60"/>
      <c r="V3" s="61"/>
      <c r="W3" s="62"/>
      <c r="X3" s="63"/>
      <c r="Y3" s="63"/>
    </row>
    <row r="4" customFormat="false" ht="12.75" hidden="false" customHeight="false" outlineLevel="0" collapsed="false">
      <c r="B4" s="53"/>
      <c r="C4" s="51"/>
      <c r="D4" s="51"/>
      <c r="E4" s="52"/>
      <c r="F4" s="52"/>
      <c r="G4" s="67"/>
      <c r="H4" s="53"/>
      <c r="I4" s="67"/>
      <c r="J4" s="65"/>
      <c r="K4" s="67"/>
      <c r="L4" s="56"/>
      <c r="M4" s="67"/>
      <c r="N4" s="59"/>
      <c r="O4" s="57"/>
      <c r="P4" s="59"/>
      <c r="Q4" s="58"/>
      <c r="R4" s="59"/>
      <c r="S4" s="60"/>
      <c r="T4" s="68"/>
      <c r="U4" s="68"/>
      <c r="V4" s="69"/>
      <c r="W4" s="62"/>
      <c r="X4" s="63"/>
      <c r="Y4" s="63"/>
    </row>
    <row r="5" customFormat="false" ht="12.75" hidden="false" customHeight="false" outlineLevel="0" collapsed="false">
      <c r="B5" s="53" t="s">
        <v>110</v>
      </c>
      <c r="C5" s="51"/>
      <c r="D5" s="53"/>
      <c r="E5" s="52"/>
      <c r="F5" s="52"/>
      <c r="G5" s="67"/>
      <c r="H5" s="53"/>
      <c r="I5" s="67"/>
      <c r="J5" s="65"/>
      <c r="K5" s="67"/>
      <c r="L5" s="56"/>
      <c r="M5" s="67"/>
      <c r="N5" s="59"/>
      <c r="O5" s="57"/>
      <c r="P5" s="59"/>
      <c r="Q5" s="58"/>
      <c r="R5" s="59"/>
      <c r="S5" s="60"/>
      <c r="T5" s="68"/>
      <c r="U5" s="68"/>
      <c r="V5" s="69"/>
      <c r="W5" s="62"/>
      <c r="X5" s="63"/>
      <c r="Y5" s="63"/>
    </row>
    <row r="6" customFormat="false" ht="12.75" hidden="false" customHeight="false" outlineLevel="0" collapsed="false">
      <c r="B6" s="53"/>
      <c r="C6" s="51" t="s">
        <v>111</v>
      </c>
      <c r="D6" s="51"/>
      <c r="E6" s="52"/>
      <c r="F6" s="52"/>
      <c r="G6" s="67"/>
      <c r="H6" s="53"/>
      <c r="I6" s="67"/>
      <c r="J6" s="65"/>
      <c r="K6" s="67"/>
      <c r="L6" s="56"/>
      <c r="M6" s="67"/>
      <c r="N6" s="59"/>
      <c r="O6" s="57"/>
      <c r="P6" s="59"/>
      <c r="Q6" s="58"/>
      <c r="R6" s="59"/>
      <c r="S6" s="60"/>
      <c r="T6" s="68"/>
      <c r="U6" s="68"/>
      <c r="V6" s="69"/>
      <c r="W6" s="62"/>
      <c r="X6" s="63"/>
      <c r="Y6" s="63"/>
    </row>
    <row r="7" customFormat="false" ht="12.75" hidden="false" customHeight="false" outlineLevel="0" collapsed="false">
      <c r="B7" s="53"/>
      <c r="C7" s="51"/>
      <c r="D7" s="51"/>
      <c r="E7" s="52"/>
      <c r="F7" s="52"/>
      <c r="G7" s="67"/>
      <c r="H7" s="53"/>
      <c r="I7" s="67"/>
      <c r="J7" s="65"/>
      <c r="K7" s="67"/>
      <c r="L7" s="56"/>
      <c r="M7" s="67"/>
      <c r="N7" s="59"/>
      <c r="O7" s="57"/>
      <c r="P7" s="59"/>
      <c r="Q7" s="58"/>
      <c r="R7" s="59"/>
      <c r="S7" s="60"/>
      <c r="T7" s="68"/>
      <c r="U7" s="68"/>
      <c r="V7" s="69"/>
      <c r="W7" s="62"/>
      <c r="X7" s="63"/>
      <c r="Y7" s="63"/>
    </row>
    <row r="8" customFormat="false" ht="12.75" hidden="false" customHeight="false" outlineLevel="0" collapsed="false">
      <c r="B8" s="53"/>
      <c r="C8" s="51"/>
      <c r="D8" s="51"/>
      <c r="E8" s="52"/>
      <c r="F8" s="52"/>
      <c r="G8" s="67"/>
      <c r="H8" s="53"/>
      <c r="I8" s="67"/>
      <c r="J8" s="65"/>
      <c r="K8" s="67"/>
      <c r="L8" s="56"/>
      <c r="M8" s="67"/>
      <c r="N8" s="59"/>
      <c r="O8" s="57"/>
      <c r="P8" s="59"/>
      <c r="Q8" s="58"/>
      <c r="R8" s="59"/>
      <c r="S8" s="60"/>
      <c r="T8" s="68"/>
      <c r="U8" s="68"/>
      <c r="V8" s="69"/>
      <c r="W8" s="62"/>
      <c r="X8" s="63"/>
      <c r="Y8" s="63"/>
    </row>
    <row r="9" customFormat="false" ht="12.75" hidden="false" customHeight="false" outlineLevel="0" collapsed="false">
      <c r="B9" s="53"/>
      <c r="C9" s="51"/>
      <c r="D9" s="51"/>
      <c r="E9" s="52"/>
      <c r="F9" s="52"/>
      <c r="G9" s="67"/>
      <c r="H9" s="53"/>
      <c r="I9" s="67"/>
      <c r="J9" s="65"/>
      <c r="K9" s="67"/>
      <c r="L9" s="56"/>
      <c r="M9" s="67"/>
      <c r="N9" s="59"/>
      <c r="O9" s="57"/>
      <c r="P9" s="59"/>
      <c r="Q9" s="58"/>
      <c r="R9" s="59"/>
      <c r="S9" s="60"/>
      <c r="T9" s="68"/>
      <c r="U9" s="68"/>
      <c r="V9" s="69"/>
      <c r="W9" s="62"/>
      <c r="X9" s="63"/>
      <c r="Y9" s="63"/>
    </row>
    <row r="10" customFormat="false" ht="12.75" hidden="false" customHeight="false" outlineLevel="0" collapsed="false">
      <c r="B10" s="53"/>
      <c r="C10" s="51"/>
      <c r="D10" s="51"/>
      <c r="E10" s="52"/>
      <c r="F10" s="52"/>
      <c r="G10" s="67"/>
      <c r="H10" s="53"/>
      <c r="I10" s="67"/>
      <c r="J10" s="65"/>
      <c r="K10" s="67"/>
      <c r="L10" s="56"/>
      <c r="M10" s="67"/>
      <c r="N10" s="59"/>
      <c r="O10" s="57"/>
      <c r="P10" s="59"/>
      <c r="Q10" s="58"/>
      <c r="R10" s="59"/>
      <c r="S10" s="60"/>
      <c r="T10" s="68"/>
      <c r="U10" s="68"/>
      <c r="V10" s="69"/>
      <c r="W10" s="62"/>
      <c r="X10" s="63"/>
      <c r="Y10" s="63"/>
    </row>
    <row r="11" customFormat="false" ht="12.75" hidden="false" customHeight="false" outlineLevel="0" collapsed="false">
      <c r="B11" s="70" t="s">
        <v>112</v>
      </c>
      <c r="C11" s="71" t="s">
        <v>113</v>
      </c>
      <c r="D11" s="71" t="s">
        <v>114</v>
      </c>
      <c r="E11" s="72" t="s">
        <v>115</v>
      </c>
      <c r="F11" s="72"/>
      <c r="G11" s="70" t="s">
        <v>116</v>
      </c>
      <c r="H11" s="70" t="s">
        <v>117</v>
      </c>
      <c r="I11" s="71" t="s">
        <v>118</v>
      </c>
      <c r="J11" s="73" t="s">
        <v>119</v>
      </c>
      <c r="K11" s="71" t="s">
        <v>120</v>
      </c>
      <c r="L11" s="71" t="s">
        <v>121</v>
      </c>
      <c r="M11" s="71" t="s">
        <v>122</v>
      </c>
      <c r="N11" s="71" t="s">
        <v>123</v>
      </c>
      <c r="O11" s="74" t="s">
        <v>124</v>
      </c>
      <c r="P11" s="71" t="s">
        <v>125</v>
      </c>
      <c r="Q11" s="75" t="s">
        <v>126</v>
      </c>
      <c r="R11" s="71" t="s">
        <v>127</v>
      </c>
      <c r="S11" s="70" t="s">
        <v>128</v>
      </c>
      <c r="T11" s="76" t="s">
        <v>129</v>
      </c>
      <c r="U11" s="76" t="s">
        <v>130</v>
      </c>
      <c r="V11" s="77" t="s">
        <v>131</v>
      </c>
      <c r="W11" s="78" t="e">
        <f aca="false">+#REF!</f>
        <v>#REF!</v>
      </c>
      <c r="X11" s="79"/>
      <c r="Y11" s="79"/>
    </row>
    <row r="12" customFormat="false" ht="12.75" hidden="false" customHeight="false" outlineLevel="0" collapsed="false">
      <c r="A12" s="80"/>
      <c r="B12" s="81" t="s">
        <v>37</v>
      </c>
      <c r="C12" s="82" t="s">
        <v>132</v>
      </c>
      <c r="D12" s="82" t="s">
        <v>31</v>
      </c>
      <c r="E12" s="83" t="n">
        <v>36557</v>
      </c>
      <c r="F12" s="83" t="n">
        <v>36922</v>
      </c>
      <c r="G12" s="81" t="s">
        <v>133</v>
      </c>
      <c r="H12" s="81" t="s">
        <v>134</v>
      </c>
      <c r="I12" s="82" t="s">
        <v>135</v>
      </c>
      <c r="J12" s="84" t="n">
        <f aca="false">3.145/J$1</f>
        <v>0.101451612903226</v>
      </c>
      <c r="K12" s="85"/>
      <c r="L12" s="85"/>
      <c r="M12" s="85"/>
      <c r="N12" s="85"/>
      <c r="O12" s="86"/>
      <c r="P12" s="85"/>
      <c r="Q12" s="87" t="n">
        <v>66283</v>
      </c>
      <c r="R12" s="82" t="n">
        <v>5</v>
      </c>
      <c r="S12" s="81" t="s">
        <v>136</v>
      </c>
      <c r="T12" s="88" t="n">
        <f aca="false">+J12*R12*31</f>
        <v>15.725</v>
      </c>
      <c r="U12" s="89"/>
      <c r="V12" s="90" t="n">
        <v>156674</v>
      </c>
      <c r="W12" s="81"/>
      <c r="X12" s="91"/>
      <c r="Y12" s="91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  <c r="IW12" s="80"/>
    </row>
    <row r="13" customFormat="false" ht="12.75" hidden="false" customHeight="false" outlineLevel="0" collapsed="false">
      <c r="A13" s="80"/>
      <c r="B13" s="81" t="s">
        <v>37</v>
      </c>
      <c r="C13" s="82" t="s">
        <v>132</v>
      </c>
      <c r="D13" s="82" t="s">
        <v>31</v>
      </c>
      <c r="E13" s="83" t="n">
        <v>36617</v>
      </c>
      <c r="F13" s="83" t="n">
        <v>36981</v>
      </c>
      <c r="G13" s="81" t="s">
        <v>133</v>
      </c>
      <c r="H13" s="81" t="s">
        <v>134</v>
      </c>
      <c r="I13" s="82" t="s">
        <v>135</v>
      </c>
      <c r="J13" s="84" t="n">
        <f aca="false">3.145/J$1</f>
        <v>0.101451612903226</v>
      </c>
      <c r="K13" s="85"/>
      <c r="L13" s="85"/>
      <c r="M13" s="85"/>
      <c r="N13" s="85"/>
      <c r="O13" s="86"/>
      <c r="P13" s="85"/>
      <c r="Q13" s="87" t="n">
        <v>66941</v>
      </c>
      <c r="R13" s="82" t="n">
        <v>53</v>
      </c>
      <c r="S13" s="81"/>
      <c r="T13" s="88" t="n">
        <f aca="false">+J13*R13*31</f>
        <v>166.685</v>
      </c>
      <c r="U13" s="89"/>
      <c r="V13" s="90" t="n">
        <v>228122</v>
      </c>
      <c r="W13" s="81"/>
      <c r="X13" s="91"/>
      <c r="Y13" s="91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customFormat="false" ht="12.75" hidden="false" customHeight="false" outlineLevel="0" collapsed="false">
      <c r="A14" s="80"/>
      <c r="B14" s="81" t="s">
        <v>37</v>
      </c>
      <c r="C14" s="82" t="s">
        <v>132</v>
      </c>
      <c r="D14" s="82" t="s">
        <v>34</v>
      </c>
      <c r="E14" s="83" t="n">
        <v>36647</v>
      </c>
      <c r="F14" s="83" t="n">
        <v>37011</v>
      </c>
      <c r="G14" s="81" t="s">
        <v>133</v>
      </c>
      <c r="H14" s="81" t="s">
        <v>134</v>
      </c>
      <c r="I14" s="82" t="s">
        <v>135</v>
      </c>
      <c r="J14" s="84" t="n">
        <f aca="false">3.145/J$1</f>
        <v>0.101451612903226</v>
      </c>
      <c r="K14" s="85"/>
      <c r="L14" s="85"/>
      <c r="M14" s="85"/>
      <c r="N14" s="85"/>
      <c r="O14" s="86"/>
      <c r="P14" s="85"/>
      <c r="Q14" s="87" t="n">
        <v>68281</v>
      </c>
      <c r="R14" s="82" t="n">
        <v>21</v>
      </c>
      <c r="S14" s="81" t="s">
        <v>137</v>
      </c>
      <c r="T14" s="89" t="n">
        <f aca="false">+R14*J14*$J$1</f>
        <v>66.045</v>
      </c>
      <c r="U14" s="89"/>
      <c r="V14" s="90" t="n">
        <v>256413</v>
      </c>
      <c r="W14" s="81"/>
      <c r="X14" s="91"/>
      <c r="Y14" s="91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customFormat="false" ht="12.75" hidden="false" customHeight="false" outlineLevel="0" collapsed="false">
      <c r="A15" s="80"/>
      <c r="B15" s="81" t="s">
        <v>37</v>
      </c>
      <c r="C15" s="82" t="s">
        <v>132</v>
      </c>
      <c r="D15" s="82" t="s">
        <v>31</v>
      </c>
      <c r="E15" s="83" t="n">
        <v>36656</v>
      </c>
      <c r="F15" s="83" t="n">
        <v>36950</v>
      </c>
      <c r="G15" s="81" t="s">
        <v>133</v>
      </c>
      <c r="H15" s="81" t="s">
        <v>134</v>
      </c>
      <c r="I15" s="82" t="s">
        <v>135</v>
      </c>
      <c r="J15" s="84" t="n">
        <f aca="false">3.145/J$1</f>
        <v>0.101451612903226</v>
      </c>
      <c r="K15" s="85"/>
      <c r="L15" s="85"/>
      <c r="M15" s="85"/>
      <c r="N15" s="85"/>
      <c r="O15" s="86"/>
      <c r="P15" s="85"/>
      <c r="Q15" s="87" t="n">
        <v>68309</v>
      </c>
      <c r="R15" s="82" t="n">
        <v>9</v>
      </c>
      <c r="S15" s="81"/>
      <c r="T15" s="89" t="n">
        <f aca="false">+R15*J15*$J$1</f>
        <v>28.305</v>
      </c>
      <c r="U15" s="89"/>
      <c r="V15" s="90" t="n">
        <v>262090</v>
      </c>
      <c r="W15" s="81" t="s">
        <v>138</v>
      </c>
      <c r="X15" s="91"/>
      <c r="Y15" s="91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customFormat="false" ht="12.75" hidden="false" customHeight="false" outlineLevel="0" collapsed="false">
      <c r="A16" s="80"/>
      <c r="B16" s="81" t="s">
        <v>37</v>
      </c>
      <c r="C16" s="82" t="s">
        <v>132</v>
      </c>
      <c r="D16" s="82" t="s">
        <v>34</v>
      </c>
      <c r="E16" s="83" t="n">
        <v>36678</v>
      </c>
      <c r="F16" s="83" t="n">
        <v>37042</v>
      </c>
      <c r="G16" s="81" t="s">
        <v>133</v>
      </c>
      <c r="H16" s="81" t="s">
        <v>134</v>
      </c>
      <c r="I16" s="82" t="s">
        <v>135</v>
      </c>
      <c r="J16" s="84" t="n">
        <f aca="false">3.145/J$1</f>
        <v>0.101451612903226</v>
      </c>
      <c r="K16" s="85" t="n">
        <v>0.0132</v>
      </c>
      <c r="L16" s="85" t="n">
        <v>0.0022</v>
      </c>
      <c r="M16" s="85" t="n">
        <v>0</v>
      </c>
      <c r="N16" s="85" t="n">
        <v>0</v>
      </c>
      <c r="O16" s="86" t="n">
        <v>0.02116</v>
      </c>
      <c r="P16" s="85" t="n">
        <f aca="false">SUM(J16:N16)</f>
        <v>0.116851612903226</v>
      </c>
      <c r="Q16" s="87" t="n">
        <v>68360</v>
      </c>
      <c r="R16" s="82" t="n">
        <v>291</v>
      </c>
      <c r="S16" s="81"/>
      <c r="T16" s="89" t="n">
        <f aca="false">J16*J$1*R16</f>
        <v>915.195</v>
      </c>
      <c r="U16" s="89"/>
      <c r="V16" s="90" t="n">
        <v>271311</v>
      </c>
      <c r="W16" s="81"/>
      <c r="X16" s="91"/>
      <c r="Y16" s="91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customFormat="false" ht="12.75" hidden="false" customHeight="false" outlineLevel="0" collapsed="false">
      <c r="A17" s="80"/>
      <c r="B17" s="81" t="s">
        <v>37</v>
      </c>
      <c r="C17" s="82" t="s">
        <v>132</v>
      </c>
      <c r="D17" s="82" t="s">
        <v>31</v>
      </c>
      <c r="E17" s="83" t="n">
        <v>36678</v>
      </c>
      <c r="F17" s="83" t="n">
        <v>37042</v>
      </c>
      <c r="G17" s="81" t="s">
        <v>133</v>
      </c>
      <c r="H17" s="81" t="s">
        <v>134</v>
      </c>
      <c r="I17" s="82" t="s">
        <v>135</v>
      </c>
      <c r="J17" s="84" t="n">
        <f aca="false">3.145/J$1</f>
        <v>0.101451612903226</v>
      </c>
      <c r="K17" s="85" t="n">
        <v>0.0132</v>
      </c>
      <c r="L17" s="85" t="n">
        <v>0.0022</v>
      </c>
      <c r="M17" s="85" t="n">
        <v>0</v>
      </c>
      <c r="N17" s="85" t="n">
        <v>0</v>
      </c>
      <c r="O17" s="86" t="n">
        <v>0.02116</v>
      </c>
      <c r="P17" s="85" t="n">
        <f aca="false">SUM(J17:N17)</f>
        <v>0.116851612903226</v>
      </c>
      <c r="Q17" s="87" t="n">
        <v>68385</v>
      </c>
      <c r="R17" s="82" t="n">
        <v>223</v>
      </c>
      <c r="S17" s="81"/>
      <c r="T17" s="89" t="n">
        <f aca="false">J17*J$1*R17</f>
        <v>701.335</v>
      </c>
      <c r="U17" s="89"/>
      <c r="V17" s="90" t="n">
        <v>280550</v>
      </c>
      <c r="W17" s="81"/>
      <c r="X17" s="91"/>
      <c r="Y17" s="91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customFormat="false" ht="12.75" hidden="false" customHeight="false" outlineLevel="0" collapsed="false">
      <c r="A18" s="80"/>
      <c r="B18" s="81" t="s">
        <v>37</v>
      </c>
      <c r="C18" s="82" t="s">
        <v>132</v>
      </c>
      <c r="D18" s="82" t="s">
        <v>34</v>
      </c>
      <c r="E18" s="83" t="n">
        <v>36708</v>
      </c>
      <c r="F18" s="83" t="n">
        <v>37072</v>
      </c>
      <c r="G18" s="81" t="s">
        <v>133</v>
      </c>
      <c r="H18" s="81" t="s">
        <v>134</v>
      </c>
      <c r="I18" s="82" t="s">
        <v>135</v>
      </c>
      <c r="J18" s="84" t="n">
        <f aca="false">3.145/J$1</f>
        <v>0.101451612903226</v>
      </c>
      <c r="K18" s="85" t="n">
        <v>0.0132</v>
      </c>
      <c r="L18" s="85" t="n">
        <v>0.0022</v>
      </c>
      <c r="M18" s="85" t="n">
        <v>0</v>
      </c>
      <c r="N18" s="85" t="n">
        <v>0</v>
      </c>
      <c r="O18" s="86" t="n">
        <v>0.02116</v>
      </c>
      <c r="P18" s="85" t="n">
        <f aca="false">SUM(J18:N18)</f>
        <v>0.116851612903226</v>
      </c>
      <c r="Q18" s="87" t="n">
        <v>68615</v>
      </c>
      <c r="R18" s="82" t="n">
        <v>920</v>
      </c>
      <c r="S18" s="81"/>
      <c r="T18" s="89" t="n">
        <f aca="false">J18*J$1*R18</f>
        <v>2893.4</v>
      </c>
      <c r="U18" s="89"/>
      <c r="V18" s="90" t="n">
        <v>309873</v>
      </c>
      <c r="W18" s="81"/>
      <c r="X18" s="91"/>
      <c r="Y18" s="91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customFormat="false" ht="12.75" hidden="false" customHeight="false" outlineLevel="0" collapsed="false">
      <c r="A19" s="80"/>
      <c r="B19" s="81" t="s">
        <v>37</v>
      </c>
      <c r="C19" s="82" t="s">
        <v>132</v>
      </c>
      <c r="D19" s="82" t="s">
        <v>34</v>
      </c>
      <c r="E19" s="83" t="n">
        <v>36708</v>
      </c>
      <c r="F19" s="83" t="s">
        <v>139</v>
      </c>
      <c r="G19" s="81" t="s">
        <v>133</v>
      </c>
      <c r="H19" s="81" t="s">
        <v>134</v>
      </c>
      <c r="I19" s="82" t="s">
        <v>135</v>
      </c>
      <c r="J19" s="84" t="n">
        <f aca="false">3.145/J$1</f>
        <v>0.101451612903226</v>
      </c>
      <c r="K19" s="85"/>
      <c r="L19" s="85"/>
      <c r="M19" s="85"/>
      <c r="N19" s="85"/>
      <c r="O19" s="86"/>
      <c r="P19" s="85"/>
      <c r="Q19" s="87" t="n">
        <v>68634</v>
      </c>
      <c r="R19" s="82" t="n">
        <v>1</v>
      </c>
      <c r="S19" s="81"/>
      <c r="T19" s="89" t="n">
        <f aca="false">J19*J$1*R19</f>
        <v>3.145</v>
      </c>
      <c r="U19" s="89"/>
      <c r="V19" s="90" t="n">
        <v>312338</v>
      </c>
      <c r="W19" s="81"/>
      <c r="X19" s="91"/>
      <c r="Y19" s="91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0"/>
      <c r="BE19" s="80"/>
      <c r="BF19" s="80"/>
      <c r="BG19" s="80"/>
      <c r="BH19" s="80"/>
      <c r="BI19" s="80"/>
      <c r="BJ19" s="80"/>
      <c r="BK19" s="80"/>
      <c r="BL19" s="80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0"/>
      <c r="CA19" s="80"/>
      <c r="CB19" s="80"/>
      <c r="CC19" s="80"/>
      <c r="CD19" s="80"/>
      <c r="CE19" s="80"/>
      <c r="CF19" s="80"/>
      <c r="CG19" s="80"/>
      <c r="CH19" s="80"/>
      <c r="CI19" s="80"/>
      <c r="CJ19" s="80"/>
      <c r="CK19" s="80"/>
      <c r="CL19" s="80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  <c r="DL19" s="80"/>
      <c r="DM19" s="80"/>
      <c r="DN19" s="80"/>
      <c r="DO19" s="80"/>
      <c r="DP19" s="80"/>
      <c r="DQ19" s="80"/>
      <c r="DR19" s="80"/>
      <c r="DS19" s="80"/>
      <c r="DT19" s="80"/>
      <c r="DU19" s="80"/>
      <c r="DV19" s="80"/>
      <c r="DW19" s="80"/>
      <c r="DX19" s="80"/>
      <c r="DY19" s="80"/>
      <c r="DZ19" s="80"/>
      <c r="EA19" s="80"/>
      <c r="EB19" s="80"/>
      <c r="EC19" s="80"/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0"/>
      <c r="EO19" s="80"/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0"/>
      <c r="FF19" s="80"/>
      <c r="FG19" s="80"/>
      <c r="FH19" s="80"/>
      <c r="FI19" s="80"/>
      <c r="FJ19" s="80"/>
      <c r="FK19" s="80"/>
      <c r="FL19" s="80"/>
      <c r="FM19" s="80"/>
      <c r="FN19" s="80"/>
      <c r="FO19" s="80"/>
      <c r="FP19" s="80"/>
      <c r="FQ19" s="80"/>
      <c r="FR19" s="80"/>
      <c r="FS19" s="80"/>
      <c r="FT19" s="80"/>
      <c r="FU19" s="80"/>
      <c r="FV19" s="80"/>
      <c r="FW19" s="80"/>
      <c r="FX19" s="80"/>
      <c r="FY19" s="80"/>
      <c r="FZ19" s="80"/>
      <c r="GA19" s="80"/>
      <c r="GB19" s="80"/>
      <c r="GC19" s="80"/>
      <c r="GD19" s="80"/>
      <c r="GE19" s="80"/>
      <c r="GF19" s="80"/>
      <c r="GG19" s="80"/>
      <c r="GH19" s="80"/>
      <c r="GI19" s="80"/>
      <c r="GJ19" s="80"/>
      <c r="GK19" s="80"/>
      <c r="GL19" s="80"/>
      <c r="GM19" s="80"/>
      <c r="GN19" s="80"/>
      <c r="GO19" s="80"/>
      <c r="GP19" s="80"/>
      <c r="GQ19" s="80"/>
      <c r="GR19" s="80"/>
      <c r="GS19" s="80"/>
      <c r="GT19" s="80"/>
      <c r="GU19" s="80"/>
      <c r="GV19" s="80"/>
      <c r="GW19" s="80"/>
      <c r="GX19" s="80"/>
      <c r="GY19" s="80"/>
      <c r="GZ19" s="80"/>
      <c r="HA19" s="80"/>
      <c r="HB19" s="80"/>
      <c r="HC19" s="80"/>
      <c r="HD19" s="80"/>
      <c r="HE19" s="80"/>
      <c r="HF19" s="80"/>
      <c r="HG19" s="80"/>
      <c r="HH19" s="80"/>
      <c r="HI19" s="80"/>
      <c r="HJ19" s="80"/>
      <c r="HK19" s="80"/>
      <c r="HL19" s="80"/>
      <c r="HM19" s="80"/>
      <c r="HN19" s="80"/>
      <c r="HO19" s="80"/>
      <c r="HP19" s="80"/>
      <c r="HQ19" s="80"/>
      <c r="HR19" s="80"/>
      <c r="HS19" s="80"/>
      <c r="HT19" s="80"/>
      <c r="HU19" s="80"/>
      <c r="HV19" s="80"/>
      <c r="HW19" s="80"/>
      <c r="HX19" s="80"/>
      <c r="HY19" s="80"/>
      <c r="HZ19" s="80"/>
      <c r="IA19" s="80"/>
      <c r="IB19" s="80"/>
      <c r="IC19" s="80"/>
      <c r="ID19" s="80"/>
      <c r="IE19" s="80"/>
      <c r="IF19" s="80"/>
      <c r="IG19" s="80"/>
      <c r="IH19" s="80"/>
      <c r="II19" s="80"/>
      <c r="IJ19" s="80"/>
      <c r="IK19" s="80"/>
      <c r="IL19" s="80"/>
      <c r="IM19" s="80"/>
      <c r="IN19" s="80"/>
      <c r="IO19" s="80"/>
      <c r="IP19" s="80"/>
      <c r="IQ19" s="80"/>
      <c r="IR19" s="80"/>
      <c r="IS19" s="80"/>
      <c r="IT19" s="80"/>
      <c r="IU19" s="80"/>
      <c r="IV19" s="80"/>
      <c r="IW19" s="80"/>
    </row>
    <row r="20" customFormat="false" ht="12.75" hidden="false" customHeight="false" outlineLevel="0" collapsed="false">
      <c r="A20" s="80"/>
      <c r="B20" s="81" t="s">
        <v>37</v>
      </c>
      <c r="C20" s="82" t="s">
        <v>132</v>
      </c>
      <c r="D20" s="82" t="s">
        <v>31</v>
      </c>
      <c r="E20" s="83" t="n">
        <v>36739</v>
      </c>
      <c r="F20" s="83" t="n">
        <v>37103</v>
      </c>
      <c r="G20" s="81" t="s">
        <v>133</v>
      </c>
      <c r="H20" s="81" t="s">
        <v>134</v>
      </c>
      <c r="I20" s="82" t="s">
        <v>135</v>
      </c>
      <c r="J20" s="84" t="n">
        <f aca="false">3.145/J$1</f>
        <v>0.101451612903226</v>
      </c>
      <c r="K20" s="85"/>
      <c r="L20" s="85"/>
      <c r="M20" s="85"/>
      <c r="N20" s="85"/>
      <c r="O20" s="86"/>
      <c r="P20" s="85"/>
      <c r="Q20" s="87" t="n">
        <v>68927</v>
      </c>
      <c r="R20" s="82" t="n">
        <v>4</v>
      </c>
      <c r="S20" s="81" t="s">
        <v>140</v>
      </c>
      <c r="T20" s="89" t="n">
        <f aca="false">+R20*J20*$J$1</f>
        <v>12.58</v>
      </c>
      <c r="U20" s="89"/>
      <c r="V20" s="90" t="n">
        <v>345112</v>
      </c>
      <c r="W20" s="81"/>
      <c r="X20" s="91"/>
      <c r="Y20" s="91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0"/>
      <c r="BE20" s="80"/>
      <c r="BF20" s="80"/>
      <c r="BG20" s="80"/>
      <c r="BH20" s="80"/>
      <c r="BI20" s="80"/>
      <c r="BJ20" s="80"/>
      <c r="BK20" s="80"/>
      <c r="BL20" s="80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0"/>
      <c r="CA20" s="80"/>
      <c r="CB20" s="80"/>
      <c r="CC20" s="80"/>
      <c r="CD20" s="80"/>
      <c r="CE20" s="80"/>
      <c r="CF20" s="80"/>
      <c r="CG20" s="80"/>
      <c r="CH20" s="80"/>
      <c r="CI20" s="80"/>
      <c r="CJ20" s="80"/>
      <c r="CK20" s="80"/>
      <c r="CL20" s="80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  <c r="DL20" s="80"/>
      <c r="DM20" s="80"/>
      <c r="DN20" s="80"/>
      <c r="DO20" s="80"/>
      <c r="DP20" s="80"/>
      <c r="DQ20" s="80"/>
      <c r="DR20" s="80"/>
      <c r="DS20" s="80"/>
      <c r="DT20" s="80"/>
      <c r="DU20" s="80"/>
      <c r="DV20" s="80"/>
      <c r="DW20" s="80"/>
      <c r="DX20" s="80"/>
      <c r="DY20" s="80"/>
      <c r="DZ20" s="80"/>
      <c r="EA20" s="80"/>
      <c r="EB20" s="80"/>
      <c r="EC20" s="80"/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0"/>
      <c r="EO20" s="80"/>
      <c r="EP20" s="80"/>
      <c r="EQ20" s="80"/>
      <c r="ER20" s="80"/>
      <c r="ES20" s="80"/>
      <c r="ET20" s="80"/>
      <c r="EU20" s="80"/>
      <c r="EV20" s="80"/>
      <c r="EW20" s="80"/>
      <c r="EX20" s="80"/>
      <c r="EY20" s="80"/>
      <c r="EZ20" s="80"/>
      <c r="FA20" s="80"/>
      <c r="FB20" s="80"/>
      <c r="FC20" s="80"/>
      <c r="FD20" s="80"/>
      <c r="FE20" s="80"/>
      <c r="FF20" s="80"/>
      <c r="FG20" s="80"/>
      <c r="FH20" s="80"/>
      <c r="FI20" s="80"/>
      <c r="FJ20" s="80"/>
      <c r="FK20" s="80"/>
      <c r="FL20" s="80"/>
      <c r="FM20" s="80"/>
      <c r="FN20" s="80"/>
      <c r="FO20" s="80"/>
      <c r="FP20" s="80"/>
      <c r="FQ20" s="80"/>
      <c r="FR20" s="80"/>
      <c r="FS20" s="80"/>
      <c r="FT20" s="80"/>
      <c r="FU20" s="80"/>
      <c r="FV20" s="80"/>
      <c r="FW20" s="80"/>
      <c r="FX20" s="80"/>
      <c r="FY20" s="80"/>
      <c r="FZ20" s="80"/>
      <c r="GA20" s="80"/>
      <c r="GB20" s="80"/>
      <c r="GC20" s="80"/>
      <c r="GD20" s="80"/>
      <c r="GE20" s="80"/>
      <c r="GF20" s="80"/>
      <c r="GG20" s="80"/>
      <c r="GH20" s="80"/>
      <c r="GI20" s="80"/>
      <c r="GJ20" s="80"/>
      <c r="GK20" s="80"/>
      <c r="GL20" s="80"/>
      <c r="GM20" s="80"/>
      <c r="GN20" s="80"/>
      <c r="GO20" s="80"/>
      <c r="GP20" s="80"/>
      <c r="GQ20" s="80"/>
      <c r="GR20" s="80"/>
      <c r="GS20" s="80"/>
      <c r="GT20" s="80"/>
      <c r="GU20" s="80"/>
      <c r="GV20" s="80"/>
      <c r="GW20" s="80"/>
      <c r="GX20" s="80"/>
      <c r="GY20" s="80"/>
      <c r="GZ20" s="80"/>
      <c r="HA20" s="80"/>
      <c r="HB20" s="80"/>
      <c r="HC20" s="80"/>
      <c r="HD20" s="80"/>
      <c r="HE20" s="80"/>
      <c r="HF20" s="80"/>
      <c r="HG20" s="80"/>
      <c r="HH20" s="80"/>
      <c r="HI20" s="80"/>
      <c r="HJ20" s="80"/>
      <c r="HK20" s="80"/>
      <c r="HL20" s="80"/>
      <c r="HM20" s="80"/>
      <c r="HN20" s="80"/>
      <c r="HO20" s="80"/>
      <c r="HP20" s="80"/>
      <c r="HQ20" s="80"/>
      <c r="HR20" s="80"/>
      <c r="HS20" s="80"/>
      <c r="HT20" s="80"/>
      <c r="HU20" s="80"/>
      <c r="HV20" s="80"/>
      <c r="HW20" s="80"/>
      <c r="HX20" s="80"/>
      <c r="HY20" s="80"/>
      <c r="HZ20" s="80"/>
      <c r="IA20" s="80"/>
      <c r="IB20" s="80"/>
      <c r="IC20" s="80"/>
      <c r="ID20" s="80"/>
      <c r="IE20" s="80"/>
      <c r="IF20" s="80"/>
      <c r="IG20" s="80"/>
      <c r="IH20" s="80"/>
      <c r="II20" s="80"/>
      <c r="IJ20" s="80"/>
      <c r="IK20" s="80"/>
      <c r="IL20" s="80"/>
      <c r="IM20" s="80"/>
      <c r="IN20" s="80"/>
      <c r="IO20" s="80"/>
      <c r="IP20" s="80"/>
      <c r="IQ20" s="80"/>
      <c r="IR20" s="80"/>
      <c r="IS20" s="80"/>
      <c r="IT20" s="80"/>
      <c r="IU20" s="80"/>
      <c r="IV20" s="80"/>
      <c r="IW20" s="80"/>
    </row>
    <row r="21" customFormat="false" ht="12.75" hidden="false" customHeight="false" outlineLevel="0" collapsed="false">
      <c r="A21" s="80"/>
      <c r="B21" s="81" t="s">
        <v>37</v>
      </c>
      <c r="C21" s="82" t="s">
        <v>132</v>
      </c>
      <c r="D21" s="82" t="s">
        <v>31</v>
      </c>
      <c r="E21" s="83" t="n">
        <v>36739</v>
      </c>
      <c r="F21" s="83" t="n">
        <v>37103</v>
      </c>
      <c r="G21" s="81" t="s">
        <v>133</v>
      </c>
      <c r="H21" s="81" t="s">
        <v>134</v>
      </c>
      <c r="I21" s="82" t="s">
        <v>135</v>
      </c>
      <c r="J21" s="84" t="n">
        <f aca="false">3.145/J$1</f>
        <v>0.101451612903226</v>
      </c>
      <c r="K21" s="85"/>
      <c r="L21" s="85"/>
      <c r="M21" s="85"/>
      <c r="N21" s="85"/>
      <c r="O21" s="86"/>
      <c r="P21" s="85"/>
      <c r="Q21" s="87" t="n">
        <v>68929</v>
      </c>
      <c r="R21" s="82" t="n">
        <v>48</v>
      </c>
      <c r="S21" s="81" t="s">
        <v>141</v>
      </c>
      <c r="T21" s="89" t="n">
        <f aca="false">+R21*J21*$J$1</f>
        <v>150.96</v>
      </c>
      <c r="U21" s="89"/>
      <c r="V21" s="90" t="n">
        <v>345091</v>
      </c>
      <c r="W21" s="81"/>
      <c r="X21" s="91"/>
      <c r="Y21" s="91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0"/>
      <c r="CA21" s="80"/>
      <c r="CB21" s="80"/>
      <c r="CC21" s="80"/>
      <c r="CD21" s="80"/>
      <c r="CE21" s="80"/>
      <c r="CF21" s="80"/>
      <c r="CG21" s="80"/>
      <c r="CH21" s="80"/>
      <c r="CI21" s="80"/>
      <c r="CJ21" s="80"/>
      <c r="CK21" s="80"/>
      <c r="CL21" s="80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  <c r="DL21" s="80"/>
      <c r="DM21" s="80"/>
      <c r="DN21" s="80"/>
      <c r="DO21" s="80"/>
      <c r="DP21" s="80"/>
      <c r="DQ21" s="80"/>
      <c r="DR21" s="80"/>
      <c r="DS21" s="80"/>
      <c r="DT21" s="80"/>
      <c r="DU21" s="80"/>
      <c r="DV21" s="80"/>
      <c r="DW21" s="80"/>
      <c r="DX21" s="80"/>
      <c r="DY21" s="80"/>
      <c r="DZ21" s="80"/>
      <c r="EA21" s="80"/>
      <c r="EB21" s="80"/>
      <c r="EC21" s="80"/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0"/>
      <c r="EO21" s="80"/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0"/>
      <c r="FF21" s="80"/>
      <c r="FG21" s="80"/>
      <c r="FH21" s="80"/>
      <c r="FI21" s="80"/>
      <c r="FJ21" s="80"/>
      <c r="FK21" s="80"/>
      <c r="FL21" s="80"/>
      <c r="FM21" s="80"/>
      <c r="FN21" s="80"/>
      <c r="FO21" s="80"/>
      <c r="FP21" s="80"/>
      <c r="FQ21" s="80"/>
      <c r="FR21" s="80"/>
      <c r="FS21" s="80"/>
      <c r="FT21" s="80"/>
      <c r="FU21" s="80"/>
      <c r="FV21" s="80"/>
      <c r="FW21" s="80"/>
      <c r="FX21" s="80"/>
      <c r="FY21" s="80"/>
      <c r="FZ21" s="80"/>
      <c r="GA21" s="80"/>
      <c r="GB21" s="80"/>
      <c r="GC21" s="80"/>
      <c r="GD21" s="80"/>
      <c r="GE21" s="80"/>
      <c r="GF21" s="80"/>
      <c r="GG21" s="80"/>
      <c r="GH21" s="80"/>
      <c r="GI21" s="80"/>
      <c r="GJ21" s="80"/>
      <c r="GK21" s="80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0"/>
      <c r="HI21" s="80"/>
      <c r="HJ21" s="80"/>
      <c r="HK21" s="80"/>
      <c r="HL21" s="80"/>
      <c r="HM21" s="80"/>
      <c r="HN21" s="80"/>
      <c r="HO21" s="80"/>
      <c r="HP21" s="80"/>
      <c r="HQ21" s="80"/>
      <c r="HR21" s="80"/>
      <c r="HS21" s="80"/>
      <c r="HT21" s="80"/>
      <c r="HU21" s="80"/>
      <c r="HV21" s="80"/>
      <c r="HW21" s="80"/>
      <c r="HX21" s="80"/>
      <c r="HY21" s="80"/>
      <c r="HZ21" s="80"/>
      <c r="IA21" s="80"/>
      <c r="IB21" s="80"/>
      <c r="IC21" s="80"/>
      <c r="ID21" s="80"/>
      <c r="IE21" s="80"/>
      <c r="IF21" s="80"/>
      <c r="IG21" s="80"/>
      <c r="IH21" s="80"/>
      <c r="II21" s="80"/>
      <c r="IJ21" s="80"/>
      <c r="IK21" s="80"/>
      <c r="IL21" s="80"/>
      <c r="IM21" s="80"/>
      <c r="IN21" s="80"/>
      <c r="IO21" s="80"/>
      <c r="IP21" s="80"/>
      <c r="IQ21" s="80"/>
      <c r="IR21" s="80"/>
      <c r="IS21" s="80"/>
      <c r="IT21" s="80"/>
      <c r="IU21" s="80"/>
      <c r="IV21" s="80"/>
      <c r="IW21" s="80"/>
    </row>
    <row r="22" customFormat="false" ht="12.75" hidden="false" customHeight="false" outlineLevel="0" collapsed="false">
      <c r="A22" s="80"/>
      <c r="B22" s="81" t="s">
        <v>37</v>
      </c>
      <c r="C22" s="82" t="s">
        <v>132</v>
      </c>
      <c r="D22" s="82" t="s">
        <v>31</v>
      </c>
      <c r="E22" s="83" t="n">
        <v>36770</v>
      </c>
      <c r="F22" s="83" t="n">
        <v>37134</v>
      </c>
      <c r="G22" s="81" t="s">
        <v>133</v>
      </c>
      <c r="H22" s="81" t="s">
        <v>134</v>
      </c>
      <c r="I22" s="82" t="s">
        <v>135</v>
      </c>
      <c r="J22" s="84" t="n">
        <f aca="false">3.145/J$1</f>
        <v>0.101451612903226</v>
      </c>
      <c r="K22" s="85"/>
      <c r="L22" s="85"/>
      <c r="M22" s="85"/>
      <c r="N22" s="85"/>
      <c r="O22" s="86"/>
      <c r="P22" s="85"/>
      <c r="Q22" s="87" t="n">
        <v>69145</v>
      </c>
      <c r="R22" s="82" t="n">
        <v>63</v>
      </c>
      <c r="S22" s="81" t="s">
        <v>142</v>
      </c>
      <c r="T22" s="89" t="n">
        <f aca="false">+R22*J22*J2</f>
        <v>0</v>
      </c>
      <c r="U22" s="89"/>
      <c r="V22" s="90" t="n">
        <v>372169</v>
      </c>
      <c r="W22" s="81"/>
      <c r="X22" s="91"/>
      <c r="Y22" s="91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80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0"/>
      <c r="CA22" s="80"/>
      <c r="CB22" s="80"/>
      <c r="CC22" s="80"/>
      <c r="CD22" s="80"/>
      <c r="CE22" s="80"/>
      <c r="CF22" s="80"/>
      <c r="CG22" s="80"/>
      <c r="CH22" s="80"/>
      <c r="CI22" s="80"/>
      <c r="CJ22" s="80"/>
      <c r="CK22" s="80"/>
      <c r="CL22" s="80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  <c r="DL22" s="80"/>
      <c r="DM22" s="80"/>
      <c r="DN22" s="80"/>
      <c r="DO22" s="80"/>
      <c r="DP22" s="80"/>
      <c r="DQ22" s="80"/>
      <c r="DR22" s="80"/>
      <c r="DS22" s="80"/>
      <c r="DT22" s="80"/>
      <c r="DU22" s="80"/>
      <c r="DV22" s="80"/>
      <c r="DW22" s="80"/>
      <c r="DX22" s="80"/>
      <c r="DY22" s="80"/>
      <c r="DZ22" s="80"/>
      <c r="EA22" s="80"/>
      <c r="EB22" s="80"/>
      <c r="EC22" s="80"/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0"/>
      <c r="EO22" s="80"/>
      <c r="EP22" s="80"/>
      <c r="EQ22" s="80"/>
      <c r="ER22" s="80"/>
      <c r="ES22" s="80"/>
      <c r="ET22" s="80"/>
      <c r="EU22" s="80"/>
      <c r="EV22" s="80"/>
      <c r="EW22" s="80"/>
      <c r="EX22" s="80"/>
      <c r="EY22" s="80"/>
      <c r="EZ22" s="80"/>
      <c r="FA22" s="80"/>
      <c r="FB22" s="80"/>
      <c r="FC22" s="80"/>
      <c r="FD22" s="80"/>
      <c r="FE22" s="80"/>
      <c r="FF22" s="80"/>
      <c r="FG22" s="80"/>
      <c r="FH22" s="80"/>
      <c r="FI22" s="80"/>
      <c r="FJ22" s="80"/>
      <c r="FK22" s="80"/>
      <c r="FL22" s="80"/>
      <c r="FM22" s="80"/>
      <c r="FN22" s="80"/>
      <c r="FO22" s="80"/>
      <c r="FP22" s="80"/>
      <c r="FQ22" s="80"/>
      <c r="FR22" s="80"/>
      <c r="FS22" s="80"/>
      <c r="FT22" s="80"/>
      <c r="FU22" s="80"/>
      <c r="FV22" s="80"/>
      <c r="FW22" s="80"/>
      <c r="FX22" s="80"/>
      <c r="FY22" s="80"/>
      <c r="FZ22" s="80"/>
      <c r="GA22" s="80"/>
      <c r="GB22" s="80"/>
      <c r="GC22" s="80"/>
      <c r="GD22" s="80"/>
      <c r="GE22" s="80"/>
      <c r="GF22" s="80"/>
      <c r="GG22" s="80"/>
      <c r="GH22" s="80"/>
      <c r="GI22" s="80"/>
      <c r="GJ22" s="80"/>
      <c r="GK22" s="80"/>
      <c r="GL22" s="80"/>
      <c r="GM22" s="80"/>
      <c r="GN22" s="80"/>
      <c r="GO22" s="80"/>
      <c r="GP22" s="80"/>
      <c r="GQ22" s="80"/>
      <c r="GR22" s="80"/>
      <c r="GS22" s="80"/>
      <c r="GT22" s="80"/>
      <c r="GU22" s="80"/>
      <c r="GV22" s="80"/>
      <c r="GW22" s="80"/>
      <c r="GX22" s="80"/>
      <c r="GY22" s="80"/>
      <c r="GZ22" s="80"/>
      <c r="HA22" s="80"/>
      <c r="HB22" s="80"/>
      <c r="HC22" s="80"/>
      <c r="HD22" s="80"/>
      <c r="HE22" s="80"/>
      <c r="HF22" s="80"/>
      <c r="HG22" s="80"/>
      <c r="HH22" s="80"/>
      <c r="HI22" s="80"/>
      <c r="HJ22" s="80"/>
      <c r="HK22" s="80"/>
      <c r="HL22" s="80"/>
      <c r="HM22" s="80"/>
      <c r="HN22" s="80"/>
      <c r="HO22" s="80"/>
      <c r="HP22" s="80"/>
      <c r="HQ22" s="80"/>
      <c r="HR22" s="80"/>
      <c r="HS22" s="80"/>
      <c r="HT22" s="80"/>
      <c r="HU22" s="80"/>
      <c r="HV22" s="80"/>
      <c r="HW22" s="80"/>
      <c r="HX22" s="80"/>
      <c r="HY22" s="80"/>
      <c r="HZ22" s="80"/>
      <c r="IA22" s="80"/>
      <c r="IB22" s="80"/>
      <c r="IC22" s="80"/>
      <c r="ID22" s="80"/>
      <c r="IE22" s="80"/>
      <c r="IF22" s="80"/>
      <c r="IG22" s="80"/>
      <c r="IH22" s="80"/>
      <c r="II22" s="80"/>
      <c r="IJ22" s="80"/>
      <c r="IK22" s="80"/>
      <c r="IL22" s="80"/>
      <c r="IM22" s="80"/>
      <c r="IN22" s="80"/>
      <c r="IO22" s="80"/>
      <c r="IP22" s="80"/>
      <c r="IQ22" s="80"/>
      <c r="IR22" s="80"/>
      <c r="IS22" s="80"/>
      <c r="IT22" s="80"/>
      <c r="IU22" s="80"/>
      <c r="IV22" s="80"/>
      <c r="IW22" s="80"/>
    </row>
    <row r="23" customFormat="false" ht="12.75" hidden="false" customHeight="false" outlineLevel="0" collapsed="false">
      <c r="A23" s="80"/>
      <c r="B23" s="81" t="s">
        <v>37</v>
      </c>
      <c r="C23" s="82" t="s">
        <v>132</v>
      </c>
      <c r="D23" s="82" t="s">
        <v>31</v>
      </c>
      <c r="E23" s="83" t="n">
        <v>36800</v>
      </c>
      <c r="F23" s="83" t="n">
        <v>37164</v>
      </c>
      <c r="G23" s="81" t="s">
        <v>133</v>
      </c>
      <c r="H23" s="81" t="s">
        <v>134</v>
      </c>
      <c r="I23" s="82" t="s">
        <v>135</v>
      </c>
      <c r="J23" s="84" t="n">
        <f aca="false">3.145/J$1</f>
        <v>0.101451612903226</v>
      </c>
      <c r="K23" s="85"/>
      <c r="L23" s="85"/>
      <c r="M23" s="85"/>
      <c r="N23" s="85"/>
      <c r="O23" s="86"/>
      <c r="P23" s="85"/>
      <c r="Q23" s="87" t="n">
        <v>69357</v>
      </c>
      <c r="R23" s="82" t="n">
        <v>13</v>
      </c>
      <c r="S23" s="81" t="s">
        <v>143</v>
      </c>
      <c r="T23" s="89" t="n">
        <f aca="false">+R23*J23*J1</f>
        <v>40.885</v>
      </c>
      <c r="U23" s="89"/>
      <c r="V23" s="90" t="n">
        <v>418249</v>
      </c>
      <c r="W23" s="81"/>
      <c r="X23" s="91"/>
      <c r="Y23" s="91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  <c r="CJ23" s="80"/>
      <c r="CK23" s="80"/>
      <c r="CL23" s="80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  <c r="DL23" s="80"/>
      <c r="DM23" s="80"/>
      <c r="DN23" s="80"/>
      <c r="DO23" s="80"/>
      <c r="DP23" s="80"/>
      <c r="DQ23" s="80"/>
      <c r="DR23" s="80"/>
      <c r="DS23" s="80"/>
      <c r="DT23" s="80"/>
      <c r="DU23" s="80"/>
      <c r="DV23" s="80"/>
      <c r="DW23" s="80"/>
      <c r="DX23" s="80"/>
      <c r="DY23" s="80"/>
      <c r="DZ23" s="80"/>
      <c r="EA23" s="80"/>
      <c r="EB23" s="80"/>
      <c r="EC23" s="80"/>
      <c r="ED23" s="80"/>
      <c r="EE23" s="80"/>
      <c r="EF23" s="80"/>
      <c r="EG23" s="80"/>
      <c r="EH23" s="80"/>
      <c r="EI23" s="80"/>
      <c r="EJ23" s="80"/>
      <c r="EK23" s="80"/>
      <c r="EL23" s="80"/>
      <c r="EM23" s="80"/>
      <c r="EN23" s="80"/>
      <c r="EO23" s="80"/>
      <c r="EP23" s="80"/>
      <c r="EQ23" s="80"/>
      <c r="ER23" s="80"/>
      <c r="ES23" s="80"/>
      <c r="ET23" s="80"/>
      <c r="EU23" s="80"/>
      <c r="EV23" s="80"/>
      <c r="EW23" s="80"/>
      <c r="EX23" s="80"/>
      <c r="EY23" s="80"/>
      <c r="EZ23" s="80"/>
      <c r="FA23" s="80"/>
      <c r="FB23" s="80"/>
      <c r="FC23" s="80"/>
      <c r="FD23" s="80"/>
      <c r="FE23" s="80"/>
      <c r="FF23" s="80"/>
      <c r="FG23" s="80"/>
      <c r="FH23" s="80"/>
      <c r="FI23" s="80"/>
      <c r="FJ23" s="80"/>
      <c r="FK23" s="80"/>
      <c r="FL23" s="80"/>
      <c r="FM23" s="80"/>
      <c r="FN23" s="80"/>
      <c r="FO23" s="80"/>
      <c r="FP23" s="80"/>
      <c r="FQ23" s="80"/>
      <c r="FR23" s="80"/>
      <c r="FS23" s="80"/>
      <c r="FT23" s="80"/>
      <c r="FU23" s="80"/>
      <c r="FV23" s="80"/>
      <c r="FW23" s="80"/>
      <c r="FX23" s="80"/>
      <c r="FY23" s="80"/>
      <c r="FZ23" s="80"/>
      <c r="GA23" s="80"/>
      <c r="GB23" s="80"/>
      <c r="GC23" s="80"/>
      <c r="GD23" s="80"/>
      <c r="GE23" s="80"/>
      <c r="GF23" s="80"/>
      <c r="GG23" s="80"/>
      <c r="GH23" s="80"/>
      <c r="GI23" s="80"/>
      <c r="GJ23" s="80"/>
      <c r="GK23" s="80"/>
      <c r="GL23" s="80"/>
      <c r="GM23" s="80"/>
      <c r="GN23" s="80"/>
      <c r="GO23" s="80"/>
      <c r="GP23" s="80"/>
      <c r="GQ23" s="80"/>
      <c r="GR23" s="80"/>
      <c r="GS23" s="80"/>
      <c r="GT23" s="80"/>
      <c r="GU23" s="80"/>
      <c r="GV23" s="80"/>
      <c r="GW23" s="80"/>
      <c r="GX23" s="80"/>
      <c r="GY23" s="80"/>
      <c r="GZ23" s="80"/>
      <c r="HA23" s="80"/>
      <c r="HB23" s="80"/>
      <c r="HC23" s="80"/>
      <c r="HD23" s="80"/>
      <c r="HE23" s="80"/>
      <c r="HF23" s="80"/>
      <c r="HG23" s="80"/>
      <c r="HH23" s="80"/>
      <c r="HI23" s="80"/>
      <c r="HJ23" s="80"/>
      <c r="HK23" s="80"/>
      <c r="HL23" s="80"/>
      <c r="HM23" s="80"/>
      <c r="HN23" s="80"/>
      <c r="HO23" s="80"/>
      <c r="HP23" s="80"/>
      <c r="HQ23" s="80"/>
      <c r="HR23" s="80"/>
      <c r="HS23" s="80"/>
      <c r="HT23" s="80"/>
      <c r="HU23" s="80"/>
      <c r="HV23" s="80"/>
      <c r="HW23" s="80"/>
      <c r="HX23" s="80"/>
      <c r="HY23" s="80"/>
      <c r="HZ23" s="80"/>
      <c r="IA23" s="80"/>
      <c r="IB23" s="80"/>
      <c r="IC23" s="80"/>
      <c r="ID23" s="80"/>
      <c r="IE23" s="80"/>
      <c r="IF23" s="80"/>
      <c r="IG23" s="80"/>
      <c r="IH23" s="80"/>
      <c r="II23" s="80"/>
      <c r="IJ23" s="80"/>
      <c r="IK23" s="80"/>
      <c r="IL23" s="80"/>
      <c r="IM23" s="80"/>
      <c r="IN23" s="80"/>
      <c r="IO23" s="80"/>
      <c r="IP23" s="80"/>
      <c r="IQ23" s="80"/>
      <c r="IR23" s="80"/>
      <c r="IS23" s="80"/>
      <c r="IT23" s="80"/>
      <c r="IU23" s="80"/>
      <c r="IV23" s="80"/>
      <c r="IW23" s="80"/>
    </row>
    <row r="24" customFormat="false" ht="12.75" hidden="false" customHeight="false" outlineLevel="0" collapsed="false">
      <c r="A24" s="80"/>
      <c r="B24" s="81" t="s">
        <v>37</v>
      </c>
      <c r="C24" s="82" t="s">
        <v>132</v>
      </c>
      <c r="D24" s="82" t="s">
        <v>31</v>
      </c>
      <c r="E24" s="83" t="n">
        <v>36831</v>
      </c>
      <c r="F24" s="83" t="n">
        <v>37195</v>
      </c>
      <c r="G24" s="81" t="s">
        <v>133</v>
      </c>
      <c r="H24" s="81" t="s">
        <v>134</v>
      </c>
      <c r="I24" s="82" t="s">
        <v>135</v>
      </c>
      <c r="J24" s="84" t="n">
        <f aca="false">3.145/J$1</f>
        <v>0.101451612903226</v>
      </c>
      <c r="K24" s="85"/>
      <c r="L24" s="85"/>
      <c r="M24" s="85"/>
      <c r="N24" s="85"/>
      <c r="O24" s="86"/>
      <c r="P24" s="85"/>
      <c r="Q24" s="87" t="n">
        <v>69710</v>
      </c>
      <c r="R24" s="82" t="n">
        <v>129</v>
      </c>
      <c r="S24" s="81" t="s">
        <v>144</v>
      </c>
      <c r="T24" s="89" t="n">
        <f aca="false">+R24*J24*J2</f>
        <v>0</v>
      </c>
      <c r="U24" s="89"/>
      <c r="V24" s="90" t="n">
        <v>418249</v>
      </c>
      <c r="W24" s="81"/>
      <c r="X24" s="91"/>
      <c r="Y24" s="91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12.75" hidden="false" customHeight="false" outlineLevel="0" collapsed="false">
      <c r="A25" s="80"/>
      <c r="B25" s="81" t="s">
        <v>37</v>
      </c>
      <c r="C25" s="82" t="s">
        <v>132</v>
      </c>
      <c r="D25" s="82" t="s">
        <v>31</v>
      </c>
      <c r="E25" s="83" t="n">
        <v>36861</v>
      </c>
      <c r="F25" s="83" t="n">
        <v>37225</v>
      </c>
      <c r="G25" s="81" t="s">
        <v>133</v>
      </c>
      <c r="H25" s="81" t="s">
        <v>134</v>
      </c>
      <c r="I25" s="82" t="s">
        <v>135</v>
      </c>
      <c r="J25" s="84" t="n">
        <f aca="false">3.145/J1</f>
        <v>0.101451612903226</v>
      </c>
      <c r="K25" s="85"/>
      <c r="L25" s="85"/>
      <c r="M25" s="85"/>
      <c r="N25" s="85"/>
      <c r="O25" s="86"/>
      <c r="P25" s="85"/>
      <c r="Q25" s="87" t="n">
        <v>69947</v>
      </c>
      <c r="R25" s="82" t="n">
        <v>3</v>
      </c>
      <c r="S25" s="81" t="s">
        <v>145</v>
      </c>
      <c r="T25" s="89" t="n">
        <f aca="false">+R25*J25*J1</f>
        <v>9.435</v>
      </c>
      <c r="U25" s="89"/>
      <c r="V25" s="90" t="n">
        <v>491030</v>
      </c>
      <c r="W25" s="81"/>
      <c r="X25" s="91"/>
      <c r="Y25" s="91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  <c r="IW25" s="80"/>
    </row>
    <row r="26" customFormat="false" ht="12.75" hidden="false" customHeight="false" outlineLevel="0" collapsed="false">
      <c r="A26" s="92"/>
      <c r="B26" s="53"/>
      <c r="C26" s="51"/>
      <c r="D26" s="51"/>
      <c r="E26" s="52"/>
      <c r="F26" s="52"/>
      <c r="G26" s="53"/>
      <c r="H26" s="53"/>
      <c r="I26" s="51"/>
      <c r="J26" s="65"/>
      <c r="K26" s="56"/>
      <c r="L26" s="56"/>
      <c r="M26" s="56"/>
      <c r="N26" s="56"/>
      <c r="O26" s="57"/>
      <c r="P26" s="56"/>
      <c r="Q26" s="58"/>
      <c r="R26" s="51"/>
      <c r="S26" s="53"/>
      <c r="T26" s="93"/>
      <c r="U26" s="93"/>
      <c r="V26" s="94"/>
      <c r="W26" s="53"/>
      <c r="X26" s="79"/>
      <c r="Y26" s="79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  <c r="IW26" s="92"/>
    </row>
    <row r="27" customFormat="false" ht="12.75" hidden="false" customHeight="false" outlineLevel="0" collapsed="false">
      <c r="B27" s="53"/>
      <c r="C27" s="51"/>
      <c r="D27" s="51"/>
      <c r="E27" s="52"/>
      <c r="F27" s="52"/>
      <c r="G27" s="53"/>
      <c r="H27" s="53"/>
      <c r="I27" s="51"/>
      <c r="J27" s="65"/>
      <c r="K27" s="56"/>
      <c r="L27" s="95"/>
      <c r="M27" s="56"/>
      <c r="N27" s="56"/>
      <c r="O27" s="57"/>
      <c r="P27" s="56"/>
      <c r="Q27" s="58"/>
      <c r="R27" s="59" t="n">
        <f aca="false">SUM(R12:R25)</f>
        <v>1783</v>
      </c>
      <c r="S27" s="51"/>
      <c r="T27" s="93" t="n">
        <f aca="false">SUM(T12:T26)</f>
        <v>5003.695</v>
      </c>
      <c r="U27" s="93"/>
      <c r="V27" s="94"/>
      <c r="W27" s="53"/>
      <c r="X27" s="79"/>
      <c r="Y27" s="79"/>
    </row>
    <row r="28" customFormat="false" ht="12.75" hidden="false" customHeight="false" outlineLevel="0" collapsed="false">
      <c r="B28" s="70" t="s">
        <v>112</v>
      </c>
      <c r="C28" s="71" t="s">
        <v>113</v>
      </c>
      <c r="D28" s="71" t="s">
        <v>114</v>
      </c>
      <c r="E28" s="72" t="s">
        <v>115</v>
      </c>
      <c r="F28" s="72"/>
      <c r="G28" s="70" t="s">
        <v>116</v>
      </c>
      <c r="H28" s="70" t="s">
        <v>117</v>
      </c>
      <c r="I28" s="71" t="s">
        <v>118</v>
      </c>
      <c r="J28" s="73" t="s">
        <v>119</v>
      </c>
      <c r="K28" s="71" t="s">
        <v>120</v>
      </c>
      <c r="L28" s="71" t="s">
        <v>121</v>
      </c>
      <c r="M28" s="71" t="s">
        <v>122</v>
      </c>
      <c r="N28" s="71" t="s">
        <v>123</v>
      </c>
      <c r="O28" s="74" t="s">
        <v>124</v>
      </c>
      <c r="P28" s="71" t="s">
        <v>125</v>
      </c>
      <c r="Q28" s="75" t="s">
        <v>126</v>
      </c>
      <c r="R28" s="71" t="s">
        <v>127</v>
      </c>
      <c r="S28" s="70" t="s">
        <v>128</v>
      </c>
      <c r="T28" s="76" t="s">
        <v>129</v>
      </c>
      <c r="U28" s="76" t="s">
        <v>130</v>
      </c>
      <c r="V28" s="77" t="s">
        <v>131</v>
      </c>
      <c r="W28" s="78" t="e">
        <f aca="false">+#REF!</f>
        <v>#REF!</v>
      </c>
      <c r="X28" s="79"/>
      <c r="Y28" s="79"/>
    </row>
    <row r="29" customFormat="false" ht="12" hidden="false" customHeight="true" outlineLevel="0" collapsed="false">
      <c r="A29" s="80"/>
      <c r="B29" s="81" t="s">
        <v>37</v>
      </c>
      <c r="C29" s="82" t="s">
        <v>146</v>
      </c>
      <c r="D29" s="82" t="s">
        <v>147</v>
      </c>
      <c r="E29" s="83" t="n">
        <v>36892</v>
      </c>
      <c r="F29" s="83" t="n">
        <v>36922</v>
      </c>
      <c r="G29" s="81"/>
      <c r="H29" s="81"/>
      <c r="I29" s="82" t="s">
        <v>148</v>
      </c>
      <c r="J29" s="84" t="n">
        <v>0.02834</v>
      </c>
      <c r="K29" s="85" t="n">
        <v>0</v>
      </c>
      <c r="L29" s="85" t="n">
        <v>0.0022</v>
      </c>
      <c r="M29" s="85" t="n">
        <v>0.0072</v>
      </c>
      <c r="N29" s="85" t="n">
        <v>0</v>
      </c>
      <c r="O29" s="86" t="n">
        <v>0</v>
      </c>
      <c r="P29" s="85" t="n">
        <f aca="false">SUM(J29:N29)</f>
        <v>0.03774</v>
      </c>
      <c r="Q29" s="87" t="s">
        <v>149</v>
      </c>
      <c r="R29" s="82" t="n">
        <v>246734</v>
      </c>
      <c r="S29" s="81" t="s">
        <v>150</v>
      </c>
      <c r="T29" s="89" t="n">
        <f aca="false">+J29*R29</f>
        <v>6992.44156</v>
      </c>
      <c r="U29" s="89"/>
      <c r="V29" s="90" t="n">
        <v>561804</v>
      </c>
      <c r="W29" s="96" t="s">
        <v>109</v>
      </c>
      <c r="X29" s="91"/>
      <c r="Y29" s="91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12" hidden="false" customHeight="true" outlineLevel="0" collapsed="false">
      <c r="A30" s="80"/>
      <c r="B30" s="81" t="s">
        <v>37</v>
      </c>
      <c r="C30" s="82" t="s">
        <v>146</v>
      </c>
      <c r="D30" s="82" t="s">
        <v>147</v>
      </c>
      <c r="E30" s="83" t="n">
        <v>36892</v>
      </c>
      <c r="F30" s="83" t="n">
        <v>36922</v>
      </c>
      <c r="G30" s="81"/>
      <c r="H30" s="81"/>
      <c r="I30" s="82" t="s">
        <v>148</v>
      </c>
      <c r="J30" s="84" t="n">
        <f aca="false">1.544/J1</f>
        <v>0.0498064516129032</v>
      </c>
      <c r="K30" s="85" t="n">
        <v>0</v>
      </c>
      <c r="L30" s="85" t="n">
        <v>0.0022</v>
      </c>
      <c r="M30" s="85" t="n">
        <v>0.0072</v>
      </c>
      <c r="N30" s="85" t="n">
        <v>0</v>
      </c>
      <c r="O30" s="86" t="n">
        <v>0</v>
      </c>
      <c r="P30" s="85" t="n">
        <f aca="false">SUM(J30:N30)</f>
        <v>0.0592064516129032</v>
      </c>
      <c r="Q30" s="87" t="s">
        <v>149</v>
      </c>
      <c r="R30" s="82" t="n">
        <v>4984</v>
      </c>
      <c r="S30" s="81" t="s">
        <v>151</v>
      </c>
      <c r="T30" s="89" t="n">
        <f aca="false">+J30*R30*30</f>
        <v>7447.06064516129</v>
      </c>
      <c r="U30" s="89"/>
      <c r="V30" s="90" t="n">
        <v>561804</v>
      </c>
      <c r="W30" s="96" t="s">
        <v>109</v>
      </c>
      <c r="X30" s="91"/>
      <c r="Y30" s="91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  <c r="IW30" s="80"/>
    </row>
    <row r="31" customFormat="false" ht="12" hidden="false" customHeight="true" outlineLevel="0" collapsed="false">
      <c r="A31" s="80"/>
      <c r="B31" s="81" t="s">
        <v>37</v>
      </c>
      <c r="C31" s="82" t="s">
        <v>146</v>
      </c>
      <c r="D31" s="82" t="s">
        <v>147</v>
      </c>
      <c r="E31" s="83" t="n">
        <v>36892</v>
      </c>
      <c r="F31" s="83" t="n">
        <v>36922</v>
      </c>
      <c r="G31" s="81"/>
      <c r="H31" s="81"/>
      <c r="I31" s="82" t="s">
        <v>148</v>
      </c>
      <c r="J31" s="84" t="n">
        <v>0.02834</v>
      </c>
      <c r="K31" s="85" t="n">
        <v>0</v>
      </c>
      <c r="L31" s="85" t="n">
        <v>0.0022</v>
      </c>
      <c r="M31" s="85" t="n">
        <v>0.0072</v>
      </c>
      <c r="N31" s="85" t="n">
        <v>0</v>
      </c>
      <c r="O31" s="86" t="n">
        <v>0</v>
      </c>
      <c r="P31" s="85" t="n">
        <f aca="false">SUM(J31:N31)</f>
        <v>0.03774</v>
      </c>
      <c r="Q31" s="87" t="s">
        <v>149</v>
      </c>
      <c r="R31" s="82" t="n">
        <v>3783</v>
      </c>
      <c r="S31" s="81" t="s">
        <v>150</v>
      </c>
      <c r="T31" s="89" t="n">
        <f aca="false">+J31*R31</f>
        <v>107.21022</v>
      </c>
      <c r="U31" s="89"/>
      <c r="V31" s="90" t="n">
        <v>561798</v>
      </c>
      <c r="W31" s="96" t="s">
        <v>109</v>
      </c>
      <c r="X31" s="91"/>
      <c r="Y31" s="91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  <c r="IW31" s="80"/>
    </row>
    <row r="32" customFormat="false" ht="12.75" hidden="false" customHeight="false" outlineLevel="0" collapsed="false">
      <c r="A32" s="80"/>
      <c r="B32" s="81" t="s">
        <v>37</v>
      </c>
      <c r="C32" s="82" t="s">
        <v>146</v>
      </c>
      <c r="D32" s="82" t="s">
        <v>147</v>
      </c>
      <c r="E32" s="83" t="n">
        <v>36892</v>
      </c>
      <c r="F32" s="83" t="n">
        <v>36922</v>
      </c>
      <c r="G32" s="81"/>
      <c r="H32" s="81"/>
      <c r="I32" s="82" t="s">
        <v>148</v>
      </c>
      <c r="J32" s="84" t="n">
        <f aca="false">1.544/J1</f>
        <v>0.0498064516129032</v>
      </c>
      <c r="K32" s="85" t="n">
        <v>0</v>
      </c>
      <c r="L32" s="85" t="n">
        <v>0.0022</v>
      </c>
      <c r="M32" s="85" t="n">
        <v>0.0072</v>
      </c>
      <c r="N32" s="85" t="n">
        <v>0</v>
      </c>
      <c r="O32" s="86" t="n">
        <v>0</v>
      </c>
      <c r="P32" s="85" t="n">
        <f aca="false">SUM(J32:N32)</f>
        <v>0.0592064516129032</v>
      </c>
      <c r="Q32" s="87" t="s">
        <v>149</v>
      </c>
      <c r="R32" s="82" t="n">
        <v>76</v>
      </c>
      <c r="S32" s="81" t="s">
        <v>151</v>
      </c>
      <c r="T32" s="89" t="n">
        <f aca="false">+J32*R32*30</f>
        <v>113.558709677419</v>
      </c>
      <c r="U32" s="89"/>
      <c r="V32" s="90" t="n">
        <v>561798</v>
      </c>
      <c r="W32" s="96" t="s">
        <v>109</v>
      </c>
      <c r="X32" s="91"/>
      <c r="Y32" s="91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</row>
    <row r="33" customFormat="false" ht="12" hidden="false" customHeight="true" outlineLevel="0" collapsed="false">
      <c r="A33" s="80"/>
      <c r="B33" s="81" t="s">
        <v>37</v>
      </c>
      <c r="C33" s="82" t="s">
        <v>146</v>
      </c>
      <c r="D33" s="82" t="s">
        <v>147</v>
      </c>
      <c r="E33" s="83" t="n">
        <v>36861</v>
      </c>
      <c r="F33" s="83" t="n">
        <v>37864</v>
      </c>
      <c r="G33" s="81"/>
      <c r="H33" s="81"/>
      <c r="I33" s="82" t="s">
        <v>148</v>
      </c>
      <c r="J33" s="84" t="n">
        <v>0.02834</v>
      </c>
      <c r="K33" s="85" t="n">
        <v>0</v>
      </c>
      <c r="L33" s="85" t="n">
        <v>0.0022</v>
      </c>
      <c r="M33" s="85" t="n">
        <v>0.0072</v>
      </c>
      <c r="N33" s="85" t="n">
        <v>0</v>
      </c>
      <c r="O33" s="86" t="n">
        <v>0</v>
      </c>
      <c r="P33" s="85" t="n">
        <f aca="false">SUM(J33:N33)</f>
        <v>0.03774</v>
      </c>
      <c r="Q33" s="87" t="s">
        <v>149</v>
      </c>
      <c r="R33" s="82" t="n">
        <v>8749</v>
      </c>
      <c r="S33" s="81" t="s">
        <v>150</v>
      </c>
      <c r="T33" s="89" t="n">
        <f aca="false">+J33*R33</f>
        <v>247.94666</v>
      </c>
      <c r="U33" s="89"/>
      <c r="V33" s="90" t="n">
        <v>506329</v>
      </c>
      <c r="W33" s="81"/>
      <c r="X33" s="91"/>
      <c r="Y33" s="91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  <c r="IW33" s="80"/>
    </row>
    <row r="34" customFormat="false" ht="12" hidden="false" customHeight="true" outlineLevel="0" collapsed="false">
      <c r="A34" s="80"/>
      <c r="B34" s="81" t="s">
        <v>37</v>
      </c>
      <c r="C34" s="82" t="s">
        <v>146</v>
      </c>
      <c r="D34" s="82" t="s">
        <v>147</v>
      </c>
      <c r="E34" s="83" t="n">
        <v>36861</v>
      </c>
      <c r="F34" s="83" t="n">
        <v>37864</v>
      </c>
      <c r="G34" s="81"/>
      <c r="H34" s="81"/>
      <c r="I34" s="82" t="s">
        <v>148</v>
      </c>
      <c r="J34" s="84" t="n">
        <f aca="false">1.544/31</f>
        <v>0.0498064516129032</v>
      </c>
      <c r="K34" s="85" t="n">
        <v>0</v>
      </c>
      <c r="L34" s="85" t="n">
        <v>0.0022</v>
      </c>
      <c r="M34" s="85" t="n">
        <v>0.0072</v>
      </c>
      <c r="N34" s="85" t="n">
        <v>0</v>
      </c>
      <c r="O34" s="86" t="n">
        <v>0</v>
      </c>
      <c r="P34" s="85" t="n">
        <f aca="false">SUM(J34:N34)</f>
        <v>0.0592064516129032</v>
      </c>
      <c r="Q34" s="87" t="s">
        <v>149</v>
      </c>
      <c r="R34" s="82" t="n">
        <v>176</v>
      </c>
      <c r="S34" s="81" t="s">
        <v>151</v>
      </c>
      <c r="T34" s="89" t="n">
        <f aca="false">+J34*R34*30</f>
        <v>262.978064516129</v>
      </c>
      <c r="U34" s="89" t="s">
        <v>109</v>
      </c>
      <c r="V34" s="90" t="n">
        <v>506329</v>
      </c>
      <c r="W34" s="81"/>
      <c r="X34" s="91"/>
      <c r="Y34" s="91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0"/>
    </row>
    <row r="35" customFormat="false" ht="12" hidden="false" customHeight="true" outlineLevel="0" collapsed="false">
      <c r="A35" s="80"/>
      <c r="B35" s="81" t="s">
        <v>37</v>
      </c>
      <c r="C35" s="82" t="s">
        <v>146</v>
      </c>
      <c r="D35" s="82" t="s">
        <v>147</v>
      </c>
      <c r="E35" s="83" t="n">
        <v>36861</v>
      </c>
      <c r="F35" s="83" t="n">
        <v>37864</v>
      </c>
      <c r="G35" s="81"/>
      <c r="H35" s="81"/>
      <c r="I35" s="82" t="s">
        <v>148</v>
      </c>
      <c r="J35" s="84" t="n">
        <v>0.02834</v>
      </c>
      <c r="K35" s="85" t="n">
        <v>0</v>
      </c>
      <c r="L35" s="85" t="n">
        <v>0.0022</v>
      </c>
      <c r="M35" s="85" t="n">
        <v>0.0072</v>
      </c>
      <c r="N35" s="85" t="n">
        <v>0</v>
      </c>
      <c r="O35" s="86" t="n">
        <v>0</v>
      </c>
      <c r="P35" s="85" t="n">
        <f aca="false">SUM(J35:N35)</f>
        <v>0.03774</v>
      </c>
      <c r="Q35" s="87" t="s">
        <v>149</v>
      </c>
      <c r="R35" s="82" t="n">
        <v>578157</v>
      </c>
      <c r="S35" s="81" t="s">
        <v>150</v>
      </c>
      <c r="T35" s="89" t="n">
        <f aca="false">+J35*R35</f>
        <v>16384.96938</v>
      </c>
      <c r="U35" s="89"/>
      <c r="V35" s="90" t="n">
        <v>506338</v>
      </c>
      <c r="W35" s="81"/>
      <c r="X35" s="91"/>
      <c r="Y35" s="91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  <c r="IW35" s="80"/>
    </row>
    <row r="36" customFormat="false" ht="12" hidden="false" customHeight="true" outlineLevel="0" collapsed="false">
      <c r="A36" s="80"/>
      <c r="B36" s="81" t="s">
        <v>37</v>
      </c>
      <c r="C36" s="82" t="s">
        <v>146</v>
      </c>
      <c r="D36" s="82" t="s">
        <v>147</v>
      </c>
      <c r="E36" s="83" t="n">
        <v>36861</v>
      </c>
      <c r="F36" s="83" t="n">
        <v>37864</v>
      </c>
      <c r="G36" s="81"/>
      <c r="H36" s="81"/>
      <c r="I36" s="82" t="s">
        <v>148</v>
      </c>
      <c r="J36" s="84" t="n">
        <f aca="false">1.544/31</f>
        <v>0.0498064516129032</v>
      </c>
      <c r="K36" s="85" t="n">
        <v>0</v>
      </c>
      <c r="L36" s="85" t="n">
        <v>0.0022</v>
      </c>
      <c r="M36" s="85" t="n">
        <v>0.0072</v>
      </c>
      <c r="N36" s="85" t="n">
        <v>0</v>
      </c>
      <c r="O36" s="86" t="n">
        <v>0</v>
      </c>
      <c r="P36" s="85" t="n">
        <f aca="false">SUM(J36:N36)</f>
        <v>0.0592064516129032</v>
      </c>
      <c r="Q36" s="87" t="s">
        <v>149</v>
      </c>
      <c r="R36" s="82" t="n">
        <v>11675</v>
      </c>
      <c r="S36" s="81" t="s">
        <v>151</v>
      </c>
      <c r="T36" s="89" t="n">
        <f aca="false">+J36*R36*30</f>
        <v>17444.7096774194</v>
      </c>
      <c r="U36" s="89"/>
      <c r="V36" s="90" t="n">
        <v>506338</v>
      </c>
      <c r="W36" s="81"/>
      <c r="X36" s="91"/>
      <c r="Y36" s="91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  <c r="IW36" s="80"/>
    </row>
    <row r="37" customFormat="false" ht="12" hidden="false" customHeight="true" outlineLevel="0" collapsed="false">
      <c r="A37" s="80"/>
      <c r="B37" s="81" t="s">
        <v>37</v>
      </c>
      <c r="C37" s="82" t="s">
        <v>146</v>
      </c>
      <c r="D37" s="82" t="s">
        <v>147</v>
      </c>
      <c r="E37" s="83" t="n">
        <v>36861</v>
      </c>
      <c r="F37" s="83" t="n">
        <v>37864</v>
      </c>
      <c r="G37" s="81" t="s">
        <v>152</v>
      </c>
      <c r="H37" s="81" t="s">
        <v>153</v>
      </c>
      <c r="I37" s="82" t="s">
        <v>154</v>
      </c>
      <c r="J37" s="84" t="n">
        <f aca="false">10.913/J1</f>
        <v>0.352032258064516</v>
      </c>
      <c r="K37" s="85"/>
      <c r="L37" s="85"/>
      <c r="M37" s="85"/>
      <c r="N37" s="85"/>
      <c r="O37" s="86"/>
      <c r="P37" s="85"/>
      <c r="Q37" s="87" t="s">
        <v>155</v>
      </c>
      <c r="R37" s="82" t="n">
        <v>4568</v>
      </c>
      <c r="S37" s="97" t="n">
        <v>2000002527</v>
      </c>
      <c r="T37" s="89" t="n">
        <f aca="false">+J37*R37*30</f>
        <v>48242.5006451613</v>
      </c>
      <c r="U37" s="89"/>
      <c r="V37" s="90" t="n">
        <v>506323</v>
      </c>
      <c r="W37" s="81"/>
      <c r="X37" s="91"/>
      <c r="Y37" s="91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  <c r="IW37" s="80"/>
    </row>
    <row r="38" customFormat="false" ht="12" hidden="false" customHeight="true" outlineLevel="0" collapsed="false">
      <c r="A38" s="98"/>
      <c r="B38" s="99" t="s">
        <v>37</v>
      </c>
      <c r="C38" s="100" t="s">
        <v>146</v>
      </c>
      <c r="D38" s="100" t="s">
        <v>147</v>
      </c>
      <c r="E38" s="101" t="n">
        <v>36800</v>
      </c>
      <c r="F38" s="101" t="n">
        <v>36830</v>
      </c>
      <c r="G38" s="99" t="s">
        <v>152</v>
      </c>
      <c r="H38" s="99" t="s">
        <v>153</v>
      </c>
      <c r="I38" s="100" t="s">
        <v>154</v>
      </c>
      <c r="J38" s="102" t="n">
        <f aca="false">10.913/J1</f>
        <v>0.352032258064516</v>
      </c>
      <c r="K38" s="103"/>
      <c r="L38" s="103"/>
      <c r="M38" s="103"/>
      <c r="N38" s="103"/>
      <c r="O38" s="104"/>
      <c r="P38" s="103"/>
      <c r="Q38" s="105" t="s">
        <v>155</v>
      </c>
      <c r="R38" s="100"/>
      <c r="S38" s="106" t="s">
        <v>156</v>
      </c>
      <c r="T38" s="107" t="n">
        <f aca="false">+R38*J38*30</f>
        <v>0</v>
      </c>
      <c r="U38" s="107"/>
      <c r="V38" s="108" t="n">
        <v>418602</v>
      </c>
      <c r="W38" s="99"/>
      <c r="X38" s="109"/>
      <c r="Y38" s="109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98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98"/>
      <c r="CL38" s="98"/>
      <c r="CM38" s="98"/>
      <c r="CN38" s="98"/>
      <c r="CO38" s="98"/>
      <c r="CP38" s="98"/>
      <c r="CQ38" s="98"/>
      <c r="CR38" s="98"/>
      <c r="CS38" s="98"/>
      <c r="CT38" s="98"/>
      <c r="CU38" s="98"/>
      <c r="CV38" s="98"/>
      <c r="CW38" s="98"/>
      <c r="CX38" s="98"/>
      <c r="CY38" s="98"/>
      <c r="CZ38" s="98"/>
      <c r="DA38" s="98"/>
      <c r="DB38" s="98"/>
      <c r="DC38" s="98"/>
      <c r="DD38" s="98"/>
      <c r="DE38" s="98"/>
      <c r="DF38" s="98"/>
      <c r="DG38" s="98"/>
      <c r="DH38" s="98"/>
      <c r="DI38" s="98"/>
      <c r="DJ38" s="98"/>
      <c r="DK38" s="98"/>
      <c r="DL38" s="98"/>
      <c r="DM38" s="98"/>
      <c r="DN38" s="98"/>
      <c r="DO38" s="98"/>
      <c r="DP38" s="98"/>
      <c r="DQ38" s="98"/>
      <c r="DR38" s="98"/>
      <c r="DS38" s="98"/>
      <c r="DT38" s="98"/>
      <c r="DU38" s="98"/>
      <c r="DV38" s="98"/>
      <c r="DW38" s="98"/>
      <c r="DX38" s="98"/>
      <c r="DY38" s="98"/>
      <c r="DZ38" s="98"/>
      <c r="EA38" s="98"/>
      <c r="EB38" s="98"/>
      <c r="EC38" s="98"/>
      <c r="ED38" s="98"/>
      <c r="EE38" s="98"/>
      <c r="EF38" s="98"/>
      <c r="EG38" s="98"/>
      <c r="EH38" s="98"/>
      <c r="EI38" s="98"/>
      <c r="EJ38" s="98"/>
      <c r="EK38" s="98"/>
      <c r="EL38" s="98"/>
      <c r="EM38" s="98"/>
      <c r="EN38" s="98"/>
      <c r="EO38" s="98"/>
      <c r="EP38" s="98"/>
      <c r="EQ38" s="98"/>
      <c r="ER38" s="98"/>
      <c r="ES38" s="98"/>
      <c r="ET38" s="98"/>
      <c r="EU38" s="98"/>
      <c r="EV38" s="98"/>
      <c r="EW38" s="98"/>
      <c r="EX38" s="98"/>
      <c r="EY38" s="98"/>
      <c r="EZ38" s="98"/>
      <c r="FA38" s="98"/>
      <c r="FB38" s="98"/>
      <c r="FC38" s="98"/>
      <c r="FD38" s="98"/>
      <c r="FE38" s="98"/>
      <c r="FF38" s="98"/>
      <c r="FG38" s="98"/>
      <c r="FH38" s="98"/>
      <c r="FI38" s="98"/>
      <c r="FJ38" s="98"/>
      <c r="FK38" s="98"/>
      <c r="FL38" s="98"/>
      <c r="FM38" s="98"/>
      <c r="FN38" s="98"/>
      <c r="FO38" s="98"/>
      <c r="FP38" s="98"/>
      <c r="FQ38" s="98"/>
      <c r="FR38" s="98"/>
      <c r="FS38" s="98"/>
      <c r="FT38" s="98"/>
      <c r="FU38" s="98"/>
      <c r="FV38" s="98"/>
      <c r="FW38" s="98"/>
      <c r="FX38" s="98"/>
      <c r="FY38" s="98"/>
      <c r="FZ38" s="98"/>
      <c r="GA38" s="98"/>
      <c r="GB38" s="98"/>
      <c r="GC38" s="98"/>
      <c r="GD38" s="98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</row>
    <row r="39" customFormat="false" ht="12" hidden="false" customHeight="true" outlineLevel="0" collapsed="false">
      <c r="A39" s="80"/>
      <c r="B39" s="81" t="s">
        <v>37</v>
      </c>
      <c r="C39" s="82" t="s">
        <v>146</v>
      </c>
      <c r="D39" s="82" t="s">
        <v>147</v>
      </c>
      <c r="E39" s="83" t="n">
        <v>36770</v>
      </c>
      <c r="F39" s="83" t="n">
        <v>37864</v>
      </c>
      <c r="G39" s="81" t="s">
        <v>152</v>
      </c>
      <c r="H39" s="81" t="s">
        <v>153</v>
      </c>
      <c r="I39" s="82" t="s">
        <v>154</v>
      </c>
      <c r="J39" s="84" t="n">
        <f aca="false">10.913/J1</f>
        <v>0.352032258064516</v>
      </c>
      <c r="K39" s="85"/>
      <c r="L39" s="85"/>
      <c r="M39" s="85"/>
      <c r="N39" s="85"/>
      <c r="O39" s="86"/>
      <c r="P39" s="85"/>
      <c r="Q39" s="87" t="s">
        <v>155</v>
      </c>
      <c r="R39" s="82" t="n">
        <f aca="false">16156*1.02</f>
        <v>16479.12</v>
      </c>
      <c r="S39" s="96" t="s">
        <v>157</v>
      </c>
      <c r="T39" s="89" t="n">
        <f aca="false">+R39*J39*30</f>
        <v>174035.454735484</v>
      </c>
      <c r="U39" s="89"/>
      <c r="V39" s="90" t="n">
        <v>380770</v>
      </c>
      <c r="W39" s="81"/>
      <c r="X39" s="91"/>
      <c r="Y39" s="91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  <c r="IW39" s="80"/>
    </row>
    <row r="40" customFormat="false" ht="12" hidden="false" customHeight="true" outlineLevel="0" collapsed="false">
      <c r="A40" s="80"/>
      <c r="B40" s="81" t="s">
        <v>37</v>
      </c>
      <c r="C40" s="82" t="s">
        <v>146</v>
      </c>
      <c r="D40" s="82" t="s">
        <v>147</v>
      </c>
      <c r="E40" s="83" t="n">
        <v>36770</v>
      </c>
      <c r="F40" s="83" t="n">
        <v>37864</v>
      </c>
      <c r="G40" s="81" t="s">
        <v>152</v>
      </c>
      <c r="H40" s="81" t="s">
        <v>158</v>
      </c>
      <c r="I40" s="82" t="s">
        <v>154</v>
      </c>
      <c r="J40" s="84" t="n">
        <f aca="false">8.223/J1</f>
        <v>0.265258064516129</v>
      </c>
      <c r="K40" s="85"/>
      <c r="L40" s="85"/>
      <c r="M40" s="85"/>
      <c r="N40" s="85"/>
      <c r="O40" s="86"/>
      <c r="P40" s="85"/>
      <c r="Q40" s="87" t="s">
        <v>155</v>
      </c>
      <c r="R40" s="82" t="n">
        <f aca="false">340*1.02</f>
        <v>346.8</v>
      </c>
      <c r="S40" s="110" t="n">
        <v>2000001604</v>
      </c>
      <c r="T40" s="89" t="n">
        <f aca="false">+R40*J40*30</f>
        <v>2759.74490322581</v>
      </c>
      <c r="U40" s="89"/>
      <c r="V40" s="90" t="n">
        <v>380777</v>
      </c>
      <c r="W40" s="81"/>
      <c r="X40" s="91"/>
      <c r="Y40" s="91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  <c r="IW40" s="80"/>
    </row>
    <row r="41" customFormat="false" ht="12" hidden="false" customHeight="true" outlineLevel="0" collapsed="false">
      <c r="A41" s="80"/>
      <c r="B41" s="81" t="s">
        <v>37</v>
      </c>
      <c r="C41" s="82" t="s">
        <v>146</v>
      </c>
      <c r="D41" s="82" t="s">
        <v>147</v>
      </c>
      <c r="E41" s="83" t="n">
        <v>36892</v>
      </c>
      <c r="F41" s="83" t="n">
        <v>36922</v>
      </c>
      <c r="G41" s="81" t="s">
        <v>152</v>
      </c>
      <c r="H41" s="81" t="s">
        <v>159</v>
      </c>
      <c r="I41" s="82" t="s">
        <v>154</v>
      </c>
      <c r="J41" s="84" t="n">
        <f aca="false">10.845/J1</f>
        <v>0.349838709677419</v>
      </c>
      <c r="K41" s="85"/>
      <c r="L41" s="85"/>
      <c r="M41" s="85"/>
      <c r="N41" s="85"/>
      <c r="O41" s="86"/>
      <c r="P41" s="85"/>
      <c r="Q41" s="87" t="s">
        <v>155</v>
      </c>
      <c r="R41" s="82" t="n">
        <v>4982</v>
      </c>
      <c r="S41" s="110" t="n">
        <v>2000002854</v>
      </c>
      <c r="T41" s="89" t="n">
        <f aca="false">+R41*J41*30</f>
        <v>52286.8935483871</v>
      </c>
      <c r="U41" s="89"/>
      <c r="V41" s="90" t="n">
        <v>561790</v>
      </c>
      <c r="W41" s="81"/>
      <c r="X41" s="91"/>
      <c r="Y41" s="91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  <c r="IW41" s="80"/>
    </row>
    <row r="42" customFormat="false" ht="12" hidden="false" customHeight="true" outlineLevel="0" collapsed="false">
      <c r="A42" s="80"/>
      <c r="B42" s="81" t="s">
        <v>37</v>
      </c>
      <c r="C42" s="82" t="s">
        <v>146</v>
      </c>
      <c r="D42" s="82" t="s">
        <v>147</v>
      </c>
      <c r="E42" s="83" t="n">
        <v>36892</v>
      </c>
      <c r="F42" s="83" t="n">
        <v>36922</v>
      </c>
      <c r="G42" s="81"/>
      <c r="H42" s="81"/>
      <c r="I42" s="82" t="s">
        <v>154</v>
      </c>
      <c r="J42" s="84" t="n">
        <f aca="false">10.845/J1</f>
        <v>0.349838709677419</v>
      </c>
      <c r="K42" s="85"/>
      <c r="L42" s="85"/>
      <c r="M42" s="85"/>
      <c r="N42" s="85"/>
      <c r="O42" s="86"/>
      <c r="P42" s="85"/>
      <c r="Q42" s="87" t="s">
        <v>155</v>
      </c>
      <c r="R42" s="82" t="n">
        <v>3985</v>
      </c>
      <c r="S42" s="81" t="s">
        <v>160</v>
      </c>
      <c r="T42" s="89" t="n">
        <f aca="false">J42*J$1*R42</f>
        <v>43217.325</v>
      </c>
      <c r="U42" s="89"/>
      <c r="V42" s="90" t="n">
        <v>561792</v>
      </c>
      <c r="W42" s="81"/>
      <c r="X42" s="91"/>
      <c r="Y42" s="91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  <c r="IW42" s="80"/>
    </row>
    <row r="43" customFormat="false" ht="12" hidden="false" customHeight="true" outlineLevel="0" collapsed="false">
      <c r="A43" s="80"/>
      <c r="B43" s="81" t="s">
        <v>37</v>
      </c>
      <c r="C43" s="82" t="s">
        <v>146</v>
      </c>
      <c r="D43" s="82" t="s">
        <v>147</v>
      </c>
      <c r="E43" s="83" t="n">
        <v>36892</v>
      </c>
      <c r="F43" s="83" t="n">
        <v>36922</v>
      </c>
      <c r="G43" s="81"/>
      <c r="H43" s="81"/>
      <c r="I43" s="82" t="s">
        <v>154</v>
      </c>
      <c r="J43" s="84" t="n">
        <f aca="false">8.155/31</f>
        <v>0.263064516129032</v>
      </c>
      <c r="K43" s="85"/>
      <c r="L43" s="85"/>
      <c r="M43" s="85"/>
      <c r="N43" s="85"/>
      <c r="O43" s="86"/>
      <c r="P43" s="85"/>
      <c r="Q43" s="87" t="s">
        <v>155</v>
      </c>
      <c r="R43" s="82" t="n">
        <v>153</v>
      </c>
      <c r="S43" s="81" t="s">
        <v>161</v>
      </c>
      <c r="T43" s="89" t="n">
        <f aca="false">J43*J$1*R43</f>
        <v>1247.715</v>
      </c>
      <c r="U43" s="89"/>
      <c r="V43" s="90" t="n">
        <v>561793</v>
      </c>
      <c r="W43" s="81"/>
      <c r="X43" s="91"/>
      <c r="Y43" s="91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  <c r="IW43" s="80"/>
    </row>
    <row r="44" customFormat="false" ht="12" hidden="false" customHeight="true" outlineLevel="0" collapsed="false">
      <c r="A44" s="98"/>
      <c r="B44" s="99" t="s">
        <v>37</v>
      </c>
      <c r="C44" s="100" t="s">
        <v>146</v>
      </c>
      <c r="D44" s="100" t="s">
        <v>147</v>
      </c>
      <c r="E44" s="101" t="n">
        <v>36800</v>
      </c>
      <c r="F44" s="101" t="n">
        <v>36830</v>
      </c>
      <c r="G44" s="99"/>
      <c r="H44" s="99"/>
      <c r="I44" s="100" t="s">
        <v>154</v>
      </c>
      <c r="J44" s="102" t="n">
        <f aca="false">8.223/J1</f>
        <v>0.265258064516129</v>
      </c>
      <c r="K44" s="103"/>
      <c r="L44" s="103"/>
      <c r="M44" s="103"/>
      <c r="N44" s="103"/>
      <c r="O44" s="104"/>
      <c r="P44" s="103"/>
      <c r="Q44" s="105" t="s">
        <v>155</v>
      </c>
      <c r="R44" s="100"/>
      <c r="S44" s="106" t="s">
        <v>162</v>
      </c>
      <c r="T44" s="107" t="n">
        <f aca="false">J44*J$1*R44</f>
        <v>0</v>
      </c>
      <c r="U44" s="107"/>
      <c r="V44" s="108" t="n">
        <v>418279</v>
      </c>
      <c r="W44" s="99"/>
      <c r="X44" s="109"/>
      <c r="Y44" s="109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98"/>
      <c r="CT44" s="98"/>
      <c r="CU44" s="98"/>
      <c r="CV44" s="98"/>
      <c r="CW44" s="98"/>
      <c r="CX44" s="98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98"/>
      <c r="DJ44" s="98"/>
      <c r="DK44" s="98"/>
      <c r="DL44" s="98"/>
      <c r="DM44" s="98"/>
      <c r="DN44" s="98"/>
      <c r="DO44" s="98"/>
      <c r="DP44" s="98"/>
      <c r="DQ44" s="98"/>
      <c r="DR44" s="98"/>
      <c r="DS44" s="98"/>
      <c r="DT44" s="98"/>
      <c r="DU44" s="98"/>
      <c r="DV44" s="98"/>
      <c r="DW44" s="98"/>
      <c r="DX44" s="98"/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8"/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</row>
    <row r="45" customFormat="false" ht="12" hidden="false" customHeight="true" outlineLevel="0" collapsed="false">
      <c r="A45" s="80"/>
      <c r="B45" s="81" t="s">
        <v>37</v>
      </c>
      <c r="C45" s="82" t="s">
        <v>146</v>
      </c>
      <c r="D45" s="82" t="s">
        <v>147</v>
      </c>
      <c r="E45" s="83" t="n">
        <v>36892</v>
      </c>
      <c r="F45" s="83" t="n">
        <v>36922</v>
      </c>
      <c r="G45" s="81" t="s">
        <v>152</v>
      </c>
      <c r="H45" s="81" t="s">
        <v>153</v>
      </c>
      <c r="I45" s="82" t="s">
        <v>154</v>
      </c>
      <c r="J45" s="84" t="n">
        <f aca="false">10.845/J1</f>
        <v>0.349838709677419</v>
      </c>
      <c r="K45" s="85"/>
      <c r="L45" s="85"/>
      <c r="M45" s="85"/>
      <c r="N45" s="85"/>
      <c r="O45" s="86"/>
      <c r="P45" s="85"/>
      <c r="Q45" s="87" t="s">
        <v>155</v>
      </c>
      <c r="R45" s="82" t="n">
        <v>1959</v>
      </c>
      <c r="S45" s="96" t="s">
        <v>163</v>
      </c>
      <c r="T45" s="89" t="n">
        <f aca="false">J45*J$1*R45</f>
        <v>21245.355</v>
      </c>
      <c r="U45" s="89"/>
      <c r="V45" s="90" t="n">
        <v>561789</v>
      </c>
      <c r="W45" s="81"/>
      <c r="X45" s="91"/>
      <c r="Y45" s="91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  <c r="IW45" s="80"/>
    </row>
    <row r="46" customFormat="false" ht="12" hidden="false" customHeight="true" outlineLevel="0" collapsed="false">
      <c r="A46" s="80"/>
      <c r="B46" s="81" t="s">
        <v>37</v>
      </c>
      <c r="C46" s="82" t="s">
        <v>164</v>
      </c>
      <c r="D46" s="82" t="s">
        <v>147</v>
      </c>
      <c r="E46" s="83" t="n">
        <v>36892</v>
      </c>
      <c r="F46" s="83" t="n">
        <v>36922</v>
      </c>
      <c r="G46" s="81" t="s">
        <v>152</v>
      </c>
      <c r="H46" s="81" t="s">
        <v>152</v>
      </c>
      <c r="I46" s="82" t="s">
        <v>154</v>
      </c>
      <c r="J46" s="84" t="n">
        <f aca="false">4.75/31</f>
        <v>0.153225806451613</v>
      </c>
      <c r="K46" s="85"/>
      <c r="L46" s="85"/>
      <c r="M46" s="85"/>
      <c r="N46" s="85"/>
      <c r="O46" s="86"/>
      <c r="P46" s="85"/>
      <c r="Q46" s="87" t="s">
        <v>165</v>
      </c>
      <c r="R46" s="82" t="n">
        <v>177</v>
      </c>
      <c r="S46" s="96" t="s">
        <v>166</v>
      </c>
      <c r="T46" s="89" t="n">
        <f aca="false">+J46*R46*31</f>
        <v>840.75</v>
      </c>
      <c r="U46" s="89"/>
      <c r="V46" s="90" t="n">
        <v>561786</v>
      </c>
      <c r="W46" s="81"/>
      <c r="X46" s="91"/>
      <c r="Y46" s="91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  <c r="IR46" s="80"/>
      <c r="IS46" s="80"/>
      <c r="IT46" s="80"/>
      <c r="IU46" s="80"/>
      <c r="IV46" s="80"/>
      <c r="IW46" s="80"/>
    </row>
    <row r="47" customFormat="false" ht="12" hidden="false" customHeight="true" outlineLevel="0" collapsed="false">
      <c r="A47" s="80"/>
      <c r="B47" s="81" t="s">
        <v>37</v>
      </c>
      <c r="C47" s="82" t="s">
        <v>164</v>
      </c>
      <c r="D47" s="82" t="s">
        <v>147</v>
      </c>
      <c r="E47" s="83" t="n">
        <v>36861</v>
      </c>
      <c r="F47" s="83" t="n">
        <v>37864</v>
      </c>
      <c r="G47" s="81" t="s">
        <v>152</v>
      </c>
      <c r="H47" s="81" t="s">
        <v>152</v>
      </c>
      <c r="I47" s="82" t="s">
        <v>154</v>
      </c>
      <c r="J47" s="84" t="n">
        <f aca="false">4.75/31</f>
        <v>0.153225806451613</v>
      </c>
      <c r="K47" s="85"/>
      <c r="L47" s="85"/>
      <c r="M47" s="85"/>
      <c r="N47" s="85"/>
      <c r="O47" s="86"/>
      <c r="P47" s="85"/>
      <c r="Q47" s="87" t="s">
        <v>165</v>
      </c>
      <c r="R47" s="82" t="n">
        <v>411</v>
      </c>
      <c r="S47" s="81" t="s">
        <v>167</v>
      </c>
      <c r="T47" s="89" t="n">
        <f aca="false">J47*J$1*R47</f>
        <v>1952.25</v>
      </c>
      <c r="U47" s="89"/>
      <c r="V47" s="90" t="n">
        <v>506345</v>
      </c>
      <c r="W47" s="81"/>
      <c r="X47" s="91"/>
      <c r="Y47" s="91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  <c r="IR47" s="80"/>
      <c r="IS47" s="80"/>
      <c r="IT47" s="80"/>
      <c r="IU47" s="80"/>
      <c r="IV47" s="80"/>
      <c r="IW47" s="80"/>
    </row>
    <row r="48" customFormat="false" ht="12" hidden="false" customHeight="true" outlineLevel="0" collapsed="false">
      <c r="A48" s="92"/>
      <c r="B48" s="53"/>
      <c r="C48" s="51"/>
      <c r="D48" s="51"/>
      <c r="E48" s="52"/>
      <c r="F48" s="52"/>
      <c r="G48" s="53"/>
      <c r="H48" s="53"/>
      <c r="I48" s="51"/>
      <c r="J48" s="65"/>
      <c r="K48" s="56"/>
      <c r="L48" s="56"/>
      <c r="M48" s="56"/>
      <c r="N48" s="56"/>
      <c r="O48" s="57"/>
      <c r="P48" s="56"/>
      <c r="Q48" s="58"/>
      <c r="R48" s="51" t="n">
        <f aca="false">SUM(R37:R47)</f>
        <v>33060.92</v>
      </c>
      <c r="S48" s="53"/>
      <c r="T48" s="93"/>
      <c r="U48" s="93"/>
      <c r="V48" s="94"/>
      <c r="W48" s="53"/>
      <c r="X48" s="79"/>
      <c r="Y48" s="79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  <c r="IW48" s="92"/>
    </row>
    <row r="49" customFormat="false" ht="12.75" hidden="false" customHeight="false" outlineLevel="0" collapsed="false">
      <c r="A49" s="92"/>
      <c r="B49" s="53"/>
      <c r="C49" s="51"/>
      <c r="D49" s="51"/>
      <c r="E49" s="52"/>
      <c r="F49" s="52"/>
      <c r="G49" s="53"/>
      <c r="H49" s="53"/>
      <c r="I49" s="51"/>
      <c r="J49" s="65"/>
      <c r="K49" s="56"/>
      <c r="L49" s="56"/>
      <c r="M49" s="56"/>
      <c r="N49" s="56"/>
      <c r="O49" s="57"/>
      <c r="P49" s="56"/>
      <c r="Q49" s="58"/>
      <c r="R49" s="51"/>
      <c r="S49" s="53"/>
      <c r="T49" s="93" t="n">
        <f aca="false">SUM(T29:T48)</f>
        <v>394828.863749032</v>
      </c>
      <c r="U49" s="93"/>
      <c r="V49" s="94"/>
      <c r="W49" s="53"/>
      <c r="X49" s="79"/>
      <c r="Y49" s="79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  <c r="IW49" s="92"/>
    </row>
    <row r="50" customFormat="false" ht="12.75" hidden="false" customHeight="false" outlineLevel="0" collapsed="false">
      <c r="B50" s="70" t="s">
        <v>112</v>
      </c>
      <c r="C50" s="71" t="s">
        <v>113</v>
      </c>
      <c r="D50" s="71" t="s">
        <v>114</v>
      </c>
      <c r="E50" s="72" t="s">
        <v>115</v>
      </c>
      <c r="F50" s="72"/>
      <c r="G50" s="70" t="s">
        <v>116</v>
      </c>
      <c r="H50" s="70" t="s">
        <v>117</v>
      </c>
      <c r="I50" s="71" t="s">
        <v>118</v>
      </c>
      <c r="J50" s="73" t="s">
        <v>119</v>
      </c>
      <c r="K50" s="71" t="s">
        <v>120</v>
      </c>
      <c r="L50" s="71" t="s">
        <v>121</v>
      </c>
      <c r="M50" s="71" t="s">
        <v>122</v>
      </c>
      <c r="N50" s="71" t="s">
        <v>123</v>
      </c>
      <c r="O50" s="74" t="s">
        <v>124</v>
      </c>
      <c r="P50" s="71" t="s">
        <v>125</v>
      </c>
      <c r="Q50" s="75" t="s">
        <v>126</v>
      </c>
      <c r="R50" s="71" t="s">
        <v>127</v>
      </c>
      <c r="S50" s="70" t="s">
        <v>128</v>
      </c>
      <c r="T50" s="76" t="s">
        <v>129</v>
      </c>
      <c r="U50" s="76" t="s">
        <v>130</v>
      </c>
      <c r="V50" s="77" t="s">
        <v>131</v>
      </c>
      <c r="W50" s="78" t="e">
        <f aca="false">+#REF!</f>
        <v>#REF!</v>
      </c>
      <c r="X50" s="79"/>
      <c r="Y50" s="79"/>
    </row>
    <row r="51" customFormat="false" ht="12.75" hidden="false" customHeight="false" outlineLevel="0" collapsed="false">
      <c r="B51" s="53"/>
      <c r="C51" s="51"/>
      <c r="D51" s="51"/>
      <c r="E51" s="52"/>
      <c r="F51" s="52"/>
      <c r="G51" s="53"/>
      <c r="H51" s="53"/>
      <c r="I51" s="51"/>
      <c r="J51" s="65"/>
      <c r="K51" s="56"/>
      <c r="L51" s="95"/>
      <c r="M51" s="56"/>
      <c r="N51" s="56"/>
      <c r="O51" s="57"/>
      <c r="P51" s="56"/>
      <c r="Q51" s="58"/>
      <c r="R51" s="59"/>
      <c r="S51" s="51"/>
      <c r="T51" s="93"/>
      <c r="U51" s="93"/>
      <c r="V51" s="94"/>
      <c r="W51" s="53"/>
      <c r="X51" s="79"/>
      <c r="Y51" s="79"/>
    </row>
    <row r="52" customFormat="false" ht="12.75" hidden="false" customHeight="false" outlineLevel="0" collapsed="false">
      <c r="B52" s="53"/>
      <c r="C52" s="51"/>
      <c r="D52" s="51"/>
      <c r="E52" s="52"/>
      <c r="F52" s="52"/>
      <c r="G52" s="53"/>
      <c r="H52" s="53"/>
      <c r="I52" s="51"/>
      <c r="J52" s="65"/>
      <c r="K52" s="56"/>
      <c r="L52" s="95"/>
      <c r="M52" s="56"/>
      <c r="N52" s="56"/>
      <c r="O52" s="111"/>
      <c r="P52" s="56"/>
      <c r="Q52" s="58"/>
      <c r="R52" s="51"/>
      <c r="S52" s="51"/>
      <c r="T52" s="9" t="n">
        <f aca="false">SUM(T51)</f>
        <v>0</v>
      </c>
      <c r="W52" s="53"/>
      <c r="X52" s="112"/>
      <c r="Y52" s="112"/>
    </row>
    <row r="53" customFormat="false" ht="11.25" hidden="false" customHeight="true" outlineLevel="0" collapsed="false">
      <c r="B53" s="70" t="s">
        <v>112</v>
      </c>
      <c r="C53" s="71" t="s">
        <v>113</v>
      </c>
      <c r="D53" s="71" t="s">
        <v>114</v>
      </c>
      <c r="E53" s="72" t="s">
        <v>115</v>
      </c>
      <c r="F53" s="72"/>
      <c r="G53" s="70" t="s">
        <v>116</v>
      </c>
      <c r="H53" s="70" t="s">
        <v>117</v>
      </c>
      <c r="I53" s="71" t="s">
        <v>118</v>
      </c>
      <c r="J53" s="73" t="s">
        <v>119</v>
      </c>
      <c r="K53" s="71" t="s">
        <v>120</v>
      </c>
      <c r="L53" s="71" t="s">
        <v>121</v>
      </c>
      <c r="M53" s="71" t="s">
        <v>122</v>
      </c>
      <c r="N53" s="71" t="s">
        <v>123</v>
      </c>
      <c r="O53" s="74" t="s">
        <v>124</v>
      </c>
      <c r="P53" s="71" t="s">
        <v>125</v>
      </c>
      <c r="Q53" s="75" t="s">
        <v>126</v>
      </c>
      <c r="R53" s="71" t="s">
        <v>127</v>
      </c>
      <c r="S53" s="70" t="s">
        <v>128</v>
      </c>
      <c r="T53" s="76" t="s">
        <v>129</v>
      </c>
      <c r="U53" s="76" t="s">
        <v>130</v>
      </c>
      <c r="V53" s="77" t="s">
        <v>131</v>
      </c>
      <c r="W53" s="78" t="e">
        <f aca="false">+#REF!</f>
        <v>#REF!</v>
      </c>
      <c r="X53" s="79"/>
      <c r="Y53" s="79"/>
    </row>
    <row r="54" customFormat="false" ht="12.75" hidden="false" customHeight="false" outlineLevel="0" collapsed="false">
      <c r="A54" s="80"/>
      <c r="B54" s="81" t="s">
        <v>37</v>
      </c>
      <c r="C54" s="82" t="s">
        <v>168</v>
      </c>
      <c r="D54" s="82" t="s">
        <v>169</v>
      </c>
      <c r="E54" s="83" t="n">
        <v>36892</v>
      </c>
      <c r="F54" s="83" t="n">
        <v>36922</v>
      </c>
      <c r="G54" s="81" t="s">
        <v>170</v>
      </c>
      <c r="H54" s="81" t="s">
        <v>171</v>
      </c>
      <c r="I54" s="82" t="s">
        <v>172</v>
      </c>
      <c r="J54" s="84" t="n">
        <f aca="false">7.4554/J$1</f>
        <v>0.240496774193548</v>
      </c>
      <c r="K54" s="85" t="n">
        <v>0</v>
      </c>
      <c r="L54" s="85" t="n">
        <v>0.0022</v>
      </c>
      <c r="M54" s="85" t="n">
        <v>0</v>
      </c>
      <c r="N54" s="85" t="n">
        <v>0</v>
      </c>
      <c r="O54" s="86" t="n">
        <v>0</v>
      </c>
      <c r="P54" s="85" t="n">
        <f aca="false">SUM(J54:N54)</f>
        <v>0.242696774193548</v>
      </c>
      <c r="Q54" s="113" t="n">
        <v>3.7849</v>
      </c>
      <c r="R54" s="82" t="n">
        <v>48</v>
      </c>
      <c r="S54" s="81" t="s">
        <v>173</v>
      </c>
      <c r="T54" s="89" t="n">
        <f aca="false">J54*J$1*R54</f>
        <v>357.8592</v>
      </c>
      <c r="U54" s="89"/>
      <c r="V54" s="90" t="n">
        <v>549196</v>
      </c>
      <c r="W54" s="81"/>
      <c r="X54" s="91"/>
      <c r="Y54" s="91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  <c r="IR54" s="80"/>
      <c r="IS54" s="80"/>
      <c r="IT54" s="80"/>
      <c r="IU54" s="80"/>
      <c r="IV54" s="80"/>
      <c r="IW54" s="80"/>
    </row>
    <row r="55" customFormat="false" ht="12.75" hidden="false" customHeight="false" outlineLevel="0" collapsed="false">
      <c r="A55" s="80"/>
      <c r="B55" s="81" t="s">
        <v>37</v>
      </c>
      <c r="C55" s="82" t="s">
        <v>168</v>
      </c>
      <c r="D55" s="82" t="s">
        <v>169</v>
      </c>
      <c r="E55" s="83" t="n">
        <v>36892</v>
      </c>
      <c r="F55" s="83" t="n">
        <v>36922</v>
      </c>
      <c r="G55" s="81" t="s">
        <v>174</v>
      </c>
      <c r="H55" s="81" t="s">
        <v>171</v>
      </c>
      <c r="I55" s="82" t="s">
        <v>172</v>
      </c>
      <c r="J55" s="84" t="n">
        <f aca="false">+J54</f>
        <v>0.240496774193548</v>
      </c>
      <c r="K55" s="85" t="n">
        <v>0</v>
      </c>
      <c r="L55" s="85" t="n">
        <v>0.0022</v>
      </c>
      <c r="M55" s="85" t="n">
        <v>0</v>
      </c>
      <c r="N55" s="85" t="n">
        <v>0</v>
      </c>
      <c r="O55" s="86" t="n">
        <v>0</v>
      </c>
      <c r="P55" s="85" t="n">
        <f aca="false">SUM(J55:N55)</f>
        <v>0.242696774193548</v>
      </c>
      <c r="Q55" s="113" t="n">
        <f aca="false">+Q54</f>
        <v>3.7849</v>
      </c>
      <c r="R55" s="82" t="n">
        <v>71</v>
      </c>
      <c r="S55" s="81" t="str">
        <f aca="false">+S54</f>
        <v>#022429</v>
      </c>
      <c r="T55" s="89" t="n">
        <f aca="false">J55*J$1*R55</f>
        <v>529.3334</v>
      </c>
      <c r="U55" s="89"/>
      <c r="V55" s="90" t="n">
        <f aca="false">+V54</f>
        <v>549196</v>
      </c>
      <c r="W55" s="81"/>
      <c r="X55" s="91"/>
      <c r="Y55" s="91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80"/>
      <c r="GS55" s="80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0"/>
      <c r="HH55" s="80"/>
      <c r="HI55" s="80"/>
      <c r="HJ55" s="8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  <c r="IL55" s="80"/>
      <c r="IM55" s="80"/>
      <c r="IN55" s="80"/>
      <c r="IO55" s="80"/>
      <c r="IP55" s="80"/>
      <c r="IQ55" s="80"/>
      <c r="IR55" s="80"/>
      <c r="IS55" s="80"/>
      <c r="IT55" s="80"/>
      <c r="IU55" s="80"/>
      <c r="IV55" s="80"/>
      <c r="IW55" s="80"/>
    </row>
    <row r="56" customFormat="false" ht="12.75" hidden="false" customHeight="false" outlineLevel="0" collapsed="false">
      <c r="A56" s="80"/>
      <c r="B56" s="81" t="s">
        <v>37</v>
      </c>
      <c r="C56" s="82" t="s">
        <v>168</v>
      </c>
      <c r="D56" s="82" t="s">
        <v>169</v>
      </c>
      <c r="E56" s="83" t="n">
        <v>36892</v>
      </c>
      <c r="F56" s="83" t="n">
        <v>36922</v>
      </c>
      <c r="G56" s="81" t="s">
        <v>153</v>
      </c>
      <c r="H56" s="81" t="s">
        <v>171</v>
      </c>
      <c r="I56" s="82" t="s">
        <v>172</v>
      </c>
      <c r="J56" s="84" t="n">
        <f aca="false">+J55</f>
        <v>0.240496774193548</v>
      </c>
      <c r="K56" s="85" t="n">
        <v>0</v>
      </c>
      <c r="L56" s="85" t="n">
        <v>0.0022</v>
      </c>
      <c r="M56" s="85" t="n">
        <v>0</v>
      </c>
      <c r="N56" s="85" t="n">
        <v>0</v>
      </c>
      <c r="O56" s="86" t="n">
        <v>0</v>
      </c>
      <c r="P56" s="85" t="n">
        <f aca="false">SUM(J56:N56)</f>
        <v>0.242696774193548</v>
      </c>
      <c r="Q56" s="113" t="n">
        <f aca="false">+Q55</f>
        <v>3.7849</v>
      </c>
      <c r="R56" s="82" t="n">
        <f aca="false">54+111</f>
        <v>165</v>
      </c>
      <c r="S56" s="81" t="str">
        <f aca="false">+S55</f>
        <v>#022429</v>
      </c>
      <c r="T56" s="89" t="n">
        <f aca="false">J56*J$1*R56</f>
        <v>1230.141</v>
      </c>
      <c r="U56" s="89"/>
      <c r="V56" s="90" t="n">
        <f aca="false">+V55</f>
        <v>549196</v>
      </c>
      <c r="W56" s="81"/>
      <c r="X56" s="91"/>
      <c r="Y56" s="91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80"/>
      <c r="GS56" s="80"/>
      <c r="GT56" s="80"/>
      <c r="GU56" s="80"/>
      <c r="GV56" s="80"/>
      <c r="GW56" s="80"/>
      <c r="GX56" s="80"/>
      <c r="GY56" s="80"/>
      <c r="GZ56" s="80"/>
      <c r="HA56" s="80"/>
      <c r="HB56" s="80"/>
      <c r="HC56" s="80"/>
      <c r="HD56" s="80"/>
      <c r="HE56" s="80"/>
      <c r="HF56" s="80"/>
      <c r="HG56" s="80"/>
      <c r="HH56" s="80"/>
      <c r="HI56" s="80"/>
      <c r="HJ56" s="8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80"/>
      <c r="HY56" s="80"/>
      <c r="HZ56" s="80"/>
      <c r="IA56" s="80"/>
      <c r="IB56" s="80"/>
      <c r="IC56" s="80"/>
      <c r="ID56" s="80"/>
      <c r="IE56" s="80"/>
      <c r="IF56" s="80"/>
      <c r="IG56" s="80"/>
      <c r="IH56" s="80"/>
      <c r="II56" s="80"/>
      <c r="IJ56" s="80"/>
      <c r="IK56" s="80"/>
      <c r="IL56" s="80"/>
      <c r="IM56" s="80"/>
      <c r="IN56" s="80"/>
      <c r="IO56" s="80"/>
      <c r="IP56" s="80"/>
      <c r="IQ56" s="80"/>
      <c r="IR56" s="80"/>
      <c r="IS56" s="80"/>
      <c r="IT56" s="80"/>
      <c r="IU56" s="80"/>
      <c r="IV56" s="80"/>
      <c r="IW56" s="80"/>
    </row>
    <row r="57" customFormat="false" ht="12.75" hidden="false" customHeight="false" outlineLevel="0" collapsed="false">
      <c r="A57" s="80"/>
      <c r="B57" s="81" t="s">
        <v>37</v>
      </c>
      <c r="C57" s="82" t="s">
        <v>168</v>
      </c>
      <c r="D57" s="82" t="s">
        <v>169</v>
      </c>
      <c r="E57" s="83" t="n">
        <v>36892</v>
      </c>
      <c r="F57" s="83" t="n">
        <v>36922</v>
      </c>
      <c r="G57" s="81" t="s">
        <v>170</v>
      </c>
      <c r="H57" s="81" t="s">
        <v>171</v>
      </c>
      <c r="I57" s="82" t="s">
        <v>172</v>
      </c>
      <c r="J57" s="84" t="n">
        <f aca="false">7.4554/J$1</f>
        <v>0.240496774193548</v>
      </c>
      <c r="K57" s="85" t="n">
        <v>0</v>
      </c>
      <c r="L57" s="85" t="n">
        <v>0.0022</v>
      </c>
      <c r="M57" s="85" t="n">
        <v>0</v>
      </c>
      <c r="N57" s="85" t="n">
        <v>0</v>
      </c>
      <c r="O57" s="86" t="n">
        <v>0</v>
      </c>
      <c r="P57" s="85" t="n">
        <f aca="false">SUM(J57:N57)</f>
        <v>0.242696774193548</v>
      </c>
      <c r="Q57" s="113" t="n">
        <v>3.7773</v>
      </c>
      <c r="R57" s="114" t="n">
        <v>327</v>
      </c>
      <c r="S57" s="81" t="s">
        <v>175</v>
      </c>
      <c r="T57" s="89" t="n">
        <f aca="false">J57*J$1*R57</f>
        <v>2437.9158</v>
      </c>
      <c r="U57" s="89"/>
      <c r="V57" s="90" t="n">
        <v>544647</v>
      </c>
      <c r="W57" s="81" t="s">
        <v>176</v>
      </c>
      <c r="X57" s="91"/>
      <c r="Y57" s="91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80"/>
      <c r="GS57" s="80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0"/>
      <c r="HH57" s="80"/>
      <c r="HI57" s="80"/>
      <c r="HJ57" s="80"/>
      <c r="HK57" s="80"/>
      <c r="HL57" s="80"/>
      <c r="HM57" s="80"/>
      <c r="HN57" s="80"/>
      <c r="HO57" s="80"/>
      <c r="HP57" s="80"/>
      <c r="HQ57" s="80"/>
      <c r="HR57" s="80"/>
      <c r="HS57" s="80"/>
      <c r="HT57" s="80"/>
      <c r="HU57" s="80"/>
      <c r="HV57" s="80"/>
      <c r="HW57" s="80"/>
      <c r="HX57" s="80"/>
      <c r="HY57" s="80"/>
      <c r="HZ57" s="80"/>
      <c r="IA57" s="80"/>
      <c r="IB57" s="80"/>
      <c r="IC57" s="80"/>
      <c r="ID57" s="80"/>
      <c r="IE57" s="80"/>
      <c r="IF57" s="80"/>
      <c r="IG57" s="80"/>
      <c r="IH57" s="80"/>
      <c r="II57" s="80"/>
      <c r="IJ57" s="80"/>
      <c r="IK57" s="80"/>
      <c r="IL57" s="80"/>
      <c r="IM57" s="80"/>
      <c r="IN57" s="80"/>
      <c r="IO57" s="80"/>
      <c r="IP57" s="80"/>
      <c r="IQ57" s="80"/>
      <c r="IR57" s="80"/>
      <c r="IS57" s="80"/>
      <c r="IT57" s="80"/>
      <c r="IU57" s="80"/>
      <c r="IV57" s="80"/>
      <c r="IW57" s="80"/>
    </row>
    <row r="58" customFormat="false" ht="12.75" hidden="false" customHeight="false" outlineLevel="0" collapsed="false">
      <c r="A58" s="80"/>
      <c r="B58" s="81" t="s">
        <v>37</v>
      </c>
      <c r="C58" s="82" t="s">
        <v>168</v>
      </c>
      <c r="D58" s="82" t="s">
        <v>169</v>
      </c>
      <c r="E58" s="83" t="n">
        <v>36892</v>
      </c>
      <c r="F58" s="83" t="n">
        <v>36922</v>
      </c>
      <c r="G58" s="81" t="s">
        <v>174</v>
      </c>
      <c r="H58" s="81" t="s">
        <v>171</v>
      </c>
      <c r="I58" s="82" t="s">
        <v>172</v>
      </c>
      <c r="J58" s="84" t="n">
        <f aca="false">7.5654/J$1</f>
        <v>0.244045161290323</v>
      </c>
      <c r="K58" s="85" t="n">
        <v>0</v>
      </c>
      <c r="L58" s="85" t="n">
        <v>0.0022</v>
      </c>
      <c r="M58" s="85" t="n">
        <v>0</v>
      </c>
      <c r="N58" s="85" t="n">
        <v>0</v>
      </c>
      <c r="O58" s="86" t="n">
        <v>0</v>
      </c>
      <c r="P58" s="85" t="n">
        <f aca="false">SUM(J58:N58)</f>
        <v>0.246245161290323</v>
      </c>
      <c r="Q58" s="113" t="n">
        <v>3.7773</v>
      </c>
      <c r="R58" s="82" t="n">
        <v>481</v>
      </c>
      <c r="S58" s="81" t="str">
        <f aca="false">+S57</f>
        <v>#022371</v>
      </c>
      <c r="T58" s="89" t="n">
        <f aca="false">J58*J$1*R58</f>
        <v>3638.9574</v>
      </c>
      <c r="U58" s="89"/>
      <c r="V58" s="90" t="n">
        <v>544647</v>
      </c>
      <c r="W58" s="81" t="s">
        <v>176</v>
      </c>
      <c r="X58" s="91"/>
      <c r="Y58" s="91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80"/>
      <c r="HY58" s="80"/>
      <c r="HZ58" s="80"/>
      <c r="IA58" s="80"/>
      <c r="IB58" s="80"/>
      <c r="IC58" s="80"/>
      <c r="ID58" s="80"/>
      <c r="IE58" s="80"/>
      <c r="IF58" s="80"/>
      <c r="IG58" s="80"/>
      <c r="IH58" s="80"/>
      <c r="II58" s="80"/>
      <c r="IJ58" s="80"/>
      <c r="IK58" s="80"/>
      <c r="IL58" s="80"/>
      <c r="IM58" s="80"/>
      <c r="IN58" s="80"/>
      <c r="IO58" s="80"/>
      <c r="IP58" s="80"/>
      <c r="IQ58" s="80"/>
      <c r="IR58" s="80"/>
      <c r="IS58" s="80"/>
      <c r="IT58" s="80"/>
      <c r="IU58" s="80"/>
      <c r="IV58" s="80"/>
      <c r="IW58" s="80"/>
    </row>
    <row r="59" customFormat="false" ht="12.75" hidden="false" customHeight="false" outlineLevel="0" collapsed="false">
      <c r="A59" s="80"/>
      <c r="B59" s="81" t="s">
        <v>37</v>
      </c>
      <c r="C59" s="82" t="s">
        <v>168</v>
      </c>
      <c r="D59" s="82" t="s">
        <v>169</v>
      </c>
      <c r="E59" s="83" t="n">
        <v>36892</v>
      </c>
      <c r="F59" s="83" t="n">
        <v>36922</v>
      </c>
      <c r="G59" s="81" t="s">
        <v>153</v>
      </c>
      <c r="H59" s="81" t="s">
        <v>171</v>
      </c>
      <c r="I59" s="82" t="s">
        <v>172</v>
      </c>
      <c r="J59" s="84" t="n">
        <f aca="false">7.5654/J$1</f>
        <v>0.244045161290323</v>
      </c>
      <c r="K59" s="85" t="n">
        <v>0</v>
      </c>
      <c r="L59" s="85" t="n">
        <v>0.0022</v>
      </c>
      <c r="M59" s="85" t="n">
        <v>0</v>
      </c>
      <c r="N59" s="85" t="n">
        <v>0</v>
      </c>
      <c r="O59" s="86" t="n">
        <v>0</v>
      </c>
      <c r="P59" s="85" t="n">
        <f aca="false">SUM(J59:N59)</f>
        <v>0.246245161290323</v>
      </c>
      <c r="Q59" s="113" t="n">
        <v>3.7773</v>
      </c>
      <c r="R59" s="82" t="n">
        <f aca="false">365+750</f>
        <v>1115</v>
      </c>
      <c r="S59" s="81" t="str">
        <f aca="false">+S58</f>
        <v>#022371</v>
      </c>
      <c r="T59" s="89" t="n">
        <f aca="false">J59*J$1*R59</f>
        <v>8435.421</v>
      </c>
      <c r="U59" s="89"/>
      <c r="V59" s="90" t="n">
        <v>544647</v>
      </c>
      <c r="W59" s="81" t="s">
        <v>176</v>
      </c>
      <c r="X59" s="91"/>
      <c r="Y59" s="91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2.75" hidden="false" customHeight="false" outlineLevel="0" collapsed="false">
      <c r="A60" s="80"/>
      <c r="B60" s="81" t="s">
        <v>37</v>
      </c>
      <c r="C60" s="82" t="s">
        <v>168</v>
      </c>
      <c r="D60" s="82" t="s">
        <v>169</v>
      </c>
      <c r="E60" s="83" t="n">
        <v>36892</v>
      </c>
      <c r="F60" s="83" t="n">
        <v>36922</v>
      </c>
      <c r="G60" s="81" t="s">
        <v>170</v>
      </c>
      <c r="H60" s="81" t="s">
        <v>171</v>
      </c>
      <c r="I60" s="82" t="s">
        <v>172</v>
      </c>
      <c r="J60" s="84" t="n">
        <f aca="false">7.4554/J$1</f>
        <v>0.240496774193548</v>
      </c>
      <c r="K60" s="85" t="n">
        <v>0</v>
      </c>
      <c r="L60" s="85" t="n">
        <v>0.0022</v>
      </c>
      <c r="M60" s="85" t="n">
        <v>0</v>
      </c>
      <c r="N60" s="85" t="n">
        <v>0</v>
      </c>
      <c r="O60" s="86" t="n">
        <v>0</v>
      </c>
      <c r="P60" s="85" t="n">
        <f aca="false">SUM(J60:N60)</f>
        <v>0.242696774193548</v>
      </c>
      <c r="Q60" s="113" t="n">
        <v>3.7775</v>
      </c>
      <c r="R60" s="114" t="n">
        <v>20</v>
      </c>
      <c r="S60" s="81" t="s">
        <v>177</v>
      </c>
      <c r="T60" s="89" t="n">
        <f aca="false">J60*J$1*R60</f>
        <v>149.108</v>
      </c>
      <c r="U60" s="89"/>
      <c r="V60" s="90" t="n">
        <v>544679</v>
      </c>
      <c r="W60" s="81"/>
      <c r="X60" s="91"/>
      <c r="Y60" s="91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</row>
    <row r="61" customFormat="false" ht="12.75" hidden="false" customHeight="false" outlineLevel="0" collapsed="false">
      <c r="A61" s="80"/>
      <c r="B61" s="81" t="s">
        <v>37</v>
      </c>
      <c r="C61" s="82" t="s">
        <v>168</v>
      </c>
      <c r="D61" s="82" t="s">
        <v>169</v>
      </c>
      <c r="E61" s="83" t="n">
        <v>36892</v>
      </c>
      <c r="F61" s="83" t="n">
        <v>36922</v>
      </c>
      <c r="G61" s="81" t="s">
        <v>174</v>
      </c>
      <c r="H61" s="81" t="s">
        <v>171</v>
      </c>
      <c r="I61" s="82" t="s">
        <v>172</v>
      </c>
      <c r="J61" s="84" t="n">
        <f aca="false">7.4554/J$1</f>
        <v>0.240496774193548</v>
      </c>
      <c r="K61" s="85" t="n">
        <v>0</v>
      </c>
      <c r="L61" s="85" t="n">
        <v>0.0022</v>
      </c>
      <c r="M61" s="85" t="n">
        <v>0</v>
      </c>
      <c r="N61" s="85" t="n">
        <v>0</v>
      </c>
      <c r="O61" s="86" t="n">
        <v>0</v>
      </c>
      <c r="P61" s="85" t="n">
        <f aca="false">SUM(J61:N61)</f>
        <v>0.242696774193548</v>
      </c>
      <c r="Q61" s="113" t="n">
        <f aca="false">+Q60</f>
        <v>3.7775</v>
      </c>
      <c r="R61" s="82" t="n">
        <v>29</v>
      </c>
      <c r="S61" s="81" t="str">
        <f aca="false">+S60</f>
        <v>#022369</v>
      </c>
      <c r="T61" s="89" t="n">
        <f aca="false">J61*J$1*R61</f>
        <v>216.2066</v>
      </c>
      <c r="U61" s="89"/>
      <c r="V61" s="90" t="n">
        <v>544679</v>
      </c>
      <c r="W61" s="81"/>
      <c r="X61" s="91"/>
      <c r="Y61" s="91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80"/>
      <c r="GS61" s="80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0"/>
      <c r="HH61" s="80"/>
      <c r="HI61" s="80"/>
      <c r="HJ61" s="8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</row>
    <row r="62" customFormat="false" ht="12.75" hidden="false" customHeight="false" outlineLevel="0" collapsed="false">
      <c r="A62" s="80"/>
      <c r="B62" s="81" t="s">
        <v>37</v>
      </c>
      <c r="C62" s="82" t="s">
        <v>168</v>
      </c>
      <c r="D62" s="82" t="s">
        <v>169</v>
      </c>
      <c r="E62" s="83" t="n">
        <v>36892</v>
      </c>
      <c r="F62" s="83" t="n">
        <v>36922</v>
      </c>
      <c r="G62" s="81" t="s">
        <v>153</v>
      </c>
      <c r="H62" s="81" t="s">
        <v>171</v>
      </c>
      <c r="I62" s="82" t="s">
        <v>172</v>
      </c>
      <c r="J62" s="84" t="n">
        <f aca="false">7.4554/J$1</f>
        <v>0.240496774193548</v>
      </c>
      <c r="K62" s="85" t="n">
        <v>0</v>
      </c>
      <c r="L62" s="85" t="n">
        <v>0.0022</v>
      </c>
      <c r="M62" s="85" t="n">
        <v>0</v>
      </c>
      <c r="N62" s="85" t="n">
        <v>0</v>
      </c>
      <c r="O62" s="86" t="n">
        <v>0</v>
      </c>
      <c r="P62" s="85" t="n">
        <f aca="false">SUM(J62:N62)</f>
        <v>0.242696774193548</v>
      </c>
      <c r="Q62" s="113" t="n">
        <f aca="false">+Q61</f>
        <v>3.7775</v>
      </c>
      <c r="R62" s="82" t="n">
        <f aca="false">22+46</f>
        <v>68</v>
      </c>
      <c r="S62" s="81" t="str">
        <f aca="false">+S61</f>
        <v>#022369</v>
      </c>
      <c r="T62" s="89" t="n">
        <f aca="false">J62*J$1*R62</f>
        <v>506.9672</v>
      </c>
      <c r="U62" s="89"/>
      <c r="V62" s="90" t="n">
        <v>544679</v>
      </c>
      <c r="W62" s="81"/>
      <c r="X62" s="91"/>
      <c r="Y62" s="91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</row>
    <row r="63" customFormat="false" ht="12.75" hidden="false" customHeight="false" outlineLevel="0" collapsed="false">
      <c r="A63" s="80"/>
      <c r="B63" s="81" t="s">
        <v>37</v>
      </c>
      <c r="C63" s="82" t="s">
        <v>168</v>
      </c>
      <c r="D63" s="82" t="s">
        <v>169</v>
      </c>
      <c r="E63" s="83" t="n">
        <v>36892</v>
      </c>
      <c r="F63" s="83" t="n">
        <v>36922</v>
      </c>
      <c r="G63" s="81" t="s">
        <v>153</v>
      </c>
      <c r="H63" s="81" t="s">
        <v>153</v>
      </c>
      <c r="I63" s="82" t="s">
        <v>172</v>
      </c>
      <c r="J63" s="84" t="n">
        <f aca="false">7.3654/J$1</f>
        <v>0.237593548387097</v>
      </c>
      <c r="K63" s="85" t="n">
        <v>0</v>
      </c>
      <c r="L63" s="85" t="n">
        <v>0.0022</v>
      </c>
      <c r="M63" s="85" t="n">
        <v>0</v>
      </c>
      <c r="N63" s="85" t="n">
        <v>0</v>
      </c>
      <c r="O63" s="86" t="n">
        <v>0</v>
      </c>
      <c r="P63" s="85" t="n">
        <f aca="false">SUM(J63:N63)</f>
        <v>0.239793548387097</v>
      </c>
      <c r="Q63" s="113" t="n">
        <v>3.7848</v>
      </c>
      <c r="R63" s="82" t="n">
        <v>104</v>
      </c>
      <c r="S63" s="81" t="s">
        <v>178</v>
      </c>
      <c r="T63" s="89" t="n">
        <f aca="false">J63*J$1*R63</f>
        <v>766.0016</v>
      </c>
      <c r="U63" s="89"/>
      <c r="V63" s="90" t="n">
        <v>549227</v>
      </c>
      <c r="W63" s="81"/>
      <c r="X63" s="91"/>
      <c r="Y63" s="91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</row>
    <row r="64" customFormat="false" ht="12.75" hidden="false" customHeight="false" outlineLevel="0" collapsed="false">
      <c r="A64" s="80"/>
      <c r="B64" s="81" t="s">
        <v>37</v>
      </c>
      <c r="C64" s="82" t="s">
        <v>168</v>
      </c>
      <c r="D64" s="82" t="s">
        <v>169</v>
      </c>
      <c r="E64" s="83" t="n">
        <v>36861</v>
      </c>
      <c r="F64" s="83" t="n">
        <v>37864</v>
      </c>
      <c r="G64" s="81" t="s">
        <v>170</v>
      </c>
      <c r="H64" s="81" t="s">
        <v>171</v>
      </c>
      <c r="I64" s="82" t="s">
        <v>172</v>
      </c>
      <c r="J64" s="84" t="n">
        <f aca="false">7.5654/J$1</f>
        <v>0.244045161290323</v>
      </c>
      <c r="K64" s="85" t="n">
        <v>0</v>
      </c>
      <c r="L64" s="85" t="n">
        <v>0.0022</v>
      </c>
      <c r="M64" s="85" t="n">
        <v>0</v>
      </c>
      <c r="N64" s="85" t="n">
        <v>0</v>
      </c>
      <c r="O64" s="86" t="n">
        <v>0</v>
      </c>
      <c r="P64" s="85" t="n">
        <f aca="false">SUM(J64:N64)</f>
        <v>0.246245161290323</v>
      </c>
      <c r="Q64" s="113" t="n">
        <v>3.7476</v>
      </c>
      <c r="R64" s="114" t="n">
        <v>759</v>
      </c>
      <c r="S64" s="81" t="s">
        <v>179</v>
      </c>
      <c r="T64" s="89" t="n">
        <f aca="false">J64*J$1*R64</f>
        <v>5742.1386</v>
      </c>
      <c r="U64" s="89"/>
      <c r="V64" s="90" t="n">
        <v>503144</v>
      </c>
      <c r="W64" s="81"/>
      <c r="X64" s="91"/>
      <c r="Y64" s="91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80"/>
      <c r="GS64" s="80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0"/>
      <c r="HH64" s="80"/>
      <c r="HI64" s="80"/>
      <c r="HJ64" s="8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</row>
    <row r="65" customFormat="false" ht="12.75" hidden="false" customHeight="false" outlineLevel="0" collapsed="false">
      <c r="A65" s="80"/>
      <c r="B65" s="81" t="s">
        <v>37</v>
      </c>
      <c r="C65" s="82" t="s">
        <v>168</v>
      </c>
      <c r="D65" s="82" t="s">
        <v>169</v>
      </c>
      <c r="E65" s="83" t="n">
        <v>36861</v>
      </c>
      <c r="F65" s="83" t="n">
        <v>37864</v>
      </c>
      <c r="G65" s="81" t="s">
        <v>174</v>
      </c>
      <c r="H65" s="81" t="s">
        <v>171</v>
      </c>
      <c r="I65" s="82" t="s">
        <v>172</v>
      </c>
      <c r="J65" s="84" t="n">
        <f aca="false">7.5654/J$1</f>
        <v>0.244045161290323</v>
      </c>
      <c r="K65" s="85" t="n">
        <v>0</v>
      </c>
      <c r="L65" s="85" t="n">
        <v>0.0022</v>
      </c>
      <c r="M65" s="85" t="n">
        <v>0</v>
      </c>
      <c r="N65" s="85" t="n">
        <v>0</v>
      </c>
      <c r="O65" s="86" t="n">
        <v>0</v>
      </c>
      <c r="P65" s="85" t="n">
        <f aca="false">SUM(J65:N65)</f>
        <v>0.246245161290323</v>
      </c>
      <c r="Q65" s="113" t="n">
        <f aca="false">+Q64</f>
        <v>3.7476</v>
      </c>
      <c r="R65" s="82" t="n">
        <v>1116</v>
      </c>
      <c r="S65" s="81" t="str">
        <f aca="false">+S64</f>
        <v>#022144</v>
      </c>
      <c r="T65" s="89" t="n">
        <f aca="false">J65*J$1*R65</f>
        <v>8442.9864</v>
      </c>
      <c r="U65" s="89"/>
      <c r="V65" s="90" t="n">
        <v>503144</v>
      </c>
      <c r="W65" s="81"/>
      <c r="X65" s="91"/>
      <c r="Y65" s="91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80"/>
      <c r="GS65" s="80"/>
      <c r="GT65" s="80"/>
      <c r="GU65" s="80"/>
      <c r="GV65" s="80"/>
      <c r="GW65" s="80"/>
      <c r="GX65" s="80"/>
      <c r="GY65" s="80"/>
      <c r="GZ65" s="80"/>
      <c r="HA65" s="80"/>
      <c r="HB65" s="80"/>
      <c r="HC65" s="80"/>
      <c r="HD65" s="80"/>
      <c r="HE65" s="80"/>
      <c r="HF65" s="80"/>
      <c r="HG65" s="80"/>
      <c r="HH65" s="80"/>
      <c r="HI65" s="80"/>
      <c r="HJ65" s="80"/>
      <c r="HK65" s="80"/>
      <c r="HL65" s="80"/>
      <c r="HM65" s="80"/>
      <c r="HN65" s="80"/>
      <c r="HO65" s="80"/>
      <c r="HP65" s="80"/>
      <c r="HQ65" s="80"/>
      <c r="HR65" s="80"/>
      <c r="HS65" s="80"/>
      <c r="HT65" s="80"/>
      <c r="HU65" s="80"/>
      <c r="HV65" s="80"/>
      <c r="HW65" s="80"/>
      <c r="HX65" s="80"/>
      <c r="HY65" s="80"/>
      <c r="HZ65" s="80"/>
      <c r="IA65" s="80"/>
      <c r="IB65" s="80"/>
      <c r="IC65" s="80"/>
      <c r="ID65" s="80"/>
      <c r="IE65" s="80"/>
      <c r="IF65" s="80"/>
      <c r="IG65" s="80"/>
      <c r="IH65" s="80"/>
      <c r="II65" s="80"/>
      <c r="IJ65" s="80"/>
      <c r="IK65" s="80"/>
      <c r="IL65" s="80"/>
      <c r="IM65" s="80"/>
      <c r="IN65" s="80"/>
      <c r="IO65" s="80"/>
      <c r="IP65" s="80"/>
      <c r="IQ65" s="80"/>
      <c r="IR65" s="80"/>
      <c r="IS65" s="80"/>
      <c r="IT65" s="80"/>
      <c r="IU65" s="80"/>
      <c r="IV65" s="80"/>
      <c r="IW65" s="80"/>
    </row>
    <row r="66" customFormat="false" ht="12.75" hidden="false" customHeight="false" outlineLevel="0" collapsed="false">
      <c r="A66" s="80"/>
      <c r="B66" s="81" t="s">
        <v>37</v>
      </c>
      <c r="C66" s="82" t="s">
        <v>168</v>
      </c>
      <c r="D66" s="82" t="s">
        <v>169</v>
      </c>
      <c r="E66" s="83" t="n">
        <v>36861</v>
      </c>
      <c r="F66" s="83" t="n">
        <v>37864</v>
      </c>
      <c r="G66" s="81" t="s">
        <v>153</v>
      </c>
      <c r="H66" s="81" t="s">
        <v>171</v>
      </c>
      <c r="I66" s="82" t="s">
        <v>172</v>
      </c>
      <c r="J66" s="84" t="n">
        <f aca="false">7.5654/J$1</f>
        <v>0.244045161290323</v>
      </c>
      <c r="K66" s="85" t="n">
        <v>0</v>
      </c>
      <c r="L66" s="85" t="n">
        <v>0.0022</v>
      </c>
      <c r="M66" s="85" t="n">
        <v>0</v>
      </c>
      <c r="N66" s="85" t="n">
        <v>0</v>
      </c>
      <c r="O66" s="86" t="n">
        <v>0</v>
      </c>
      <c r="P66" s="85" t="n">
        <f aca="false">SUM(J66:N66)</f>
        <v>0.246245161290323</v>
      </c>
      <c r="Q66" s="113" t="n">
        <f aca="false">+Q65</f>
        <v>3.7476</v>
      </c>
      <c r="R66" s="82" t="n">
        <f aca="false">849+1742</f>
        <v>2591</v>
      </c>
      <c r="S66" s="81" t="str">
        <f aca="false">+S65</f>
        <v>#022144</v>
      </c>
      <c r="T66" s="89" t="n">
        <f aca="false">J66*J$1*R66</f>
        <v>19601.9514</v>
      </c>
      <c r="U66" s="89"/>
      <c r="V66" s="90" t="n">
        <v>503144</v>
      </c>
      <c r="W66" s="81"/>
      <c r="X66" s="91"/>
      <c r="Y66" s="91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80"/>
      <c r="GS66" s="80"/>
      <c r="GT66" s="80"/>
      <c r="GU66" s="80"/>
      <c r="GV66" s="80"/>
      <c r="GW66" s="80"/>
      <c r="GX66" s="80"/>
      <c r="GY66" s="80"/>
      <c r="GZ66" s="80"/>
      <c r="HA66" s="80"/>
      <c r="HB66" s="80"/>
      <c r="HC66" s="80"/>
      <c r="HD66" s="80"/>
      <c r="HE66" s="80"/>
      <c r="HF66" s="80"/>
      <c r="HG66" s="80"/>
      <c r="HH66" s="80"/>
      <c r="HI66" s="80"/>
      <c r="HJ66" s="80"/>
      <c r="HK66" s="80"/>
      <c r="HL66" s="80"/>
      <c r="HM66" s="80"/>
      <c r="HN66" s="80"/>
      <c r="HO66" s="80"/>
      <c r="HP66" s="80"/>
      <c r="HQ66" s="80"/>
      <c r="HR66" s="80"/>
      <c r="HS66" s="80"/>
      <c r="HT66" s="80"/>
      <c r="HU66" s="80"/>
      <c r="HV66" s="80"/>
      <c r="HW66" s="80"/>
      <c r="HX66" s="80"/>
      <c r="HY66" s="80"/>
      <c r="HZ66" s="80"/>
      <c r="IA66" s="80"/>
      <c r="IB66" s="80"/>
      <c r="IC66" s="80"/>
      <c r="ID66" s="80"/>
      <c r="IE66" s="80"/>
      <c r="IF66" s="80"/>
      <c r="IG66" s="80"/>
      <c r="IH66" s="80"/>
      <c r="II66" s="80"/>
      <c r="IJ66" s="80"/>
      <c r="IK66" s="80"/>
      <c r="IL66" s="80"/>
      <c r="IM66" s="80"/>
      <c r="IN66" s="80"/>
      <c r="IO66" s="80"/>
      <c r="IP66" s="80"/>
      <c r="IQ66" s="80"/>
      <c r="IR66" s="80"/>
      <c r="IS66" s="80"/>
      <c r="IT66" s="80"/>
      <c r="IU66" s="80"/>
      <c r="IV66" s="80"/>
      <c r="IW66" s="80"/>
    </row>
    <row r="67" customFormat="false" ht="12.75" hidden="false" customHeight="false" outlineLevel="0" collapsed="false">
      <c r="A67" s="80"/>
      <c r="B67" s="81" t="s">
        <v>37</v>
      </c>
      <c r="C67" s="82" t="s">
        <v>168</v>
      </c>
      <c r="D67" s="82" t="s">
        <v>169</v>
      </c>
      <c r="E67" s="83" t="n">
        <v>36861</v>
      </c>
      <c r="F67" s="83" t="n">
        <v>37864</v>
      </c>
      <c r="G67" s="81" t="s">
        <v>180</v>
      </c>
      <c r="H67" s="81" t="s">
        <v>171</v>
      </c>
      <c r="I67" s="82" t="s">
        <v>181</v>
      </c>
      <c r="J67" s="84" t="n">
        <f aca="false">12.0693/J1</f>
        <v>0.389332258064516</v>
      </c>
      <c r="K67" s="85" t="n">
        <v>0</v>
      </c>
      <c r="L67" s="85" t="n">
        <v>0.0022</v>
      </c>
      <c r="M67" s="85" t="n">
        <v>0</v>
      </c>
      <c r="N67" s="85" t="n">
        <v>0</v>
      </c>
      <c r="O67" s="86" t="n">
        <v>0</v>
      </c>
      <c r="P67" s="85" t="n">
        <f aca="false">SUM(J67:N67)</f>
        <v>0.391532258064516</v>
      </c>
      <c r="Q67" s="115" t="n">
        <v>3.7475</v>
      </c>
      <c r="R67" s="82" t="n">
        <v>2736</v>
      </c>
      <c r="S67" s="81" t="s">
        <v>182</v>
      </c>
      <c r="T67" s="89" t="n">
        <f aca="false">J67*J$1*R67</f>
        <v>33021.6048</v>
      </c>
      <c r="U67" s="89"/>
      <c r="V67" s="90" t="n">
        <v>503167</v>
      </c>
      <c r="W67" s="81"/>
      <c r="X67" s="91"/>
      <c r="Y67" s="91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  <c r="DL67" s="80"/>
      <c r="DM67" s="80"/>
      <c r="DN67" s="80"/>
      <c r="DO67" s="80"/>
      <c r="DP67" s="80"/>
      <c r="DQ67" s="80"/>
      <c r="DR67" s="80"/>
      <c r="DS67" s="80"/>
      <c r="DT67" s="80"/>
      <c r="DU67" s="80"/>
      <c r="DV67" s="80"/>
      <c r="DW67" s="80"/>
      <c r="DX67" s="80"/>
      <c r="DY67" s="80"/>
      <c r="DZ67" s="80"/>
      <c r="EA67" s="80"/>
      <c r="EB67" s="80"/>
      <c r="EC67" s="80"/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0"/>
      <c r="EO67" s="80"/>
      <c r="EP67" s="80"/>
      <c r="EQ67" s="80"/>
      <c r="ER67" s="80"/>
      <c r="ES67" s="80"/>
      <c r="ET67" s="80"/>
      <c r="EU67" s="80"/>
      <c r="EV67" s="80"/>
      <c r="EW67" s="80"/>
      <c r="EX67" s="80"/>
      <c r="EY67" s="80"/>
      <c r="EZ67" s="80"/>
      <c r="FA67" s="80"/>
      <c r="FB67" s="80"/>
      <c r="FC67" s="80"/>
      <c r="FD67" s="80"/>
      <c r="FE67" s="80"/>
      <c r="FF67" s="80"/>
      <c r="FG67" s="80"/>
      <c r="FH67" s="80"/>
      <c r="FI67" s="80"/>
      <c r="FJ67" s="80"/>
      <c r="FK67" s="80"/>
      <c r="FL67" s="80"/>
      <c r="FM67" s="80"/>
      <c r="FN67" s="80"/>
      <c r="FO67" s="80"/>
      <c r="FP67" s="80"/>
      <c r="FQ67" s="80"/>
      <c r="FR67" s="80"/>
      <c r="FS67" s="80"/>
      <c r="FT67" s="80"/>
      <c r="FU67" s="80"/>
      <c r="FV67" s="80"/>
      <c r="FW67" s="80"/>
      <c r="FX67" s="80"/>
      <c r="FY67" s="80"/>
      <c r="FZ67" s="80"/>
      <c r="GA67" s="80"/>
      <c r="GB67" s="80"/>
      <c r="GC67" s="80"/>
      <c r="GD67" s="80"/>
      <c r="GE67" s="80"/>
      <c r="GF67" s="80"/>
      <c r="GG67" s="80"/>
      <c r="GH67" s="80"/>
      <c r="GI67" s="80"/>
      <c r="GJ67" s="80"/>
      <c r="GK67" s="80"/>
      <c r="GL67" s="80"/>
      <c r="GM67" s="80"/>
      <c r="GN67" s="80"/>
      <c r="GO67" s="80"/>
      <c r="GP67" s="80"/>
      <c r="GQ67" s="80"/>
      <c r="GR67" s="80"/>
      <c r="GS67" s="80"/>
      <c r="GT67" s="80"/>
      <c r="GU67" s="80"/>
      <c r="GV67" s="80"/>
      <c r="GW67" s="80"/>
      <c r="GX67" s="80"/>
      <c r="GY67" s="80"/>
      <c r="GZ67" s="80"/>
      <c r="HA67" s="80"/>
      <c r="HB67" s="80"/>
      <c r="HC67" s="80"/>
      <c r="HD67" s="80"/>
      <c r="HE67" s="80"/>
      <c r="HF67" s="80"/>
      <c r="HG67" s="80"/>
      <c r="HH67" s="80"/>
      <c r="HI67" s="80"/>
      <c r="HJ67" s="80"/>
      <c r="HK67" s="80"/>
      <c r="HL67" s="80"/>
      <c r="HM67" s="80"/>
      <c r="HN67" s="80"/>
      <c r="HO67" s="80"/>
      <c r="HP67" s="80"/>
      <c r="HQ67" s="80"/>
      <c r="HR67" s="80"/>
      <c r="HS67" s="80"/>
      <c r="HT67" s="80"/>
      <c r="HU67" s="80"/>
      <c r="HV67" s="80"/>
      <c r="HW67" s="80"/>
      <c r="HX67" s="80"/>
      <c r="HY67" s="80"/>
      <c r="HZ67" s="80"/>
      <c r="IA67" s="80"/>
      <c r="IB67" s="80"/>
      <c r="IC67" s="80"/>
      <c r="ID67" s="80"/>
      <c r="IE67" s="80"/>
      <c r="IF67" s="80"/>
      <c r="IG67" s="80"/>
      <c r="IH67" s="80"/>
      <c r="II67" s="80"/>
      <c r="IJ67" s="80"/>
      <c r="IK67" s="80"/>
      <c r="IL67" s="80"/>
      <c r="IM67" s="80"/>
      <c r="IN67" s="80"/>
      <c r="IO67" s="80"/>
      <c r="IP67" s="80"/>
      <c r="IQ67" s="80"/>
      <c r="IR67" s="80"/>
      <c r="IS67" s="80"/>
      <c r="IT67" s="80"/>
      <c r="IU67" s="80"/>
      <c r="IV67" s="80"/>
      <c r="IW67" s="80"/>
    </row>
    <row r="68" customFormat="false" ht="12.75" hidden="false" customHeight="false" outlineLevel="0" collapsed="false">
      <c r="A68" s="80"/>
      <c r="B68" s="81" t="s">
        <v>37</v>
      </c>
      <c r="C68" s="82" t="s">
        <v>168</v>
      </c>
      <c r="D68" s="82" t="s">
        <v>169</v>
      </c>
      <c r="E68" s="83" t="n">
        <v>36892</v>
      </c>
      <c r="F68" s="83" t="n">
        <v>36922</v>
      </c>
      <c r="G68" s="81" t="s">
        <v>180</v>
      </c>
      <c r="H68" s="81" t="s">
        <v>171</v>
      </c>
      <c r="I68" s="82" t="s">
        <v>181</v>
      </c>
      <c r="J68" s="84" t="n">
        <f aca="false">11.9593/J1</f>
        <v>0.385783870967742</v>
      </c>
      <c r="K68" s="85" t="n">
        <v>0</v>
      </c>
      <c r="L68" s="85" t="n">
        <v>0.0022</v>
      </c>
      <c r="M68" s="85" t="n">
        <v>0</v>
      </c>
      <c r="N68" s="85" t="n">
        <v>0</v>
      </c>
      <c r="O68" s="86" t="n">
        <v>0</v>
      </c>
      <c r="P68" s="85" t="n">
        <f aca="false">SUM(J68:N68)</f>
        <v>0.387983870967742</v>
      </c>
      <c r="Q68" s="115" t="n">
        <v>3.7771</v>
      </c>
      <c r="R68" s="82" t="n">
        <v>1173</v>
      </c>
      <c r="S68" s="81" t="s">
        <v>183</v>
      </c>
      <c r="T68" s="89" t="n">
        <f aca="false">J68*J$1*R68</f>
        <v>14028.2589</v>
      </c>
      <c r="U68" s="89"/>
      <c r="V68" s="90" t="n">
        <v>544673</v>
      </c>
      <c r="W68" s="81" t="s">
        <v>176</v>
      </c>
      <c r="X68" s="91"/>
      <c r="Y68" s="91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  <c r="DL68" s="80"/>
      <c r="DM68" s="80"/>
      <c r="DN68" s="80"/>
      <c r="DO68" s="80"/>
      <c r="DP68" s="80"/>
      <c r="DQ68" s="80"/>
      <c r="DR68" s="80"/>
      <c r="DS68" s="80"/>
      <c r="DT68" s="80"/>
      <c r="DU68" s="80"/>
      <c r="DV68" s="80"/>
      <c r="DW68" s="80"/>
      <c r="DX68" s="80"/>
      <c r="DY68" s="80"/>
      <c r="DZ68" s="80"/>
      <c r="EA68" s="80"/>
      <c r="EB68" s="80"/>
      <c r="EC68" s="80"/>
      <c r="ED68" s="80"/>
      <c r="EE68" s="80"/>
      <c r="EF68" s="80"/>
      <c r="EG68" s="80"/>
      <c r="EH68" s="80"/>
      <c r="EI68" s="80"/>
      <c r="EJ68" s="80"/>
      <c r="EK68" s="80"/>
      <c r="EL68" s="80"/>
      <c r="EM68" s="80"/>
      <c r="EN68" s="80"/>
      <c r="EO68" s="80"/>
      <c r="EP68" s="80"/>
      <c r="EQ68" s="80"/>
      <c r="ER68" s="80"/>
      <c r="ES68" s="80"/>
      <c r="ET68" s="80"/>
      <c r="EU68" s="80"/>
      <c r="EV68" s="80"/>
      <c r="EW68" s="80"/>
      <c r="EX68" s="80"/>
      <c r="EY68" s="80"/>
      <c r="EZ68" s="80"/>
      <c r="FA68" s="80"/>
      <c r="FB68" s="80"/>
      <c r="FC68" s="80"/>
      <c r="FD68" s="80"/>
      <c r="FE68" s="80"/>
      <c r="FF68" s="80"/>
      <c r="FG68" s="80"/>
      <c r="FH68" s="80"/>
      <c r="FI68" s="80"/>
      <c r="FJ68" s="80"/>
      <c r="FK68" s="80"/>
      <c r="FL68" s="80"/>
      <c r="FM68" s="80"/>
      <c r="FN68" s="80"/>
      <c r="FO68" s="80"/>
      <c r="FP68" s="80"/>
      <c r="FQ68" s="80"/>
      <c r="FR68" s="80"/>
      <c r="FS68" s="80"/>
      <c r="FT68" s="80"/>
      <c r="FU68" s="80"/>
      <c r="FV68" s="80"/>
      <c r="FW68" s="80"/>
      <c r="FX68" s="80"/>
      <c r="FY68" s="80"/>
      <c r="FZ68" s="80"/>
      <c r="GA68" s="80"/>
      <c r="GB68" s="80"/>
      <c r="GC68" s="80"/>
      <c r="GD68" s="80"/>
      <c r="GE68" s="80"/>
      <c r="GF68" s="80"/>
      <c r="GG68" s="80"/>
      <c r="GH68" s="80"/>
      <c r="GI68" s="80"/>
      <c r="GJ68" s="80"/>
      <c r="GK68" s="80"/>
      <c r="GL68" s="80"/>
      <c r="GM68" s="80"/>
      <c r="GN68" s="80"/>
      <c r="GO68" s="80"/>
      <c r="GP68" s="80"/>
      <c r="GQ68" s="80"/>
      <c r="GR68" s="80"/>
      <c r="GS68" s="80"/>
      <c r="GT68" s="80"/>
      <c r="GU68" s="80"/>
      <c r="GV68" s="80"/>
      <c r="GW68" s="80"/>
      <c r="GX68" s="80"/>
      <c r="GY68" s="80"/>
      <c r="GZ68" s="80"/>
      <c r="HA68" s="80"/>
      <c r="HB68" s="80"/>
      <c r="HC68" s="80"/>
      <c r="HD68" s="80"/>
      <c r="HE68" s="80"/>
      <c r="HF68" s="80"/>
      <c r="HG68" s="80"/>
      <c r="HH68" s="80"/>
      <c r="HI68" s="80"/>
      <c r="HJ68" s="80"/>
      <c r="HK68" s="80"/>
      <c r="HL68" s="80"/>
      <c r="HM68" s="80"/>
      <c r="HN68" s="80"/>
      <c r="HO68" s="80"/>
      <c r="HP68" s="80"/>
      <c r="HQ68" s="80"/>
      <c r="HR68" s="80"/>
      <c r="HS68" s="80"/>
      <c r="HT68" s="80"/>
      <c r="HU68" s="80"/>
      <c r="HV68" s="80"/>
      <c r="HW68" s="80"/>
      <c r="HX68" s="80"/>
      <c r="HY68" s="80"/>
      <c r="HZ68" s="80"/>
      <c r="IA68" s="80"/>
      <c r="IB68" s="80"/>
      <c r="IC68" s="80"/>
      <c r="ID68" s="80"/>
      <c r="IE68" s="80"/>
      <c r="IF68" s="80"/>
      <c r="IG68" s="80"/>
      <c r="IH68" s="80"/>
      <c r="II68" s="80"/>
      <c r="IJ68" s="80"/>
      <c r="IK68" s="80"/>
      <c r="IL68" s="80"/>
      <c r="IM68" s="80"/>
      <c r="IN68" s="80"/>
      <c r="IO68" s="80"/>
      <c r="IP68" s="80"/>
      <c r="IQ68" s="80"/>
      <c r="IR68" s="80"/>
      <c r="IS68" s="80"/>
      <c r="IT68" s="80"/>
      <c r="IU68" s="80"/>
      <c r="IV68" s="80"/>
      <c r="IW68" s="80"/>
    </row>
    <row r="69" customFormat="false" ht="12.75" hidden="false" customHeight="false" outlineLevel="0" collapsed="false">
      <c r="A69" s="80"/>
      <c r="B69" s="81" t="s">
        <v>37</v>
      </c>
      <c r="C69" s="82" t="s">
        <v>168</v>
      </c>
      <c r="D69" s="82" t="s">
        <v>169</v>
      </c>
      <c r="E69" s="83" t="n">
        <v>11324</v>
      </c>
      <c r="F69" s="83" t="n">
        <v>36922</v>
      </c>
      <c r="G69" s="81" t="s">
        <v>170</v>
      </c>
      <c r="H69" s="81" t="s">
        <v>171</v>
      </c>
      <c r="I69" s="82" t="s">
        <v>172</v>
      </c>
      <c r="J69" s="84" t="n">
        <f aca="false">7.5654/J$1</f>
        <v>0.244045161290323</v>
      </c>
      <c r="K69" s="85" t="n">
        <v>0</v>
      </c>
      <c r="L69" s="85" t="n">
        <v>0.0022</v>
      </c>
      <c r="M69" s="85" t="n">
        <v>0</v>
      </c>
      <c r="N69" s="85" t="n">
        <v>0</v>
      </c>
      <c r="O69" s="86" t="n">
        <v>0</v>
      </c>
      <c r="P69" s="85" t="n">
        <f aca="false">SUM(J69:N69)</f>
        <v>0.246245161290323</v>
      </c>
      <c r="Q69" s="113" t="n">
        <v>3.7573</v>
      </c>
      <c r="R69" s="114" t="n">
        <v>269</v>
      </c>
      <c r="S69" s="81" t="s">
        <v>184</v>
      </c>
      <c r="T69" s="89" t="n">
        <f aca="false">J69*J$1*R69</f>
        <v>2035.0926</v>
      </c>
      <c r="U69" s="89"/>
      <c r="V69" s="90" t="n">
        <v>503124</v>
      </c>
      <c r="W69" s="81" t="s">
        <v>176</v>
      </c>
      <c r="X69" s="91"/>
      <c r="Y69" s="91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  <c r="DL69" s="80"/>
      <c r="DM69" s="80"/>
      <c r="DN69" s="80"/>
      <c r="DO69" s="80"/>
      <c r="DP69" s="80"/>
      <c r="DQ69" s="80"/>
      <c r="DR69" s="80"/>
      <c r="DS69" s="80"/>
      <c r="DT69" s="80"/>
      <c r="DU69" s="80"/>
      <c r="DV69" s="80"/>
      <c r="DW69" s="80"/>
      <c r="DX69" s="80"/>
      <c r="DY69" s="80"/>
      <c r="DZ69" s="80"/>
      <c r="EA69" s="80"/>
      <c r="EB69" s="80"/>
      <c r="EC69" s="80"/>
      <c r="ED69" s="80"/>
      <c r="EE69" s="80"/>
      <c r="EF69" s="80"/>
      <c r="EG69" s="80"/>
      <c r="EH69" s="80"/>
      <c r="EI69" s="80"/>
      <c r="EJ69" s="80"/>
      <c r="EK69" s="80"/>
      <c r="EL69" s="80"/>
      <c r="EM69" s="80"/>
      <c r="EN69" s="80"/>
      <c r="EO69" s="80"/>
      <c r="EP69" s="80"/>
      <c r="EQ69" s="80"/>
      <c r="ER69" s="80"/>
      <c r="ES69" s="80"/>
      <c r="ET69" s="80"/>
      <c r="EU69" s="80"/>
      <c r="EV69" s="80"/>
      <c r="EW69" s="80"/>
      <c r="EX69" s="80"/>
      <c r="EY69" s="80"/>
      <c r="EZ69" s="80"/>
      <c r="FA69" s="80"/>
      <c r="FB69" s="80"/>
      <c r="FC69" s="80"/>
      <c r="FD69" s="80"/>
      <c r="FE69" s="80"/>
      <c r="FF69" s="80"/>
      <c r="FG69" s="80"/>
      <c r="FH69" s="80"/>
      <c r="FI69" s="80"/>
      <c r="FJ69" s="80"/>
      <c r="FK69" s="80"/>
      <c r="FL69" s="80"/>
      <c r="FM69" s="80"/>
      <c r="FN69" s="80"/>
      <c r="FO69" s="80"/>
      <c r="FP69" s="80"/>
      <c r="FQ69" s="80"/>
      <c r="FR69" s="80"/>
      <c r="FS69" s="80"/>
      <c r="FT69" s="80"/>
      <c r="FU69" s="80"/>
      <c r="FV69" s="80"/>
      <c r="FW69" s="80"/>
      <c r="FX69" s="80"/>
      <c r="FY69" s="80"/>
      <c r="FZ69" s="80"/>
      <c r="GA69" s="80"/>
      <c r="GB69" s="80"/>
      <c r="GC69" s="80"/>
      <c r="GD69" s="80"/>
      <c r="GE69" s="80"/>
      <c r="GF69" s="80"/>
      <c r="GG69" s="80"/>
      <c r="GH69" s="80"/>
      <c r="GI69" s="80"/>
      <c r="GJ69" s="80"/>
      <c r="GK69" s="80"/>
      <c r="GL69" s="80"/>
      <c r="GM69" s="80"/>
      <c r="GN69" s="80"/>
      <c r="GO69" s="80"/>
      <c r="GP69" s="80"/>
      <c r="GQ69" s="80"/>
      <c r="GR69" s="80"/>
      <c r="GS69" s="80"/>
      <c r="GT69" s="80"/>
      <c r="GU69" s="80"/>
      <c r="GV69" s="80"/>
      <c r="GW69" s="80"/>
      <c r="GX69" s="80"/>
      <c r="GY69" s="80"/>
      <c r="GZ69" s="80"/>
      <c r="HA69" s="80"/>
      <c r="HB69" s="80"/>
      <c r="HC69" s="80"/>
      <c r="HD69" s="80"/>
      <c r="HE69" s="80"/>
      <c r="HF69" s="80"/>
      <c r="HG69" s="80"/>
      <c r="HH69" s="80"/>
      <c r="HI69" s="80"/>
      <c r="HJ69" s="80"/>
      <c r="HK69" s="80"/>
      <c r="HL69" s="80"/>
      <c r="HM69" s="80"/>
      <c r="HN69" s="80"/>
      <c r="HO69" s="80"/>
      <c r="HP69" s="80"/>
      <c r="HQ69" s="80"/>
      <c r="HR69" s="80"/>
      <c r="HS69" s="80"/>
      <c r="HT69" s="80"/>
      <c r="HU69" s="80"/>
      <c r="HV69" s="80"/>
      <c r="HW69" s="80"/>
      <c r="HX69" s="80"/>
      <c r="HY69" s="80"/>
      <c r="HZ69" s="80"/>
      <c r="IA69" s="80"/>
      <c r="IB69" s="80"/>
      <c r="IC69" s="80"/>
      <c r="ID69" s="80"/>
      <c r="IE69" s="80"/>
      <c r="IF69" s="80"/>
      <c r="IG69" s="80"/>
      <c r="IH69" s="80"/>
      <c r="II69" s="80"/>
      <c r="IJ69" s="80"/>
      <c r="IK69" s="80"/>
      <c r="IL69" s="80"/>
      <c r="IM69" s="80"/>
      <c r="IN69" s="80"/>
      <c r="IO69" s="80"/>
      <c r="IP69" s="80"/>
      <c r="IQ69" s="80"/>
      <c r="IR69" s="80"/>
      <c r="IS69" s="80"/>
      <c r="IT69" s="80"/>
      <c r="IU69" s="80"/>
      <c r="IV69" s="80"/>
      <c r="IW69" s="80"/>
    </row>
    <row r="70" customFormat="false" ht="12.75" hidden="false" customHeight="false" outlineLevel="0" collapsed="false">
      <c r="A70" s="80"/>
      <c r="B70" s="81" t="s">
        <v>37</v>
      </c>
      <c r="C70" s="82" t="s">
        <v>168</v>
      </c>
      <c r="D70" s="82" t="s">
        <v>169</v>
      </c>
      <c r="E70" s="83" t="n">
        <v>36892</v>
      </c>
      <c r="F70" s="83" t="n">
        <v>36922</v>
      </c>
      <c r="G70" s="81" t="s">
        <v>185</v>
      </c>
      <c r="H70" s="81"/>
      <c r="I70" s="82" t="s">
        <v>186</v>
      </c>
      <c r="J70" s="84" t="n">
        <v>0.0079</v>
      </c>
      <c r="K70" s="85" t="n">
        <v>0</v>
      </c>
      <c r="L70" s="85" t="n">
        <v>0.0022</v>
      </c>
      <c r="M70" s="85" t="n">
        <v>0</v>
      </c>
      <c r="N70" s="85" t="n">
        <v>0</v>
      </c>
      <c r="O70" s="86" t="n">
        <v>0</v>
      </c>
      <c r="P70" s="85" t="n">
        <f aca="false">SUM(J70:N70)</f>
        <v>0.0101</v>
      </c>
      <c r="Q70" s="115" t="n">
        <v>3.7862</v>
      </c>
      <c r="R70" s="82" t="n">
        <v>111614</v>
      </c>
      <c r="S70" s="81" t="s">
        <v>187</v>
      </c>
      <c r="T70" s="88" t="n">
        <f aca="false">+R70*J70</f>
        <v>881.7506</v>
      </c>
      <c r="U70" s="89"/>
      <c r="V70" s="90" t="n">
        <v>549990</v>
      </c>
      <c r="W70" s="81" t="s">
        <v>176</v>
      </c>
      <c r="X70" s="91"/>
      <c r="Y70" s="91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  <c r="CN70" s="80"/>
      <c r="CO70" s="80"/>
      <c r="CP70" s="80"/>
      <c r="CQ70" s="80"/>
      <c r="CR70" s="80"/>
      <c r="CS70" s="80"/>
      <c r="CT70" s="80"/>
      <c r="CU70" s="80"/>
      <c r="CV70" s="80"/>
      <c r="CW70" s="80"/>
      <c r="CX70" s="80"/>
      <c r="CY70" s="80"/>
      <c r="CZ70" s="80"/>
      <c r="DA70" s="80"/>
      <c r="DB70" s="80"/>
      <c r="DC70" s="80"/>
      <c r="DD70" s="80"/>
      <c r="DE70" s="80"/>
      <c r="DF70" s="80"/>
      <c r="DG70" s="80"/>
      <c r="DH70" s="80"/>
      <c r="DI70" s="80"/>
      <c r="DJ70" s="80"/>
      <c r="DK70" s="80"/>
      <c r="DL70" s="80"/>
      <c r="DM70" s="80"/>
      <c r="DN70" s="80"/>
      <c r="DO70" s="80"/>
      <c r="DP70" s="80"/>
      <c r="DQ70" s="80"/>
      <c r="DR70" s="80"/>
      <c r="DS70" s="80"/>
      <c r="DT70" s="80"/>
      <c r="DU70" s="80"/>
      <c r="DV70" s="80"/>
      <c r="DW70" s="80"/>
      <c r="DX70" s="80"/>
      <c r="DY70" s="80"/>
      <c r="DZ70" s="80"/>
      <c r="EA70" s="80"/>
      <c r="EB70" s="80"/>
      <c r="EC70" s="80"/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0"/>
      <c r="EO70" s="80"/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0"/>
      <c r="FF70" s="80"/>
      <c r="FG70" s="80"/>
      <c r="FH70" s="80"/>
      <c r="FI70" s="80"/>
      <c r="FJ70" s="80"/>
      <c r="FK70" s="80"/>
      <c r="FL70" s="80"/>
      <c r="FM70" s="80"/>
      <c r="FN70" s="80"/>
      <c r="FO70" s="80"/>
      <c r="FP70" s="80"/>
      <c r="FQ70" s="80"/>
      <c r="FR70" s="80"/>
      <c r="FS70" s="80"/>
      <c r="FT70" s="80"/>
      <c r="FU70" s="80"/>
      <c r="FV70" s="80"/>
      <c r="FW70" s="80"/>
      <c r="FX70" s="80"/>
      <c r="FY70" s="80"/>
      <c r="FZ70" s="80"/>
      <c r="GA70" s="80"/>
      <c r="GB70" s="80"/>
      <c r="GC70" s="80"/>
      <c r="GD70" s="80"/>
      <c r="GE70" s="80"/>
      <c r="GF70" s="80"/>
      <c r="GG70" s="80"/>
      <c r="GH70" s="80"/>
      <c r="GI70" s="80"/>
      <c r="GJ70" s="80"/>
      <c r="GK70" s="80"/>
      <c r="GL70" s="80"/>
      <c r="GM70" s="80"/>
      <c r="GN70" s="80"/>
      <c r="GO70" s="80"/>
      <c r="GP70" s="80"/>
      <c r="GQ70" s="80"/>
      <c r="GR70" s="80"/>
      <c r="GS70" s="80"/>
      <c r="GT70" s="80"/>
      <c r="GU70" s="80"/>
      <c r="GV70" s="80"/>
      <c r="GW70" s="80"/>
      <c r="GX70" s="80"/>
      <c r="GY70" s="80"/>
      <c r="GZ70" s="80"/>
      <c r="HA70" s="80"/>
      <c r="HB70" s="80"/>
      <c r="HC70" s="80"/>
      <c r="HD70" s="80"/>
      <c r="HE70" s="80"/>
      <c r="HF70" s="80"/>
      <c r="HG70" s="80"/>
      <c r="HH70" s="80"/>
      <c r="HI70" s="80"/>
      <c r="HJ70" s="80"/>
      <c r="HK70" s="80"/>
      <c r="HL70" s="80"/>
      <c r="HM70" s="80"/>
      <c r="HN70" s="80"/>
      <c r="HO70" s="80"/>
      <c r="HP70" s="80"/>
      <c r="HQ70" s="80"/>
      <c r="HR70" s="80"/>
      <c r="HS70" s="80"/>
      <c r="HT70" s="80"/>
      <c r="HU70" s="80"/>
      <c r="HV70" s="80"/>
      <c r="HW70" s="80"/>
      <c r="HX70" s="80"/>
      <c r="HY70" s="80"/>
      <c r="HZ70" s="80"/>
      <c r="IA70" s="80"/>
      <c r="IB70" s="80"/>
      <c r="IC70" s="80"/>
      <c r="ID70" s="80"/>
      <c r="IE70" s="80"/>
      <c r="IF70" s="80"/>
      <c r="IG70" s="80"/>
      <c r="IH70" s="80"/>
      <c r="II70" s="80"/>
      <c r="IJ70" s="80"/>
      <c r="IK70" s="80"/>
      <c r="IL70" s="80"/>
      <c r="IM70" s="80"/>
      <c r="IN70" s="80"/>
      <c r="IO70" s="80"/>
      <c r="IP70" s="80"/>
      <c r="IQ70" s="80"/>
      <c r="IR70" s="80"/>
      <c r="IS70" s="80"/>
      <c r="IT70" s="80"/>
      <c r="IU70" s="80"/>
      <c r="IV70" s="80"/>
      <c r="IW70" s="80"/>
    </row>
    <row r="71" customFormat="false" ht="12.75" hidden="false" customHeight="false" outlineLevel="0" collapsed="false">
      <c r="A71" s="80"/>
      <c r="B71" s="81" t="s">
        <v>37</v>
      </c>
      <c r="C71" s="82" t="s">
        <v>168</v>
      </c>
      <c r="D71" s="82" t="s">
        <v>169</v>
      </c>
      <c r="E71" s="83" t="n">
        <v>36892</v>
      </c>
      <c r="F71" s="83" t="n">
        <v>36922</v>
      </c>
      <c r="G71" s="81" t="s">
        <v>188</v>
      </c>
      <c r="H71" s="81"/>
      <c r="I71" s="82" t="s">
        <v>186</v>
      </c>
      <c r="J71" s="84" t="n">
        <v>0.6673</v>
      </c>
      <c r="K71" s="85" t="n">
        <v>0</v>
      </c>
      <c r="L71" s="85" t="n">
        <v>0.0022</v>
      </c>
      <c r="M71" s="85" t="n">
        <v>0</v>
      </c>
      <c r="N71" s="85" t="n">
        <v>0</v>
      </c>
      <c r="O71" s="86" t="n">
        <v>0</v>
      </c>
      <c r="P71" s="85" t="n">
        <f aca="false">SUM(J71:N71)</f>
        <v>0.6695</v>
      </c>
      <c r="Q71" s="115" t="n">
        <v>3.7862</v>
      </c>
      <c r="R71" s="82" t="n">
        <v>1313</v>
      </c>
      <c r="S71" s="81" t="s">
        <v>187</v>
      </c>
      <c r="T71" s="88" t="n">
        <f aca="false">+R71*J71</f>
        <v>876.1649</v>
      </c>
      <c r="U71" s="89"/>
      <c r="V71" s="90" t="n">
        <v>549990</v>
      </c>
      <c r="W71" s="81" t="s">
        <v>176</v>
      </c>
      <c r="X71" s="91"/>
      <c r="Y71" s="91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  <c r="CN71" s="80"/>
      <c r="CO71" s="80"/>
      <c r="CP71" s="80"/>
      <c r="CQ71" s="80"/>
      <c r="CR71" s="80"/>
      <c r="CS71" s="80"/>
      <c r="CT71" s="80"/>
      <c r="CU71" s="80"/>
      <c r="CV71" s="80"/>
      <c r="CW71" s="80"/>
      <c r="CX71" s="80"/>
      <c r="CY71" s="80"/>
      <c r="CZ71" s="80"/>
      <c r="DA71" s="80"/>
      <c r="DB71" s="80"/>
      <c r="DC71" s="80"/>
      <c r="DD71" s="80"/>
      <c r="DE71" s="80"/>
      <c r="DF71" s="80"/>
      <c r="DG71" s="80"/>
      <c r="DH71" s="80"/>
      <c r="DI71" s="80"/>
      <c r="DJ71" s="80"/>
      <c r="DK71" s="80"/>
      <c r="DL71" s="80"/>
      <c r="DM71" s="80"/>
      <c r="DN71" s="80"/>
      <c r="DO71" s="80"/>
      <c r="DP71" s="80"/>
      <c r="DQ71" s="80"/>
      <c r="DR71" s="80"/>
      <c r="DS71" s="80"/>
      <c r="DT71" s="80"/>
      <c r="DU71" s="80"/>
      <c r="DV71" s="80"/>
      <c r="DW71" s="80"/>
      <c r="DX71" s="80"/>
      <c r="DY71" s="80"/>
      <c r="DZ71" s="80"/>
      <c r="EA71" s="80"/>
      <c r="EB71" s="80"/>
      <c r="EC71" s="80"/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0"/>
      <c r="EO71" s="80"/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0"/>
      <c r="FF71" s="80"/>
      <c r="FG71" s="80"/>
      <c r="FH71" s="80"/>
      <c r="FI71" s="80"/>
      <c r="FJ71" s="80"/>
      <c r="FK71" s="80"/>
      <c r="FL71" s="80"/>
      <c r="FM71" s="80"/>
      <c r="FN71" s="80"/>
      <c r="FO71" s="80"/>
      <c r="FP71" s="80"/>
      <c r="FQ71" s="80"/>
      <c r="FR71" s="80"/>
      <c r="FS71" s="80"/>
      <c r="FT71" s="80"/>
      <c r="FU71" s="80"/>
      <c r="FV71" s="80"/>
      <c r="FW71" s="80"/>
      <c r="FX71" s="80"/>
      <c r="FY71" s="80"/>
      <c r="FZ71" s="80"/>
      <c r="GA71" s="80"/>
      <c r="GB71" s="80"/>
      <c r="GC71" s="80"/>
      <c r="GD71" s="80"/>
      <c r="GE71" s="80"/>
      <c r="GF71" s="80"/>
      <c r="GG71" s="80"/>
      <c r="GH71" s="80"/>
      <c r="GI71" s="80"/>
      <c r="GJ71" s="80"/>
      <c r="GK71" s="80"/>
      <c r="GL71" s="80"/>
      <c r="GM71" s="80"/>
      <c r="GN71" s="80"/>
      <c r="GO71" s="80"/>
      <c r="GP71" s="80"/>
      <c r="GQ71" s="80"/>
      <c r="GR71" s="80"/>
      <c r="GS71" s="80"/>
      <c r="GT71" s="80"/>
      <c r="GU71" s="80"/>
      <c r="GV71" s="80"/>
      <c r="GW71" s="80"/>
      <c r="GX71" s="80"/>
      <c r="GY71" s="80"/>
      <c r="GZ71" s="80"/>
      <c r="HA71" s="80"/>
      <c r="HB71" s="80"/>
      <c r="HC71" s="80"/>
      <c r="HD71" s="80"/>
      <c r="HE71" s="80"/>
      <c r="HF71" s="80"/>
      <c r="HG71" s="80"/>
      <c r="HH71" s="80"/>
      <c r="HI71" s="80"/>
      <c r="HJ71" s="80"/>
      <c r="HK71" s="80"/>
      <c r="HL71" s="80"/>
      <c r="HM71" s="80"/>
      <c r="HN71" s="80"/>
      <c r="HO71" s="80"/>
      <c r="HP71" s="80"/>
      <c r="HQ71" s="80"/>
      <c r="HR71" s="80"/>
      <c r="HS71" s="80"/>
      <c r="HT71" s="80"/>
      <c r="HU71" s="80"/>
      <c r="HV71" s="80"/>
      <c r="HW71" s="80"/>
      <c r="HX71" s="80"/>
      <c r="HY71" s="80"/>
      <c r="HZ71" s="80"/>
      <c r="IA71" s="80"/>
      <c r="IB71" s="80"/>
      <c r="IC71" s="80"/>
      <c r="ID71" s="80"/>
      <c r="IE71" s="80"/>
      <c r="IF71" s="80"/>
      <c r="IG71" s="80"/>
      <c r="IH71" s="80"/>
      <c r="II71" s="80"/>
      <c r="IJ71" s="80"/>
      <c r="IK71" s="80"/>
      <c r="IL71" s="80"/>
      <c r="IM71" s="80"/>
      <c r="IN71" s="80"/>
      <c r="IO71" s="80"/>
      <c r="IP71" s="80"/>
      <c r="IQ71" s="80"/>
      <c r="IR71" s="80"/>
      <c r="IS71" s="80"/>
      <c r="IT71" s="80"/>
      <c r="IU71" s="80"/>
      <c r="IV71" s="80"/>
      <c r="IW71" s="80"/>
    </row>
    <row r="72" customFormat="false" ht="12.75" hidden="false" customHeight="false" outlineLevel="0" collapsed="false">
      <c r="A72" s="80"/>
      <c r="B72" s="81" t="s">
        <v>37</v>
      </c>
      <c r="C72" s="82" t="s">
        <v>168</v>
      </c>
      <c r="D72" s="82" t="s">
        <v>169</v>
      </c>
      <c r="E72" s="83" t="n">
        <v>36861</v>
      </c>
      <c r="F72" s="83" t="n">
        <v>37864</v>
      </c>
      <c r="G72" s="81" t="s">
        <v>185</v>
      </c>
      <c r="H72" s="81"/>
      <c r="I72" s="82" t="s">
        <v>186</v>
      </c>
      <c r="J72" s="84" t="n">
        <v>0.0079</v>
      </c>
      <c r="K72" s="85" t="n">
        <v>0</v>
      </c>
      <c r="L72" s="85" t="n">
        <v>0.0022</v>
      </c>
      <c r="M72" s="85" t="n">
        <v>0</v>
      </c>
      <c r="N72" s="85" t="n">
        <v>0</v>
      </c>
      <c r="O72" s="86" t="n">
        <v>0</v>
      </c>
      <c r="P72" s="85" t="n">
        <f aca="false">SUM(J72:N72)</f>
        <v>0.0101</v>
      </c>
      <c r="Q72" s="113" t="n">
        <v>3.7508</v>
      </c>
      <c r="R72" s="82" t="n">
        <v>260196</v>
      </c>
      <c r="S72" s="81" t="s">
        <v>189</v>
      </c>
      <c r="T72" s="88" t="n">
        <f aca="false">+R72*J72</f>
        <v>2055.5484</v>
      </c>
      <c r="U72" s="89"/>
      <c r="V72" s="90" t="n">
        <v>503104</v>
      </c>
      <c r="W72" s="81"/>
      <c r="X72" s="91"/>
      <c r="Y72" s="91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  <c r="CN72" s="80"/>
      <c r="CO72" s="80"/>
      <c r="CP72" s="80"/>
      <c r="CQ72" s="80"/>
      <c r="CR72" s="80"/>
      <c r="CS72" s="80"/>
      <c r="CT72" s="80"/>
      <c r="CU72" s="80"/>
      <c r="CV72" s="80"/>
      <c r="CW72" s="80"/>
      <c r="CX72" s="80"/>
      <c r="CY72" s="80"/>
      <c r="CZ72" s="80"/>
      <c r="DA72" s="80"/>
      <c r="DB72" s="80"/>
      <c r="DC72" s="80"/>
      <c r="DD72" s="80"/>
      <c r="DE72" s="80"/>
      <c r="DF72" s="80"/>
      <c r="DG72" s="80"/>
      <c r="DH72" s="80"/>
      <c r="DI72" s="80"/>
      <c r="DJ72" s="80"/>
      <c r="DK72" s="80"/>
      <c r="DL72" s="80"/>
      <c r="DM72" s="80"/>
      <c r="DN72" s="80"/>
      <c r="DO72" s="80"/>
      <c r="DP72" s="80"/>
      <c r="DQ72" s="80"/>
      <c r="DR72" s="80"/>
      <c r="DS72" s="80"/>
      <c r="DT72" s="80"/>
      <c r="DU72" s="80"/>
      <c r="DV72" s="80"/>
      <c r="DW72" s="80"/>
      <c r="DX72" s="80"/>
      <c r="DY72" s="80"/>
      <c r="DZ72" s="80"/>
      <c r="EA72" s="80"/>
      <c r="EB72" s="80"/>
      <c r="EC72" s="80"/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0"/>
      <c r="EO72" s="80"/>
      <c r="EP72" s="80"/>
      <c r="EQ72" s="80"/>
      <c r="ER72" s="80"/>
      <c r="ES72" s="80"/>
      <c r="ET72" s="80"/>
      <c r="EU72" s="80"/>
      <c r="EV72" s="80"/>
      <c r="EW72" s="80"/>
      <c r="EX72" s="80"/>
      <c r="EY72" s="80"/>
      <c r="EZ72" s="80"/>
      <c r="FA72" s="80"/>
      <c r="FB72" s="80"/>
      <c r="FC72" s="80"/>
      <c r="FD72" s="80"/>
      <c r="FE72" s="80"/>
      <c r="FF72" s="80"/>
      <c r="FG72" s="80"/>
      <c r="FH72" s="80"/>
      <c r="FI72" s="80"/>
      <c r="FJ72" s="80"/>
      <c r="FK72" s="80"/>
      <c r="FL72" s="80"/>
      <c r="FM72" s="80"/>
      <c r="FN72" s="80"/>
      <c r="FO72" s="80"/>
      <c r="FP72" s="80"/>
      <c r="FQ72" s="80"/>
      <c r="FR72" s="80"/>
      <c r="FS72" s="80"/>
      <c r="FT72" s="80"/>
      <c r="FU72" s="80"/>
      <c r="FV72" s="80"/>
      <c r="FW72" s="80"/>
      <c r="FX72" s="80"/>
      <c r="FY72" s="80"/>
      <c r="FZ72" s="80"/>
      <c r="GA72" s="80"/>
      <c r="GB72" s="80"/>
      <c r="GC72" s="80"/>
      <c r="GD72" s="80"/>
      <c r="GE72" s="80"/>
      <c r="GF72" s="80"/>
      <c r="GG72" s="80"/>
      <c r="GH72" s="80"/>
      <c r="GI72" s="80"/>
      <c r="GJ72" s="80"/>
      <c r="GK72" s="80"/>
      <c r="GL72" s="80"/>
      <c r="GM72" s="80"/>
      <c r="GN72" s="80"/>
      <c r="GO72" s="80"/>
      <c r="GP72" s="80"/>
      <c r="GQ72" s="80"/>
      <c r="GR72" s="80"/>
      <c r="GS72" s="80"/>
      <c r="GT72" s="80"/>
      <c r="GU72" s="80"/>
      <c r="GV72" s="80"/>
      <c r="GW72" s="80"/>
      <c r="GX72" s="80"/>
      <c r="GY72" s="80"/>
      <c r="GZ72" s="80"/>
      <c r="HA72" s="80"/>
      <c r="HB72" s="80"/>
      <c r="HC72" s="80"/>
      <c r="HD72" s="80"/>
      <c r="HE72" s="80"/>
      <c r="HF72" s="80"/>
      <c r="HG72" s="80"/>
      <c r="HH72" s="80"/>
      <c r="HI72" s="80"/>
      <c r="HJ72" s="80"/>
      <c r="HK72" s="80"/>
      <c r="HL72" s="80"/>
      <c r="HM72" s="80"/>
      <c r="HN72" s="80"/>
      <c r="HO72" s="80"/>
      <c r="HP72" s="80"/>
      <c r="HQ72" s="80"/>
      <c r="HR72" s="80"/>
      <c r="HS72" s="80"/>
      <c r="HT72" s="80"/>
      <c r="HU72" s="80"/>
      <c r="HV72" s="80"/>
      <c r="HW72" s="80"/>
      <c r="HX72" s="80"/>
      <c r="HY72" s="80"/>
      <c r="HZ72" s="80"/>
      <c r="IA72" s="80"/>
      <c r="IB72" s="80"/>
      <c r="IC72" s="80"/>
      <c r="ID72" s="80"/>
      <c r="IE72" s="80"/>
      <c r="IF72" s="80"/>
      <c r="IG72" s="80"/>
      <c r="IH72" s="80"/>
      <c r="II72" s="80"/>
      <c r="IJ72" s="80"/>
      <c r="IK72" s="80"/>
      <c r="IL72" s="80"/>
      <c r="IM72" s="80"/>
      <c r="IN72" s="80"/>
      <c r="IO72" s="80"/>
      <c r="IP72" s="80"/>
      <c r="IQ72" s="80"/>
      <c r="IR72" s="80"/>
      <c r="IS72" s="80"/>
      <c r="IT72" s="80"/>
      <c r="IU72" s="80"/>
      <c r="IV72" s="80"/>
      <c r="IW72" s="80"/>
    </row>
    <row r="73" customFormat="false" ht="12.75" hidden="false" customHeight="false" outlineLevel="0" collapsed="false">
      <c r="A73" s="80"/>
      <c r="B73" s="81" t="s">
        <v>37</v>
      </c>
      <c r="C73" s="82" t="s">
        <v>168</v>
      </c>
      <c r="D73" s="82" t="s">
        <v>169</v>
      </c>
      <c r="E73" s="83" t="n">
        <v>36861</v>
      </c>
      <c r="F73" s="83" t="n">
        <v>37864</v>
      </c>
      <c r="G73" s="81" t="s">
        <v>188</v>
      </c>
      <c r="H73" s="81"/>
      <c r="I73" s="82" t="s">
        <v>186</v>
      </c>
      <c r="J73" s="84" t="n">
        <v>0.6673</v>
      </c>
      <c r="K73" s="85" t="n">
        <v>0</v>
      </c>
      <c r="L73" s="85" t="n">
        <v>0.0022</v>
      </c>
      <c r="M73" s="85" t="n">
        <v>0</v>
      </c>
      <c r="N73" s="85" t="n">
        <v>0</v>
      </c>
      <c r="O73" s="86" t="n">
        <v>0</v>
      </c>
      <c r="P73" s="85" t="n">
        <f aca="false">SUM(J73:N73)</f>
        <v>0.6695</v>
      </c>
      <c r="Q73" s="113" t="n">
        <v>3.7508</v>
      </c>
      <c r="R73" s="82" t="n">
        <v>3061</v>
      </c>
      <c r="S73" s="81" t="s">
        <v>189</v>
      </c>
      <c r="T73" s="88" t="n">
        <f aca="false">+R73*J73</f>
        <v>2042.6053</v>
      </c>
      <c r="U73" s="89"/>
      <c r="V73" s="90" t="n">
        <v>503104</v>
      </c>
      <c r="W73" s="81"/>
      <c r="X73" s="91"/>
      <c r="Y73" s="91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  <c r="CN73" s="80"/>
      <c r="CO73" s="80"/>
      <c r="CP73" s="80"/>
      <c r="CQ73" s="80"/>
      <c r="CR73" s="80"/>
      <c r="CS73" s="80"/>
      <c r="CT73" s="80"/>
      <c r="CU73" s="80"/>
      <c r="CV73" s="80"/>
      <c r="CW73" s="80"/>
      <c r="CX73" s="80"/>
      <c r="CY73" s="80"/>
      <c r="CZ73" s="80"/>
      <c r="DA73" s="80"/>
      <c r="DB73" s="80"/>
      <c r="DC73" s="80"/>
      <c r="DD73" s="80"/>
      <c r="DE73" s="80"/>
      <c r="DF73" s="80"/>
      <c r="DG73" s="80"/>
      <c r="DH73" s="80"/>
      <c r="DI73" s="80"/>
      <c r="DJ73" s="80"/>
      <c r="DK73" s="80"/>
      <c r="DL73" s="80"/>
      <c r="DM73" s="80"/>
      <c r="DN73" s="80"/>
      <c r="DO73" s="80"/>
      <c r="DP73" s="80"/>
      <c r="DQ73" s="80"/>
      <c r="DR73" s="80"/>
      <c r="DS73" s="80"/>
      <c r="DT73" s="80"/>
      <c r="DU73" s="80"/>
      <c r="DV73" s="80"/>
      <c r="DW73" s="80"/>
      <c r="DX73" s="80"/>
      <c r="DY73" s="80"/>
      <c r="DZ73" s="80"/>
      <c r="EA73" s="80"/>
      <c r="EB73" s="80"/>
      <c r="EC73" s="80"/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0"/>
      <c r="EO73" s="80"/>
      <c r="EP73" s="80"/>
      <c r="EQ73" s="80"/>
      <c r="ER73" s="80"/>
      <c r="ES73" s="80"/>
      <c r="ET73" s="80"/>
      <c r="EU73" s="80"/>
      <c r="EV73" s="80"/>
      <c r="EW73" s="80"/>
      <c r="EX73" s="80"/>
      <c r="EY73" s="80"/>
      <c r="EZ73" s="80"/>
      <c r="FA73" s="80"/>
      <c r="FB73" s="80"/>
      <c r="FC73" s="80"/>
      <c r="FD73" s="80"/>
      <c r="FE73" s="80"/>
      <c r="FF73" s="80"/>
      <c r="FG73" s="80"/>
      <c r="FH73" s="80"/>
      <c r="FI73" s="80"/>
      <c r="FJ73" s="80"/>
      <c r="FK73" s="80"/>
      <c r="FL73" s="80"/>
      <c r="FM73" s="80"/>
      <c r="FN73" s="80"/>
      <c r="FO73" s="80"/>
      <c r="FP73" s="80"/>
      <c r="FQ73" s="80"/>
      <c r="FR73" s="80"/>
      <c r="FS73" s="80"/>
      <c r="FT73" s="80"/>
      <c r="FU73" s="80"/>
      <c r="FV73" s="80"/>
      <c r="FW73" s="80"/>
      <c r="FX73" s="80"/>
      <c r="FY73" s="80"/>
      <c r="FZ73" s="80"/>
      <c r="GA73" s="80"/>
      <c r="GB73" s="80"/>
      <c r="GC73" s="80"/>
      <c r="GD73" s="80"/>
      <c r="GE73" s="80"/>
      <c r="GF73" s="80"/>
      <c r="GG73" s="80"/>
      <c r="GH73" s="80"/>
      <c r="GI73" s="80"/>
      <c r="GJ73" s="80"/>
      <c r="GK73" s="80"/>
      <c r="GL73" s="80"/>
      <c r="GM73" s="80"/>
      <c r="GN73" s="80"/>
      <c r="GO73" s="80"/>
      <c r="GP73" s="80"/>
      <c r="GQ73" s="80"/>
      <c r="GR73" s="80"/>
      <c r="GS73" s="80"/>
      <c r="GT73" s="80"/>
      <c r="GU73" s="80"/>
      <c r="GV73" s="80"/>
      <c r="GW73" s="80"/>
      <c r="GX73" s="80"/>
      <c r="GY73" s="80"/>
      <c r="GZ73" s="80"/>
      <c r="HA73" s="80"/>
      <c r="HB73" s="80"/>
      <c r="HC73" s="80"/>
      <c r="HD73" s="80"/>
      <c r="HE73" s="80"/>
      <c r="HF73" s="80"/>
      <c r="HG73" s="80"/>
      <c r="HH73" s="80"/>
      <c r="HI73" s="80"/>
      <c r="HJ73" s="80"/>
      <c r="HK73" s="80"/>
      <c r="HL73" s="80"/>
      <c r="HM73" s="80"/>
      <c r="HN73" s="80"/>
      <c r="HO73" s="80"/>
      <c r="HP73" s="80"/>
      <c r="HQ73" s="80"/>
      <c r="HR73" s="80"/>
      <c r="HS73" s="80"/>
      <c r="HT73" s="80"/>
      <c r="HU73" s="80"/>
      <c r="HV73" s="80"/>
      <c r="HW73" s="80"/>
      <c r="HX73" s="80"/>
      <c r="HY73" s="80"/>
      <c r="HZ73" s="80"/>
      <c r="IA73" s="80"/>
      <c r="IB73" s="80"/>
      <c r="IC73" s="80"/>
      <c r="ID73" s="80"/>
      <c r="IE73" s="80"/>
      <c r="IF73" s="80"/>
      <c r="IG73" s="80"/>
      <c r="IH73" s="80"/>
      <c r="II73" s="80"/>
      <c r="IJ73" s="80"/>
      <c r="IK73" s="80"/>
      <c r="IL73" s="80"/>
      <c r="IM73" s="80"/>
      <c r="IN73" s="80"/>
      <c r="IO73" s="80"/>
      <c r="IP73" s="80"/>
      <c r="IQ73" s="80"/>
      <c r="IR73" s="80"/>
      <c r="IS73" s="80"/>
      <c r="IT73" s="80"/>
      <c r="IU73" s="80"/>
      <c r="IV73" s="80"/>
      <c r="IW73" s="80"/>
    </row>
    <row r="74" customFormat="false" ht="12.75" hidden="false" customHeight="false" outlineLevel="0" collapsed="false">
      <c r="A74" s="80"/>
      <c r="B74" s="81" t="s">
        <v>37</v>
      </c>
      <c r="C74" s="82" t="s">
        <v>168</v>
      </c>
      <c r="D74" s="82" t="s">
        <v>169</v>
      </c>
      <c r="E74" s="83" t="n">
        <v>36892</v>
      </c>
      <c r="F74" s="83" t="n">
        <v>36922</v>
      </c>
      <c r="G74" s="81" t="s">
        <v>190</v>
      </c>
      <c r="H74" s="81"/>
      <c r="I74" s="82" t="s">
        <v>191</v>
      </c>
      <c r="J74" s="84" t="n">
        <v>0.0481</v>
      </c>
      <c r="K74" s="85" t="n">
        <v>0</v>
      </c>
      <c r="L74" s="85" t="n">
        <v>0.0022</v>
      </c>
      <c r="M74" s="85" t="n">
        <v>0</v>
      </c>
      <c r="N74" s="85" t="n">
        <v>0</v>
      </c>
      <c r="O74" s="86" t="n">
        <v>0</v>
      </c>
      <c r="P74" s="85" t="n">
        <f aca="false">SUM(J74:N74)</f>
        <v>0.0503</v>
      </c>
      <c r="Q74" s="115" t="n">
        <v>3.7861</v>
      </c>
      <c r="R74" s="82" t="n">
        <v>5670</v>
      </c>
      <c r="S74" s="81" t="s">
        <v>192</v>
      </c>
      <c r="T74" s="88" t="n">
        <f aca="false">+J74*R74</f>
        <v>272.727</v>
      </c>
      <c r="U74" s="89"/>
      <c r="V74" s="90" t="n">
        <v>549753</v>
      </c>
      <c r="W74" s="81"/>
      <c r="X74" s="91"/>
      <c r="Y74" s="91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0"/>
      <c r="DM74" s="80"/>
      <c r="DN74" s="80"/>
      <c r="DO74" s="80"/>
      <c r="DP74" s="80"/>
      <c r="DQ74" s="80"/>
      <c r="DR74" s="80"/>
      <c r="DS74" s="80"/>
      <c r="DT74" s="80"/>
      <c r="DU74" s="80"/>
      <c r="DV74" s="80"/>
      <c r="DW74" s="80"/>
      <c r="DX74" s="80"/>
      <c r="DY74" s="80"/>
      <c r="DZ74" s="80"/>
      <c r="EA74" s="80"/>
      <c r="EB74" s="80"/>
      <c r="EC74" s="80"/>
      <c r="ED74" s="80"/>
      <c r="EE74" s="80"/>
      <c r="EF74" s="80"/>
      <c r="EG74" s="80"/>
      <c r="EH74" s="80"/>
      <c r="EI74" s="80"/>
      <c r="EJ74" s="80"/>
      <c r="EK74" s="80"/>
      <c r="EL74" s="80"/>
      <c r="EM74" s="80"/>
      <c r="EN74" s="80"/>
      <c r="EO74" s="80"/>
      <c r="EP74" s="80"/>
      <c r="EQ74" s="80"/>
      <c r="ER74" s="80"/>
      <c r="ES74" s="80"/>
      <c r="ET74" s="80"/>
      <c r="EU74" s="80"/>
      <c r="EV74" s="80"/>
      <c r="EW74" s="80"/>
      <c r="EX74" s="80"/>
      <c r="EY74" s="80"/>
      <c r="EZ74" s="80"/>
      <c r="FA74" s="80"/>
      <c r="FB74" s="80"/>
      <c r="FC74" s="80"/>
      <c r="FD74" s="80"/>
      <c r="FE74" s="80"/>
      <c r="FF74" s="80"/>
      <c r="FG74" s="80"/>
      <c r="FH74" s="80"/>
      <c r="FI74" s="80"/>
      <c r="FJ74" s="80"/>
      <c r="FK74" s="80"/>
      <c r="FL74" s="80"/>
      <c r="FM74" s="80"/>
      <c r="FN74" s="80"/>
      <c r="FO74" s="80"/>
      <c r="FP74" s="80"/>
      <c r="FQ74" s="80"/>
      <c r="FR74" s="80"/>
      <c r="FS74" s="80"/>
      <c r="FT74" s="80"/>
      <c r="FU74" s="80"/>
      <c r="FV74" s="80"/>
      <c r="FW74" s="80"/>
      <c r="FX74" s="80"/>
      <c r="FY74" s="80"/>
      <c r="FZ74" s="80"/>
      <c r="GA74" s="80"/>
      <c r="GB74" s="80"/>
      <c r="GC74" s="80"/>
      <c r="GD74" s="80"/>
      <c r="GE74" s="80"/>
      <c r="GF74" s="80"/>
      <c r="GG74" s="80"/>
      <c r="GH74" s="80"/>
      <c r="GI74" s="80"/>
      <c r="GJ74" s="80"/>
      <c r="GK74" s="80"/>
      <c r="GL74" s="80"/>
      <c r="GM74" s="80"/>
      <c r="GN74" s="80"/>
      <c r="GO74" s="80"/>
      <c r="GP74" s="80"/>
      <c r="GQ74" s="80"/>
      <c r="GR74" s="80"/>
      <c r="GS74" s="80"/>
      <c r="GT74" s="80"/>
      <c r="GU74" s="80"/>
      <c r="GV74" s="80"/>
      <c r="GW74" s="80"/>
      <c r="GX74" s="80"/>
      <c r="GY74" s="80"/>
      <c r="GZ74" s="80"/>
      <c r="HA74" s="80"/>
      <c r="HB74" s="80"/>
      <c r="HC74" s="80"/>
      <c r="HD74" s="80"/>
      <c r="HE74" s="80"/>
      <c r="HF74" s="80"/>
      <c r="HG74" s="80"/>
      <c r="HH74" s="80"/>
      <c r="HI74" s="80"/>
      <c r="HJ74" s="80"/>
      <c r="HK74" s="80"/>
      <c r="HL74" s="80"/>
      <c r="HM74" s="80"/>
      <c r="HN74" s="80"/>
      <c r="HO74" s="80"/>
      <c r="HP74" s="80"/>
      <c r="HQ74" s="80"/>
      <c r="HR74" s="80"/>
      <c r="HS74" s="80"/>
      <c r="HT74" s="80"/>
      <c r="HU74" s="80"/>
      <c r="HV74" s="80"/>
      <c r="HW74" s="80"/>
      <c r="HX74" s="80"/>
      <c r="HY74" s="80"/>
      <c r="HZ74" s="80"/>
      <c r="IA74" s="80"/>
      <c r="IB74" s="80"/>
      <c r="IC74" s="80"/>
      <c r="ID74" s="80"/>
      <c r="IE74" s="80"/>
      <c r="IF74" s="80"/>
      <c r="IG74" s="80"/>
      <c r="IH74" s="80"/>
      <c r="II74" s="80"/>
      <c r="IJ74" s="80"/>
      <c r="IK74" s="80"/>
      <c r="IL74" s="80"/>
      <c r="IM74" s="80"/>
      <c r="IN74" s="80"/>
      <c r="IO74" s="80"/>
      <c r="IP74" s="80"/>
      <c r="IQ74" s="80"/>
      <c r="IR74" s="80"/>
      <c r="IS74" s="80"/>
      <c r="IT74" s="80"/>
      <c r="IU74" s="80"/>
      <c r="IV74" s="80"/>
      <c r="IW74" s="80"/>
    </row>
    <row r="75" customFormat="false" ht="12.75" hidden="false" customHeight="false" outlineLevel="0" collapsed="false">
      <c r="A75" s="80"/>
      <c r="B75" s="81" t="s">
        <v>37</v>
      </c>
      <c r="C75" s="82" t="s">
        <v>168</v>
      </c>
      <c r="D75" s="82" t="s">
        <v>169</v>
      </c>
      <c r="E75" s="83" t="n">
        <v>36892</v>
      </c>
      <c r="F75" s="83" t="n">
        <v>36922</v>
      </c>
      <c r="G75" s="81" t="s">
        <v>193</v>
      </c>
      <c r="H75" s="81"/>
      <c r="I75" s="82" t="s">
        <v>191</v>
      </c>
      <c r="J75" s="84" t="n">
        <v>0.484</v>
      </c>
      <c r="K75" s="85" t="n">
        <v>0</v>
      </c>
      <c r="L75" s="85" t="n">
        <v>0.0022</v>
      </c>
      <c r="M75" s="85" t="n">
        <v>0</v>
      </c>
      <c r="N75" s="85" t="n">
        <v>0</v>
      </c>
      <c r="O75" s="86" t="n">
        <v>0</v>
      </c>
      <c r="P75" s="85" t="n">
        <f aca="false">SUM(J75:N75)</f>
        <v>0.4862</v>
      </c>
      <c r="Q75" s="115" t="n">
        <v>3.7861</v>
      </c>
      <c r="R75" s="82" t="n">
        <v>564</v>
      </c>
      <c r="S75" s="81" t="s">
        <v>192</v>
      </c>
      <c r="T75" s="88" t="n">
        <f aca="false">+J75*R75</f>
        <v>272.976</v>
      </c>
      <c r="U75" s="89"/>
      <c r="V75" s="90" t="n">
        <v>549753</v>
      </c>
      <c r="W75" s="81"/>
      <c r="X75" s="91"/>
      <c r="Y75" s="91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  <c r="CN75" s="80"/>
      <c r="CO75" s="80"/>
      <c r="CP75" s="80"/>
      <c r="CQ75" s="80"/>
      <c r="CR75" s="80"/>
      <c r="CS75" s="80"/>
      <c r="CT75" s="80"/>
      <c r="CU75" s="80"/>
      <c r="CV75" s="80"/>
      <c r="CW75" s="80"/>
      <c r="CX75" s="80"/>
      <c r="CY75" s="80"/>
      <c r="CZ75" s="80"/>
      <c r="DA75" s="80"/>
      <c r="DB75" s="80"/>
      <c r="DC75" s="80"/>
      <c r="DD75" s="80"/>
      <c r="DE75" s="80"/>
      <c r="DF75" s="80"/>
      <c r="DG75" s="80"/>
      <c r="DH75" s="80"/>
      <c r="DI75" s="80"/>
      <c r="DJ75" s="80"/>
      <c r="DK75" s="80"/>
      <c r="DL75" s="80"/>
      <c r="DM75" s="80"/>
      <c r="DN75" s="80"/>
      <c r="DO75" s="80"/>
      <c r="DP75" s="80"/>
      <c r="DQ75" s="80"/>
      <c r="DR75" s="80"/>
      <c r="DS75" s="80"/>
      <c r="DT75" s="80"/>
      <c r="DU75" s="80"/>
      <c r="DV75" s="80"/>
      <c r="DW75" s="80"/>
      <c r="DX75" s="80"/>
      <c r="DY75" s="80"/>
      <c r="DZ75" s="80"/>
      <c r="EA75" s="80"/>
      <c r="EB75" s="80"/>
      <c r="EC75" s="80"/>
      <c r="ED75" s="80"/>
      <c r="EE75" s="80"/>
      <c r="EF75" s="80"/>
      <c r="EG75" s="80"/>
      <c r="EH75" s="80"/>
      <c r="EI75" s="80"/>
      <c r="EJ75" s="80"/>
      <c r="EK75" s="80"/>
      <c r="EL75" s="80"/>
      <c r="EM75" s="80"/>
      <c r="EN75" s="80"/>
      <c r="EO75" s="80"/>
      <c r="EP75" s="80"/>
      <c r="EQ75" s="80"/>
      <c r="ER75" s="80"/>
      <c r="ES75" s="80"/>
      <c r="ET75" s="80"/>
      <c r="EU75" s="80"/>
      <c r="EV75" s="80"/>
      <c r="EW75" s="80"/>
      <c r="EX75" s="80"/>
      <c r="EY75" s="80"/>
      <c r="EZ75" s="80"/>
      <c r="FA75" s="80"/>
      <c r="FB75" s="80"/>
      <c r="FC75" s="80"/>
      <c r="FD75" s="80"/>
      <c r="FE75" s="80"/>
      <c r="FF75" s="80"/>
      <c r="FG75" s="80"/>
      <c r="FH75" s="80"/>
      <c r="FI75" s="80"/>
      <c r="FJ75" s="80"/>
      <c r="FK75" s="80"/>
      <c r="FL75" s="80"/>
      <c r="FM75" s="80"/>
      <c r="FN75" s="80"/>
      <c r="FO75" s="80"/>
      <c r="FP75" s="80"/>
      <c r="FQ75" s="80"/>
      <c r="FR75" s="80"/>
      <c r="FS75" s="80"/>
      <c r="FT75" s="80"/>
      <c r="FU75" s="80"/>
      <c r="FV75" s="80"/>
      <c r="FW75" s="80"/>
      <c r="FX75" s="80"/>
      <c r="FY75" s="80"/>
      <c r="FZ75" s="80"/>
      <c r="GA75" s="80"/>
      <c r="GB75" s="80"/>
      <c r="GC75" s="80"/>
      <c r="GD75" s="80"/>
      <c r="GE75" s="80"/>
      <c r="GF75" s="80"/>
      <c r="GG75" s="80"/>
      <c r="GH75" s="80"/>
      <c r="GI75" s="80"/>
      <c r="GJ75" s="80"/>
      <c r="GK75" s="80"/>
      <c r="GL75" s="80"/>
      <c r="GM75" s="80"/>
      <c r="GN75" s="80"/>
      <c r="GO75" s="80"/>
      <c r="GP75" s="80"/>
      <c r="GQ75" s="80"/>
      <c r="GR75" s="80"/>
      <c r="GS75" s="80"/>
      <c r="GT75" s="80"/>
      <c r="GU75" s="80"/>
      <c r="GV75" s="80"/>
      <c r="GW75" s="80"/>
      <c r="GX75" s="80"/>
      <c r="GY75" s="80"/>
      <c r="GZ75" s="80"/>
      <c r="HA75" s="80"/>
      <c r="HB75" s="80"/>
      <c r="HC75" s="80"/>
      <c r="HD75" s="80"/>
      <c r="HE75" s="80"/>
      <c r="HF75" s="80"/>
      <c r="HG75" s="80"/>
      <c r="HH75" s="80"/>
      <c r="HI75" s="80"/>
      <c r="HJ75" s="80"/>
      <c r="HK75" s="80"/>
      <c r="HL75" s="80"/>
      <c r="HM75" s="80"/>
      <c r="HN75" s="80"/>
      <c r="HO75" s="80"/>
      <c r="HP75" s="80"/>
      <c r="HQ75" s="80"/>
      <c r="HR75" s="80"/>
      <c r="HS75" s="80"/>
      <c r="HT75" s="80"/>
      <c r="HU75" s="80"/>
      <c r="HV75" s="80"/>
      <c r="HW75" s="80"/>
      <c r="HX75" s="80"/>
      <c r="HY75" s="80"/>
      <c r="HZ75" s="80"/>
      <c r="IA75" s="80"/>
      <c r="IB75" s="80"/>
      <c r="IC75" s="80"/>
      <c r="ID75" s="80"/>
      <c r="IE75" s="80"/>
      <c r="IF75" s="80"/>
      <c r="IG75" s="80"/>
      <c r="IH75" s="80"/>
      <c r="II75" s="80"/>
      <c r="IJ75" s="80"/>
      <c r="IK75" s="80"/>
      <c r="IL75" s="80"/>
      <c r="IM75" s="80"/>
      <c r="IN75" s="80"/>
      <c r="IO75" s="80"/>
      <c r="IP75" s="80"/>
      <c r="IQ75" s="80"/>
      <c r="IR75" s="80"/>
      <c r="IS75" s="80"/>
      <c r="IT75" s="80"/>
      <c r="IU75" s="80"/>
      <c r="IV75" s="80"/>
      <c r="IW75" s="80"/>
    </row>
    <row r="76" customFormat="false" ht="12.75" hidden="false" customHeight="false" outlineLevel="0" collapsed="false">
      <c r="A76" s="80"/>
      <c r="B76" s="81" t="s">
        <v>37</v>
      </c>
      <c r="C76" s="82" t="s">
        <v>168</v>
      </c>
      <c r="D76" s="82" t="s">
        <v>169</v>
      </c>
      <c r="E76" s="83" t="n">
        <v>36861</v>
      </c>
      <c r="F76" s="83" t="n">
        <v>37864</v>
      </c>
      <c r="G76" s="81" t="s">
        <v>190</v>
      </c>
      <c r="H76" s="81"/>
      <c r="I76" s="82" t="s">
        <v>191</v>
      </c>
      <c r="J76" s="84" t="n">
        <v>0.0481</v>
      </c>
      <c r="K76" s="85" t="n">
        <v>0</v>
      </c>
      <c r="L76" s="85" t="n">
        <v>0.0022</v>
      </c>
      <c r="M76" s="85" t="n">
        <v>0</v>
      </c>
      <c r="N76" s="85" t="n">
        <v>0</v>
      </c>
      <c r="O76" s="86" t="n">
        <v>0</v>
      </c>
      <c r="P76" s="85" t="n">
        <f aca="false">SUM(J76:N76)</f>
        <v>0.0503</v>
      </c>
      <c r="Q76" s="115" t="n">
        <v>3.7507</v>
      </c>
      <c r="R76" s="82" t="n">
        <v>13219</v>
      </c>
      <c r="S76" s="81" t="s">
        <v>194</v>
      </c>
      <c r="T76" s="88" t="n">
        <f aca="false">+J76*R76</f>
        <v>635.8339</v>
      </c>
      <c r="U76" s="89"/>
      <c r="V76" s="90" t="n">
        <v>503082</v>
      </c>
      <c r="W76" s="116" t="s">
        <v>176</v>
      </c>
      <c r="X76" s="91"/>
      <c r="Y76" s="91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0"/>
      <c r="DM76" s="80"/>
      <c r="DN76" s="80"/>
      <c r="DO76" s="80"/>
      <c r="DP76" s="80"/>
      <c r="DQ76" s="80"/>
      <c r="DR76" s="80"/>
      <c r="DS76" s="80"/>
      <c r="DT76" s="80"/>
      <c r="DU76" s="80"/>
      <c r="DV76" s="80"/>
      <c r="DW76" s="80"/>
      <c r="DX76" s="80"/>
      <c r="DY76" s="80"/>
      <c r="DZ76" s="80"/>
      <c r="EA76" s="80"/>
      <c r="EB76" s="80"/>
      <c r="EC76" s="80"/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0"/>
      <c r="EO76" s="80"/>
      <c r="EP76" s="80"/>
      <c r="EQ76" s="80"/>
      <c r="ER76" s="80"/>
      <c r="ES76" s="80"/>
      <c r="ET76" s="80"/>
      <c r="EU76" s="80"/>
      <c r="EV76" s="80"/>
      <c r="EW76" s="80"/>
      <c r="EX76" s="80"/>
      <c r="EY76" s="80"/>
      <c r="EZ76" s="80"/>
      <c r="FA76" s="80"/>
      <c r="FB76" s="80"/>
      <c r="FC76" s="80"/>
      <c r="FD76" s="80"/>
      <c r="FE76" s="80"/>
      <c r="FF76" s="80"/>
      <c r="FG76" s="80"/>
      <c r="FH76" s="80"/>
      <c r="FI76" s="80"/>
      <c r="FJ76" s="80"/>
      <c r="FK76" s="80"/>
      <c r="FL76" s="80"/>
      <c r="FM76" s="80"/>
      <c r="FN76" s="80"/>
      <c r="FO76" s="80"/>
      <c r="FP76" s="80"/>
      <c r="FQ76" s="80"/>
      <c r="FR76" s="80"/>
      <c r="FS76" s="80"/>
      <c r="FT76" s="80"/>
      <c r="FU76" s="80"/>
      <c r="FV76" s="80"/>
      <c r="FW76" s="80"/>
      <c r="FX76" s="80"/>
      <c r="FY76" s="80"/>
      <c r="FZ76" s="80"/>
      <c r="GA76" s="80"/>
      <c r="GB76" s="80"/>
      <c r="GC76" s="80"/>
      <c r="GD76" s="80"/>
      <c r="GE76" s="80"/>
      <c r="GF76" s="80"/>
      <c r="GG76" s="80"/>
      <c r="GH76" s="80"/>
      <c r="GI76" s="80"/>
      <c r="GJ76" s="80"/>
      <c r="GK76" s="80"/>
      <c r="GL76" s="80"/>
      <c r="GM76" s="80"/>
      <c r="GN76" s="80"/>
      <c r="GO76" s="80"/>
      <c r="GP76" s="80"/>
      <c r="GQ76" s="80"/>
      <c r="GR76" s="80"/>
      <c r="GS76" s="80"/>
      <c r="GT76" s="80"/>
      <c r="GU76" s="80"/>
      <c r="GV76" s="80"/>
      <c r="GW76" s="80"/>
      <c r="GX76" s="80"/>
      <c r="GY76" s="80"/>
      <c r="GZ76" s="80"/>
      <c r="HA76" s="80"/>
      <c r="HB76" s="80"/>
      <c r="HC76" s="80"/>
      <c r="HD76" s="80"/>
      <c r="HE76" s="80"/>
      <c r="HF76" s="80"/>
      <c r="HG76" s="80"/>
      <c r="HH76" s="80"/>
      <c r="HI76" s="80"/>
      <c r="HJ76" s="80"/>
      <c r="HK76" s="80"/>
      <c r="HL76" s="80"/>
      <c r="HM76" s="80"/>
      <c r="HN76" s="80"/>
      <c r="HO76" s="80"/>
      <c r="HP76" s="80"/>
      <c r="HQ76" s="80"/>
      <c r="HR76" s="80"/>
      <c r="HS76" s="80"/>
      <c r="HT76" s="80"/>
      <c r="HU76" s="80"/>
      <c r="HV76" s="80"/>
      <c r="HW76" s="80"/>
      <c r="HX76" s="80"/>
      <c r="HY76" s="80"/>
      <c r="HZ76" s="80"/>
      <c r="IA76" s="80"/>
      <c r="IB76" s="80"/>
      <c r="IC76" s="80"/>
      <c r="ID76" s="80"/>
      <c r="IE76" s="80"/>
      <c r="IF76" s="80"/>
      <c r="IG76" s="80"/>
      <c r="IH76" s="80"/>
      <c r="II76" s="80"/>
      <c r="IJ76" s="80"/>
      <c r="IK76" s="80"/>
      <c r="IL76" s="80"/>
      <c r="IM76" s="80"/>
      <c r="IN76" s="80"/>
      <c r="IO76" s="80"/>
      <c r="IP76" s="80"/>
      <c r="IQ76" s="80"/>
      <c r="IR76" s="80"/>
      <c r="IS76" s="80"/>
      <c r="IT76" s="80"/>
      <c r="IU76" s="80"/>
      <c r="IV76" s="80"/>
      <c r="IW76" s="80"/>
    </row>
    <row r="77" customFormat="false" ht="12.75" hidden="false" customHeight="false" outlineLevel="0" collapsed="false">
      <c r="A77" s="80"/>
      <c r="B77" s="81" t="s">
        <v>37</v>
      </c>
      <c r="C77" s="82" t="s">
        <v>168</v>
      </c>
      <c r="D77" s="82" t="s">
        <v>169</v>
      </c>
      <c r="E77" s="83" t="n">
        <v>36861</v>
      </c>
      <c r="F77" s="83" t="n">
        <v>37864</v>
      </c>
      <c r="G77" s="81" t="s">
        <v>193</v>
      </c>
      <c r="H77" s="81"/>
      <c r="I77" s="82" t="s">
        <v>191</v>
      </c>
      <c r="J77" s="84" t="n">
        <v>0.484</v>
      </c>
      <c r="K77" s="85" t="n">
        <v>0</v>
      </c>
      <c r="L77" s="85" t="n">
        <v>0.0022</v>
      </c>
      <c r="M77" s="85" t="n">
        <v>0</v>
      </c>
      <c r="N77" s="85" t="n">
        <v>0</v>
      </c>
      <c r="O77" s="86" t="n">
        <v>0</v>
      </c>
      <c r="P77" s="85" t="n">
        <f aca="false">SUM(J77:N77)</f>
        <v>0.4862</v>
      </c>
      <c r="Q77" s="115" t="n">
        <v>3.7507</v>
      </c>
      <c r="R77" s="82" t="n">
        <v>1314</v>
      </c>
      <c r="S77" s="81" t="s">
        <v>194</v>
      </c>
      <c r="T77" s="88" t="n">
        <f aca="false">+J77*R77</f>
        <v>635.976</v>
      </c>
      <c r="U77" s="89"/>
      <c r="V77" s="90" t="n">
        <v>503082</v>
      </c>
      <c r="W77" s="116" t="s">
        <v>176</v>
      </c>
      <c r="X77" s="91"/>
      <c r="Y77" s="91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0"/>
      <c r="CX77" s="80"/>
      <c r="CY77" s="80"/>
      <c r="CZ77" s="80"/>
      <c r="DA77" s="80"/>
      <c r="DB77" s="80"/>
      <c r="DC77" s="80"/>
      <c r="DD77" s="80"/>
      <c r="DE77" s="80"/>
      <c r="DF77" s="80"/>
      <c r="DG77" s="80"/>
      <c r="DH77" s="80"/>
      <c r="DI77" s="80"/>
      <c r="DJ77" s="80"/>
      <c r="DK77" s="80"/>
      <c r="DL77" s="80"/>
      <c r="DM77" s="80"/>
      <c r="DN77" s="80"/>
      <c r="DO77" s="80"/>
      <c r="DP77" s="80"/>
      <c r="DQ77" s="80"/>
      <c r="DR77" s="80"/>
      <c r="DS77" s="80"/>
      <c r="DT77" s="80"/>
      <c r="DU77" s="80"/>
      <c r="DV77" s="80"/>
      <c r="DW77" s="80"/>
      <c r="DX77" s="80"/>
      <c r="DY77" s="80"/>
      <c r="DZ77" s="80"/>
      <c r="EA77" s="80"/>
      <c r="EB77" s="80"/>
      <c r="EC77" s="80"/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0"/>
      <c r="EO77" s="80"/>
      <c r="EP77" s="80"/>
      <c r="EQ77" s="80"/>
      <c r="ER77" s="80"/>
      <c r="ES77" s="80"/>
      <c r="ET77" s="80"/>
      <c r="EU77" s="80"/>
      <c r="EV77" s="80"/>
      <c r="EW77" s="80"/>
      <c r="EX77" s="80"/>
      <c r="EY77" s="80"/>
      <c r="EZ77" s="80"/>
      <c r="FA77" s="80"/>
      <c r="FB77" s="80"/>
      <c r="FC77" s="80"/>
      <c r="FD77" s="80"/>
      <c r="FE77" s="80"/>
      <c r="FF77" s="80"/>
      <c r="FG77" s="80"/>
      <c r="FH77" s="80"/>
      <c r="FI77" s="80"/>
      <c r="FJ77" s="80"/>
      <c r="FK77" s="80"/>
      <c r="FL77" s="80"/>
      <c r="FM77" s="80"/>
      <c r="FN77" s="80"/>
      <c r="FO77" s="80"/>
      <c r="FP77" s="80"/>
      <c r="FQ77" s="80"/>
      <c r="FR77" s="80"/>
      <c r="FS77" s="80"/>
      <c r="FT77" s="80"/>
      <c r="FU77" s="80"/>
      <c r="FV77" s="80"/>
      <c r="FW77" s="80"/>
      <c r="FX77" s="80"/>
      <c r="FY77" s="80"/>
      <c r="FZ77" s="80"/>
      <c r="GA77" s="80"/>
      <c r="GB77" s="80"/>
      <c r="GC77" s="80"/>
      <c r="GD77" s="80"/>
      <c r="GE77" s="80"/>
      <c r="GF77" s="80"/>
      <c r="GG77" s="80"/>
      <c r="GH77" s="80"/>
      <c r="GI77" s="80"/>
      <c r="GJ77" s="80"/>
      <c r="GK77" s="80"/>
      <c r="GL77" s="80"/>
      <c r="GM77" s="80"/>
      <c r="GN77" s="80"/>
      <c r="GO77" s="80"/>
      <c r="GP77" s="80"/>
      <c r="GQ77" s="80"/>
      <c r="GR77" s="80"/>
      <c r="GS77" s="80"/>
      <c r="GT77" s="80"/>
      <c r="GU77" s="80"/>
      <c r="GV77" s="80"/>
      <c r="GW77" s="80"/>
      <c r="GX77" s="80"/>
      <c r="GY77" s="80"/>
      <c r="GZ77" s="80"/>
      <c r="HA77" s="80"/>
      <c r="HB77" s="80"/>
      <c r="HC77" s="80"/>
      <c r="HD77" s="80"/>
      <c r="HE77" s="80"/>
      <c r="HF77" s="80"/>
      <c r="HG77" s="80"/>
      <c r="HH77" s="80"/>
      <c r="HI77" s="80"/>
      <c r="HJ77" s="80"/>
      <c r="HK77" s="80"/>
      <c r="HL77" s="80"/>
      <c r="HM77" s="80"/>
      <c r="HN77" s="80"/>
      <c r="HO77" s="80"/>
      <c r="HP77" s="80"/>
      <c r="HQ77" s="80"/>
      <c r="HR77" s="80"/>
      <c r="HS77" s="80"/>
      <c r="HT77" s="80"/>
      <c r="HU77" s="80"/>
      <c r="HV77" s="80"/>
      <c r="HW77" s="80"/>
      <c r="HX77" s="80"/>
      <c r="HY77" s="80"/>
      <c r="HZ77" s="80"/>
      <c r="IA77" s="80"/>
      <c r="IB77" s="80"/>
      <c r="IC77" s="80"/>
      <c r="ID77" s="80"/>
      <c r="IE77" s="80"/>
      <c r="IF77" s="80"/>
      <c r="IG77" s="80"/>
      <c r="IH77" s="80"/>
      <c r="II77" s="80"/>
      <c r="IJ77" s="80"/>
      <c r="IK77" s="80"/>
      <c r="IL77" s="80"/>
      <c r="IM77" s="80"/>
      <c r="IN77" s="80"/>
      <c r="IO77" s="80"/>
      <c r="IP77" s="80"/>
      <c r="IQ77" s="80"/>
      <c r="IR77" s="80"/>
      <c r="IS77" s="80"/>
      <c r="IT77" s="80"/>
      <c r="IU77" s="80"/>
      <c r="IV77" s="80"/>
      <c r="IW77" s="80"/>
    </row>
    <row r="78" customFormat="false" ht="12.75" hidden="false" customHeight="false" outlineLevel="0" collapsed="false">
      <c r="A78" s="117"/>
      <c r="B78" s="81" t="s">
        <v>37</v>
      </c>
      <c r="C78" s="82" t="s">
        <v>168</v>
      </c>
      <c r="D78" s="82" t="s">
        <v>169</v>
      </c>
      <c r="E78" s="83" t="n">
        <v>36892</v>
      </c>
      <c r="F78" s="83" t="n">
        <v>36922</v>
      </c>
      <c r="G78" s="81" t="s">
        <v>195</v>
      </c>
      <c r="H78" s="81" t="s">
        <v>171</v>
      </c>
      <c r="I78" s="82" t="s">
        <v>196</v>
      </c>
      <c r="J78" s="84" t="n">
        <f aca="false">15.0677/J1</f>
        <v>0.486054838709677</v>
      </c>
      <c r="K78" s="85"/>
      <c r="L78" s="85"/>
      <c r="M78" s="85"/>
      <c r="N78" s="85"/>
      <c r="O78" s="86"/>
      <c r="P78" s="85"/>
      <c r="Q78" s="118" t="n">
        <v>3.7772</v>
      </c>
      <c r="R78" s="119" t="n">
        <v>931</v>
      </c>
      <c r="S78" s="116" t="s">
        <v>197</v>
      </c>
      <c r="T78" s="88" t="n">
        <f aca="false">+J78*R78</f>
        <v>452.51705483871</v>
      </c>
      <c r="U78" s="120"/>
      <c r="V78" s="121" t="n">
        <v>544655</v>
      </c>
      <c r="W78" s="116" t="s">
        <v>176</v>
      </c>
      <c r="X78" s="122"/>
      <c r="Y78" s="122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  <c r="AM78" s="117"/>
      <c r="AN78" s="117"/>
      <c r="AO78" s="117"/>
      <c r="AP78" s="117"/>
      <c r="AQ78" s="117"/>
      <c r="AR78" s="117"/>
      <c r="AS78" s="117"/>
      <c r="AT78" s="117"/>
      <c r="AU78" s="117"/>
      <c r="AV78" s="117"/>
      <c r="AW78" s="117"/>
      <c r="AX78" s="117"/>
      <c r="AY78" s="117"/>
      <c r="AZ78" s="117"/>
      <c r="BA78" s="117"/>
      <c r="BB78" s="117"/>
      <c r="BC78" s="117"/>
      <c r="BD78" s="117"/>
      <c r="BE78" s="117"/>
      <c r="BF78" s="117"/>
      <c r="BG78" s="117"/>
      <c r="BH78" s="117"/>
      <c r="BI78" s="117"/>
      <c r="BJ78" s="117"/>
      <c r="BK78" s="117"/>
      <c r="BL78" s="117"/>
      <c r="BM78" s="117"/>
      <c r="BN78" s="117"/>
      <c r="BO78" s="117"/>
      <c r="BP78" s="117"/>
      <c r="BQ78" s="117"/>
      <c r="BR78" s="117"/>
      <c r="BS78" s="117"/>
      <c r="BT78" s="117"/>
      <c r="BU78" s="117"/>
      <c r="BV78" s="117"/>
      <c r="BW78" s="117"/>
      <c r="BX78" s="117"/>
      <c r="BY78" s="117"/>
      <c r="BZ78" s="117"/>
      <c r="CA78" s="117"/>
      <c r="CB78" s="117"/>
      <c r="CC78" s="117"/>
      <c r="CD78" s="117"/>
      <c r="CE78" s="117"/>
      <c r="CF78" s="117"/>
      <c r="CG78" s="117"/>
      <c r="CH78" s="117"/>
      <c r="CI78" s="117"/>
      <c r="CJ78" s="117"/>
      <c r="CK78" s="117"/>
      <c r="CL78" s="117"/>
      <c r="CM78" s="117"/>
      <c r="CN78" s="117"/>
      <c r="CO78" s="117"/>
      <c r="CP78" s="117"/>
      <c r="CQ78" s="117"/>
      <c r="CR78" s="117"/>
      <c r="CS78" s="117"/>
      <c r="CT78" s="117"/>
      <c r="CU78" s="117"/>
      <c r="CV78" s="117"/>
      <c r="CW78" s="117"/>
      <c r="CX78" s="117"/>
      <c r="CY78" s="117"/>
      <c r="CZ78" s="117"/>
      <c r="DA78" s="117"/>
      <c r="DB78" s="117"/>
      <c r="DC78" s="117"/>
      <c r="DD78" s="117"/>
      <c r="DE78" s="117"/>
      <c r="DF78" s="117"/>
      <c r="DG78" s="117"/>
      <c r="DH78" s="117"/>
      <c r="DI78" s="117"/>
      <c r="DJ78" s="117"/>
      <c r="DK78" s="117"/>
      <c r="DL78" s="117"/>
      <c r="DM78" s="117"/>
      <c r="DN78" s="117"/>
      <c r="DO78" s="117"/>
      <c r="DP78" s="117"/>
      <c r="DQ78" s="117"/>
      <c r="DR78" s="117"/>
      <c r="DS78" s="117"/>
      <c r="DT78" s="117"/>
      <c r="DU78" s="117"/>
      <c r="DV78" s="117"/>
      <c r="DW78" s="117"/>
      <c r="DX78" s="117"/>
      <c r="DY78" s="117"/>
      <c r="DZ78" s="117"/>
      <c r="EA78" s="117"/>
      <c r="EB78" s="117"/>
      <c r="EC78" s="117"/>
      <c r="ED78" s="117"/>
      <c r="EE78" s="117"/>
      <c r="EF78" s="117"/>
      <c r="EG78" s="117"/>
      <c r="EH78" s="117"/>
      <c r="EI78" s="117"/>
      <c r="EJ78" s="117"/>
      <c r="EK78" s="117"/>
      <c r="EL78" s="117"/>
      <c r="EM78" s="117"/>
      <c r="EN78" s="117"/>
      <c r="EO78" s="117"/>
      <c r="EP78" s="117"/>
      <c r="EQ78" s="117"/>
      <c r="ER78" s="117"/>
      <c r="ES78" s="117"/>
      <c r="ET78" s="117"/>
      <c r="EU78" s="117"/>
      <c r="EV78" s="117"/>
      <c r="EW78" s="117"/>
      <c r="EX78" s="117"/>
      <c r="EY78" s="117"/>
      <c r="EZ78" s="117"/>
      <c r="FA78" s="117"/>
      <c r="FB78" s="117"/>
      <c r="FC78" s="117"/>
      <c r="FD78" s="117"/>
      <c r="FE78" s="117"/>
      <c r="FF78" s="117"/>
      <c r="FG78" s="117"/>
      <c r="FH78" s="117"/>
      <c r="FI78" s="117"/>
      <c r="FJ78" s="117"/>
      <c r="FK78" s="117"/>
      <c r="FL78" s="117"/>
      <c r="FM78" s="117"/>
      <c r="FN78" s="117"/>
      <c r="FO78" s="117"/>
      <c r="FP78" s="117"/>
      <c r="FQ78" s="117"/>
      <c r="FR78" s="117"/>
      <c r="FS78" s="117"/>
      <c r="FT78" s="117"/>
      <c r="FU78" s="117"/>
      <c r="FV78" s="117"/>
      <c r="FW78" s="117"/>
      <c r="FX78" s="117"/>
      <c r="FY78" s="117"/>
      <c r="FZ78" s="117"/>
      <c r="GA78" s="117"/>
      <c r="GB78" s="117"/>
      <c r="GC78" s="117"/>
      <c r="GD78" s="117"/>
      <c r="GE78" s="117"/>
      <c r="GF78" s="117"/>
      <c r="GG78" s="117"/>
      <c r="GH78" s="117"/>
      <c r="GI78" s="117"/>
      <c r="GJ78" s="117"/>
      <c r="GK78" s="117"/>
      <c r="GL78" s="117"/>
      <c r="GM78" s="117"/>
      <c r="GN78" s="117"/>
      <c r="GO78" s="117"/>
      <c r="GP78" s="117"/>
      <c r="GQ78" s="117"/>
      <c r="GR78" s="117"/>
      <c r="GS78" s="117"/>
      <c r="GT78" s="117"/>
      <c r="GU78" s="117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  <c r="IV78" s="117"/>
      <c r="IW78" s="117"/>
    </row>
    <row r="79" customFormat="false" ht="12.75" hidden="false" customHeight="false" outlineLevel="0" collapsed="false">
      <c r="A79" s="117"/>
      <c r="B79" s="81" t="s">
        <v>37</v>
      </c>
      <c r="C79" s="82" t="s">
        <v>168</v>
      </c>
      <c r="D79" s="82" t="s">
        <v>169</v>
      </c>
      <c r="E79" s="83" t="n">
        <v>36892</v>
      </c>
      <c r="F79" s="83" t="n">
        <v>36922</v>
      </c>
      <c r="G79" s="81" t="s">
        <v>198</v>
      </c>
      <c r="H79" s="81" t="s">
        <v>171</v>
      </c>
      <c r="I79" s="82" t="s">
        <v>199</v>
      </c>
      <c r="J79" s="123" t="n">
        <f aca="false">14.1875/J1</f>
        <v>0.457661290322581</v>
      </c>
      <c r="K79" s="85"/>
      <c r="L79" s="85"/>
      <c r="M79" s="85"/>
      <c r="N79" s="85"/>
      <c r="O79" s="86"/>
      <c r="P79" s="85"/>
      <c r="Q79" s="118" t="n">
        <v>3.7774</v>
      </c>
      <c r="R79" s="119" t="n">
        <v>1531</v>
      </c>
      <c r="S79" s="116" t="s">
        <v>200</v>
      </c>
      <c r="T79" s="88" t="n">
        <f aca="false">+J79*R79</f>
        <v>700.679435483871</v>
      </c>
      <c r="U79" s="120"/>
      <c r="V79" s="121" t="n">
        <v>544650</v>
      </c>
      <c r="W79" s="116" t="s">
        <v>176</v>
      </c>
      <c r="X79" s="122"/>
      <c r="Y79" s="122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  <c r="BH79" s="117"/>
      <c r="BI79" s="117"/>
      <c r="BJ79" s="117"/>
      <c r="BK79" s="117"/>
      <c r="BL79" s="117"/>
      <c r="BM79" s="117"/>
      <c r="BN79" s="117"/>
      <c r="BO79" s="117"/>
      <c r="BP79" s="117"/>
      <c r="BQ79" s="117"/>
      <c r="BR79" s="117"/>
      <c r="BS79" s="117"/>
      <c r="BT79" s="117"/>
      <c r="BU79" s="117"/>
      <c r="BV79" s="117"/>
      <c r="BW79" s="117"/>
      <c r="BX79" s="117"/>
      <c r="BY79" s="117"/>
      <c r="BZ79" s="117"/>
      <c r="CA79" s="117"/>
      <c r="CB79" s="117"/>
      <c r="CC79" s="117"/>
      <c r="CD79" s="117"/>
      <c r="CE79" s="117"/>
      <c r="CF79" s="117"/>
      <c r="CG79" s="117"/>
      <c r="CH79" s="117"/>
      <c r="CI79" s="117"/>
      <c r="CJ79" s="117"/>
      <c r="CK79" s="117"/>
      <c r="CL79" s="117"/>
      <c r="CM79" s="117"/>
      <c r="CN79" s="117"/>
      <c r="CO79" s="117"/>
      <c r="CP79" s="117"/>
      <c r="CQ79" s="117"/>
      <c r="CR79" s="117"/>
      <c r="CS79" s="117"/>
      <c r="CT79" s="117"/>
      <c r="CU79" s="117"/>
      <c r="CV79" s="117"/>
      <c r="CW79" s="117"/>
      <c r="CX79" s="117"/>
      <c r="CY79" s="117"/>
      <c r="CZ79" s="117"/>
      <c r="DA79" s="117"/>
      <c r="DB79" s="117"/>
      <c r="DC79" s="117"/>
      <c r="DD79" s="117"/>
      <c r="DE79" s="117"/>
      <c r="DF79" s="117"/>
      <c r="DG79" s="117"/>
      <c r="DH79" s="117"/>
      <c r="DI79" s="117"/>
      <c r="DJ79" s="117"/>
      <c r="DK79" s="117"/>
      <c r="DL79" s="117"/>
      <c r="DM79" s="117"/>
      <c r="DN79" s="117"/>
      <c r="DO79" s="117"/>
      <c r="DP79" s="117"/>
      <c r="DQ79" s="117"/>
      <c r="DR79" s="117"/>
      <c r="DS79" s="117"/>
      <c r="DT79" s="117"/>
      <c r="DU79" s="117"/>
      <c r="DV79" s="117"/>
      <c r="DW79" s="117"/>
      <c r="DX79" s="117"/>
      <c r="DY79" s="117"/>
      <c r="DZ79" s="117"/>
      <c r="EA79" s="117"/>
      <c r="EB79" s="117"/>
      <c r="EC79" s="117"/>
      <c r="ED79" s="117"/>
      <c r="EE79" s="117"/>
      <c r="EF79" s="117"/>
      <c r="EG79" s="117"/>
      <c r="EH79" s="117"/>
      <c r="EI79" s="117"/>
      <c r="EJ79" s="117"/>
      <c r="EK79" s="117"/>
      <c r="EL79" s="117"/>
      <c r="EM79" s="117"/>
      <c r="EN79" s="117"/>
      <c r="EO79" s="117"/>
      <c r="EP79" s="117"/>
      <c r="EQ79" s="117"/>
      <c r="ER79" s="117"/>
      <c r="ES79" s="117"/>
      <c r="ET79" s="117"/>
      <c r="EU79" s="117"/>
      <c r="EV79" s="117"/>
      <c r="EW79" s="117"/>
      <c r="EX79" s="117"/>
      <c r="EY79" s="117"/>
      <c r="EZ79" s="117"/>
      <c r="FA79" s="117"/>
      <c r="FB79" s="117"/>
      <c r="FC79" s="117"/>
      <c r="FD79" s="117"/>
      <c r="FE79" s="117"/>
      <c r="FF79" s="117"/>
      <c r="FG79" s="117"/>
      <c r="FH79" s="117"/>
      <c r="FI79" s="117"/>
      <c r="FJ79" s="117"/>
      <c r="FK79" s="117"/>
      <c r="FL79" s="117"/>
      <c r="FM79" s="117"/>
      <c r="FN79" s="117"/>
      <c r="FO79" s="117"/>
      <c r="FP79" s="117"/>
      <c r="FQ79" s="117"/>
      <c r="FR79" s="117"/>
      <c r="FS79" s="117"/>
      <c r="FT79" s="117"/>
      <c r="FU79" s="117"/>
      <c r="FV79" s="117"/>
      <c r="FW79" s="117"/>
      <c r="FX79" s="117"/>
      <c r="FY79" s="117"/>
      <c r="FZ79" s="117"/>
      <c r="GA79" s="117"/>
      <c r="GB79" s="117"/>
      <c r="GC79" s="117"/>
      <c r="GD79" s="117"/>
      <c r="GE79" s="117"/>
      <c r="GF79" s="117"/>
      <c r="GG79" s="117"/>
      <c r="GH79" s="117"/>
      <c r="GI79" s="117"/>
      <c r="GJ79" s="117"/>
      <c r="GK79" s="117"/>
      <c r="GL79" s="117"/>
      <c r="GM79" s="117"/>
      <c r="GN79" s="117"/>
      <c r="GO79" s="117"/>
      <c r="GP79" s="117"/>
      <c r="GQ79" s="117"/>
      <c r="GR79" s="117"/>
      <c r="GS79" s="117"/>
      <c r="GT79" s="117"/>
      <c r="GU79" s="117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  <c r="IV79" s="117"/>
      <c r="IW79" s="117"/>
    </row>
    <row r="80" customFormat="false" ht="12.75" hidden="false" customHeight="false" outlineLevel="0" collapsed="false">
      <c r="A80" s="117"/>
      <c r="B80" s="81" t="s">
        <v>37</v>
      </c>
      <c r="C80" s="82" t="s">
        <v>168</v>
      </c>
      <c r="D80" s="82" t="s">
        <v>169</v>
      </c>
      <c r="E80" s="83" t="n">
        <v>36861</v>
      </c>
      <c r="F80" s="83" t="n">
        <v>37864</v>
      </c>
      <c r="G80" s="81" t="s">
        <v>198</v>
      </c>
      <c r="H80" s="81" t="s">
        <v>171</v>
      </c>
      <c r="I80" s="82" t="s">
        <v>199</v>
      </c>
      <c r="J80" s="123" t="n">
        <f aca="false">14.1875/J1</f>
        <v>0.457661290322581</v>
      </c>
      <c r="K80" s="85"/>
      <c r="L80" s="85"/>
      <c r="M80" s="85"/>
      <c r="N80" s="85"/>
      <c r="O80" s="86"/>
      <c r="P80" s="85"/>
      <c r="Q80" s="118" t="n">
        <v>3.7477</v>
      </c>
      <c r="R80" s="119" t="n">
        <v>2749</v>
      </c>
      <c r="S80" s="116" t="s">
        <v>201</v>
      </c>
      <c r="T80" s="88" t="n">
        <f aca="false">+J80*R80</f>
        <v>1258.11088709677</v>
      </c>
      <c r="U80" s="120"/>
      <c r="V80" s="121" t="n">
        <v>503132</v>
      </c>
      <c r="W80" s="116" t="s">
        <v>176</v>
      </c>
      <c r="X80" s="122"/>
      <c r="Y80" s="122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  <c r="HO80" s="117"/>
      <c r="HP80" s="117"/>
      <c r="HQ80" s="117"/>
      <c r="HR80" s="117"/>
      <c r="HS80" s="117"/>
      <c r="HT80" s="117"/>
      <c r="HU80" s="117"/>
      <c r="HV80" s="117"/>
      <c r="HW80" s="117"/>
      <c r="HX80" s="117"/>
      <c r="HY80" s="117"/>
      <c r="HZ80" s="117"/>
      <c r="IA80" s="117"/>
      <c r="IB80" s="117"/>
      <c r="IC80" s="117"/>
      <c r="ID80" s="117"/>
      <c r="IE80" s="117"/>
      <c r="IF80" s="117"/>
      <c r="IG80" s="117"/>
      <c r="IH80" s="117"/>
      <c r="II80" s="117"/>
      <c r="IJ80" s="117"/>
      <c r="IK80" s="117"/>
      <c r="IL80" s="117"/>
      <c r="IM80" s="117"/>
      <c r="IN80" s="117"/>
      <c r="IO80" s="117"/>
      <c r="IP80" s="117"/>
      <c r="IQ80" s="117"/>
      <c r="IR80" s="117"/>
      <c r="IS80" s="117"/>
      <c r="IT80" s="117"/>
      <c r="IU80" s="117"/>
      <c r="IV80" s="117"/>
      <c r="IW80" s="117"/>
    </row>
    <row r="81" customFormat="false" ht="13.5" hidden="false" customHeight="false" outlineLevel="0" collapsed="false">
      <c r="B81" s="47"/>
      <c r="C81" s="51"/>
      <c r="D81" s="51"/>
      <c r="E81" s="52"/>
      <c r="F81" s="52"/>
      <c r="G81" s="53"/>
      <c r="H81" s="53"/>
      <c r="I81" s="51"/>
      <c r="J81" s="56"/>
      <c r="K81" s="56"/>
      <c r="L81" s="56"/>
      <c r="M81" s="56"/>
      <c r="N81" s="56"/>
      <c r="O81" s="57"/>
      <c r="P81" s="56"/>
      <c r="Q81" s="124"/>
      <c r="R81" s="125"/>
      <c r="S81" s="60"/>
      <c r="T81" s="126" t="n">
        <f aca="false">SUM(T54:T80)</f>
        <v>111224.833377419</v>
      </c>
      <c r="U81" s="60"/>
      <c r="V81" s="61"/>
      <c r="W81" s="62"/>
      <c r="X81" s="63"/>
      <c r="Y81" s="63"/>
    </row>
    <row r="82" customFormat="false" ht="13.5" hidden="false" customHeight="false" outlineLevel="0" collapsed="false">
      <c r="B82" s="47"/>
      <c r="C82" s="51"/>
      <c r="D82" s="51"/>
      <c r="E82" s="52"/>
      <c r="F82" s="52"/>
      <c r="G82" s="53"/>
      <c r="H82" s="53"/>
      <c r="I82" s="51"/>
      <c r="J82" s="56"/>
      <c r="K82" s="56"/>
      <c r="L82" s="56"/>
      <c r="M82" s="56"/>
      <c r="N82" s="56"/>
      <c r="O82" s="57"/>
      <c r="P82" s="56"/>
      <c r="Q82" s="124"/>
      <c r="R82" s="125"/>
      <c r="S82" s="60"/>
      <c r="T82" s="60"/>
      <c r="U82" s="62"/>
      <c r="V82" s="61"/>
      <c r="W82" s="62"/>
      <c r="X82" s="127"/>
      <c r="Y82" s="63"/>
    </row>
    <row r="83" customFormat="false" ht="12.75" hidden="false" customHeight="false" outlineLevel="0" collapsed="false">
      <c r="B83" s="47"/>
      <c r="C83" s="51"/>
      <c r="D83" s="51"/>
      <c r="E83" s="52"/>
      <c r="F83" s="52"/>
      <c r="G83" s="53"/>
      <c r="H83" s="53"/>
      <c r="I83" s="51"/>
      <c r="J83" s="56"/>
      <c r="K83" s="56"/>
      <c r="L83" s="56"/>
      <c r="M83" s="56"/>
      <c r="N83" s="56"/>
      <c r="O83" s="57"/>
      <c r="P83" s="56"/>
      <c r="Q83" s="124"/>
      <c r="R83" s="125"/>
      <c r="S83" s="60"/>
      <c r="T83" s="60"/>
      <c r="U83" s="60"/>
      <c r="V83" s="61"/>
      <c r="W83" s="62"/>
      <c r="X83" s="63"/>
      <c r="Y83" s="63"/>
    </row>
    <row r="84" customFormat="false" ht="12.75" hidden="false" customHeight="false" outlineLevel="0" collapsed="false">
      <c r="B84" s="47"/>
      <c r="C84" s="51"/>
      <c r="D84" s="51"/>
      <c r="E84" s="52"/>
      <c r="F84" s="52"/>
      <c r="G84" s="53"/>
      <c r="H84" s="53"/>
      <c r="I84" s="51"/>
      <c r="J84" s="56"/>
      <c r="K84" s="56"/>
      <c r="L84" s="56"/>
      <c r="M84" s="56"/>
      <c r="N84" s="56"/>
      <c r="O84" s="57"/>
      <c r="P84" s="56"/>
      <c r="Q84" s="124"/>
      <c r="R84" s="125"/>
      <c r="S84" s="60"/>
      <c r="T84" s="60"/>
      <c r="U84" s="60"/>
      <c r="V84" s="61"/>
      <c r="W84" s="62"/>
      <c r="X84" s="63"/>
      <c r="Y84" s="63"/>
    </row>
    <row r="85" customFormat="false" ht="13.5" hidden="false" customHeight="false" outlineLevel="0" collapsed="false">
      <c r="B85" s="47"/>
      <c r="C85" s="51"/>
      <c r="D85" s="51"/>
      <c r="E85" s="79"/>
      <c r="F85" s="52"/>
      <c r="G85" s="53"/>
      <c r="H85" s="53"/>
      <c r="I85" s="51"/>
      <c r="J85" s="65"/>
      <c r="K85" s="56"/>
      <c r="L85" s="56"/>
      <c r="M85" s="56"/>
      <c r="N85" s="56"/>
      <c r="O85" s="57"/>
      <c r="P85" s="56"/>
      <c r="Q85" s="124"/>
      <c r="R85" s="125"/>
      <c r="S85" s="127"/>
      <c r="T85" s="128" t="n">
        <f aca="false">+T81+T49+T27</f>
        <v>511057.392126452</v>
      </c>
      <c r="U85" s="62" t="s">
        <v>202</v>
      </c>
      <c r="V85" s="61"/>
      <c r="W85" s="62"/>
      <c r="X85" s="63"/>
      <c r="Y85" s="63"/>
    </row>
    <row r="86" customFormat="false" ht="13.5" hidden="false" customHeight="false" outlineLevel="0" collapsed="false">
      <c r="B86" s="47"/>
      <c r="C86" s="51"/>
      <c r="D86" s="51"/>
      <c r="E86" s="79"/>
      <c r="F86" s="52"/>
      <c r="G86" s="53"/>
      <c r="H86" s="53"/>
      <c r="I86" s="51"/>
      <c r="J86" s="65"/>
      <c r="K86" s="56"/>
      <c r="L86" s="56"/>
      <c r="M86" s="56"/>
      <c r="N86" s="56"/>
      <c r="O86" s="57"/>
      <c r="P86" s="56"/>
      <c r="Q86" s="124"/>
      <c r="R86" s="125"/>
      <c r="S86" s="127"/>
      <c r="T86" s="60"/>
      <c r="U86" s="60"/>
      <c r="V86" s="61"/>
      <c r="W86" s="62"/>
      <c r="X86" s="63"/>
      <c r="Y86" s="63"/>
    </row>
    <row r="87" customFormat="false" ht="12.75" hidden="false" customHeight="false" outlineLevel="0" collapsed="false">
      <c r="E87" s="49"/>
      <c r="Q87" s="129"/>
      <c r="R87" s="129"/>
      <c r="S87" s="129"/>
      <c r="T87" s="129"/>
      <c r="U87" s="129"/>
      <c r="V87" s="130"/>
      <c r="W87" s="131"/>
      <c r="X87" s="130"/>
    </row>
    <row r="88" customFormat="false" ht="12.75" hidden="false" customHeight="false" outlineLevel="0" collapsed="false">
      <c r="E88" s="49"/>
      <c r="Q88" s="129"/>
      <c r="R88" s="129"/>
      <c r="S88" s="129"/>
      <c r="T88" s="129"/>
      <c r="U88" s="129"/>
      <c r="V88" s="130"/>
      <c r="W88" s="131"/>
      <c r="X88" s="130"/>
    </row>
    <row r="89" customFormat="false" ht="12.75" hidden="false" customHeight="false" outlineLevel="0" collapsed="false">
      <c r="E89" s="49"/>
    </row>
    <row r="90" customFormat="false" ht="12.75" hidden="false" customHeight="false" outlineLevel="0" collapsed="false">
      <c r="E90" s="49"/>
    </row>
    <row r="91" customFormat="false" ht="12.75" hidden="false" customHeight="false" outlineLevel="0" collapsed="false">
      <c r="E91" s="4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21" activeCellId="0" sqref="Q20:Q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" width="9.14"/>
    <col collapsed="false" customWidth="true" hidden="false" outlineLevel="0" max="2" min="2" style="10" width="9.99"/>
    <col collapsed="false" customWidth="false" hidden="false" outlineLevel="0" max="3" min="3" style="10" width="9.14"/>
    <col collapsed="false" customWidth="true" hidden="false" outlineLevel="0" max="4" min="4" style="10" width="10.56"/>
    <col collapsed="false" customWidth="true" hidden="false" outlineLevel="0" max="5" min="5" style="10" width="9.28"/>
    <col collapsed="false" customWidth="true" hidden="false" outlineLevel="0" max="6" min="6" style="10" width="9.56"/>
    <col collapsed="false" customWidth="true" hidden="false" outlineLevel="0" max="7" min="7" style="47" width="12.42"/>
    <col collapsed="false" customWidth="true" hidden="false" outlineLevel="0" max="8" min="8" style="47" width="16.42"/>
    <col collapsed="false" customWidth="true" hidden="false" outlineLevel="0" max="9" min="9" style="10" width="9.28"/>
    <col collapsed="false" customWidth="true" hidden="false" outlineLevel="0" max="10" min="10" style="10" width="7.7"/>
    <col collapsed="false" customWidth="false" hidden="true" outlineLevel="0" max="14" min="11" style="10" width="9.14"/>
    <col collapsed="false" customWidth="false" hidden="true" outlineLevel="0" max="15" min="15" style="48" width="9.14"/>
    <col collapsed="false" customWidth="false" hidden="true" outlineLevel="0" max="16" min="16" style="10" width="9.14"/>
    <col collapsed="false" customWidth="true" hidden="false" outlineLevel="0" max="17" min="17" style="10" width="11.13"/>
    <col collapsed="false" customWidth="true" hidden="false" outlineLevel="0" max="18" min="18" style="10" width="10.85"/>
    <col collapsed="false" customWidth="true" hidden="false" outlineLevel="0" max="19" min="19" style="10" width="12.28"/>
    <col collapsed="false" customWidth="true" hidden="false" outlineLevel="0" max="20" min="20" style="10" width="10.71"/>
    <col collapsed="false" customWidth="true" hidden="false" outlineLevel="0" max="21" min="21" style="49" width="14.85"/>
    <col collapsed="false" customWidth="true" hidden="false" outlineLevel="0" max="22" min="22" style="47" width="42.28"/>
    <col collapsed="false" customWidth="false" hidden="false" outlineLevel="0" max="24" min="23" style="49" width="9.14"/>
    <col collapsed="false" customWidth="true" hidden="false" outlineLevel="0" max="25" min="25" style="10" width="12.42"/>
    <col collapsed="false" customWidth="false" hidden="false" outlineLevel="0" max="257" min="26" style="10" width="9.14"/>
  </cols>
  <sheetData>
    <row r="1" customFormat="false" ht="12.75" hidden="false" customHeight="false" outlineLevel="0" collapsed="false">
      <c r="B1" s="50" t="s">
        <v>103</v>
      </c>
      <c r="C1" s="51"/>
      <c r="D1" s="51"/>
      <c r="E1" s="52"/>
      <c r="F1" s="52"/>
      <c r="G1" s="53"/>
      <c r="H1" s="53"/>
      <c r="I1" s="51" t="s">
        <v>104</v>
      </c>
      <c r="J1" s="54" t="n">
        <v>31</v>
      </c>
      <c r="K1" s="55" t="s">
        <v>105</v>
      </c>
      <c r="L1" s="56"/>
      <c r="M1" s="56"/>
      <c r="N1" s="56"/>
      <c r="O1" s="57"/>
      <c r="P1" s="56"/>
      <c r="Q1" s="58"/>
      <c r="R1" s="59"/>
      <c r="S1" s="60" t="s">
        <v>203</v>
      </c>
      <c r="T1" s="60"/>
      <c r="U1" s="61"/>
      <c r="V1" s="62"/>
      <c r="W1" s="63"/>
      <c r="X1" s="63"/>
    </row>
    <row r="2" customFormat="false" ht="12.75" hidden="false" customHeight="false" outlineLevel="0" collapsed="false">
      <c r="B2" s="53"/>
      <c r="C2" s="53"/>
      <c r="D2" s="53"/>
      <c r="E2" s="52"/>
      <c r="F2" s="52"/>
      <c r="G2" s="53"/>
      <c r="H2" s="53"/>
      <c r="I2" s="51"/>
      <c r="J2" s="54"/>
      <c r="K2" s="55" t="s">
        <v>107</v>
      </c>
      <c r="L2" s="56"/>
      <c r="M2" s="56"/>
      <c r="N2" s="56"/>
      <c r="O2" s="57"/>
      <c r="P2" s="56"/>
      <c r="Q2" s="58"/>
      <c r="R2" s="59"/>
      <c r="S2" s="60"/>
      <c r="T2" s="60"/>
      <c r="U2" s="61"/>
      <c r="V2" s="62"/>
      <c r="W2" s="63"/>
      <c r="X2" s="63"/>
    </row>
    <row r="3" customFormat="false" ht="12.75" hidden="false" customHeight="false" outlineLevel="0" collapsed="false">
      <c r="B3" s="53"/>
      <c r="C3" s="53"/>
      <c r="D3" s="53"/>
      <c r="E3" s="52"/>
      <c r="F3" s="52"/>
      <c r="G3" s="64" t="s">
        <v>109</v>
      </c>
      <c r="H3" s="53" t="s">
        <v>109</v>
      </c>
      <c r="I3" s="59" t="s">
        <v>109</v>
      </c>
      <c r="J3" s="65"/>
      <c r="K3" s="66" t="s">
        <v>109</v>
      </c>
      <c r="L3" s="56"/>
      <c r="M3" s="66" t="s">
        <v>109</v>
      </c>
      <c r="N3" s="56"/>
      <c r="O3" s="57"/>
      <c r="P3" s="66" t="s">
        <v>109</v>
      </c>
      <c r="Q3" s="58"/>
      <c r="R3" s="59"/>
      <c r="S3" s="60"/>
      <c r="T3" s="60"/>
      <c r="U3" s="61"/>
      <c r="V3" s="62"/>
      <c r="W3" s="63"/>
      <c r="X3" s="63"/>
    </row>
    <row r="4" customFormat="false" ht="12.75" hidden="false" customHeight="false" outlineLevel="0" collapsed="false">
      <c r="B4" s="53"/>
      <c r="C4" s="51"/>
      <c r="D4" s="51"/>
      <c r="E4" s="52"/>
      <c r="F4" s="52"/>
      <c r="G4" s="67"/>
      <c r="H4" s="53"/>
      <c r="I4" s="67"/>
      <c r="J4" s="65"/>
      <c r="K4" s="67"/>
      <c r="L4" s="56"/>
      <c r="M4" s="67"/>
      <c r="N4" s="59"/>
      <c r="O4" s="57"/>
      <c r="P4" s="59"/>
      <c r="Q4" s="58"/>
      <c r="R4" s="59"/>
      <c r="S4" s="60"/>
      <c r="T4" s="68"/>
      <c r="U4" s="69"/>
      <c r="V4" s="62"/>
      <c r="W4" s="63"/>
      <c r="X4" s="63"/>
    </row>
    <row r="5" customFormat="false" ht="12.75" hidden="false" customHeight="false" outlineLevel="0" collapsed="false">
      <c r="B5" s="53"/>
      <c r="C5" s="51"/>
      <c r="D5" s="51"/>
      <c r="E5" s="52"/>
      <c r="F5" s="52"/>
      <c r="G5" s="67"/>
      <c r="H5" s="53"/>
      <c r="I5" s="67"/>
      <c r="J5" s="65"/>
      <c r="K5" s="67"/>
      <c r="L5" s="56"/>
      <c r="M5" s="67"/>
      <c r="N5" s="59"/>
      <c r="O5" s="57"/>
      <c r="P5" s="59"/>
      <c r="Q5" s="58"/>
      <c r="R5" s="59"/>
      <c r="S5" s="60"/>
      <c r="T5" s="68"/>
      <c r="U5" s="69"/>
      <c r="V5" s="62"/>
      <c r="W5" s="63"/>
      <c r="X5" s="63"/>
    </row>
    <row r="6" customFormat="false" ht="12.75" hidden="false" customHeight="false" outlineLevel="0" collapsed="false">
      <c r="B6" s="132" t="s">
        <v>109</v>
      </c>
      <c r="C6" s="133" t="s">
        <v>109</v>
      </c>
      <c r="D6" s="134" t="s">
        <v>109</v>
      </c>
      <c r="E6" s="135" t="s">
        <v>109</v>
      </c>
      <c r="F6" s="135"/>
      <c r="G6" s="132" t="s">
        <v>109</v>
      </c>
      <c r="H6" s="136" t="s">
        <v>109</v>
      </c>
      <c r="I6" s="133" t="s">
        <v>109</v>
      </c>
      <c r="J6" s="137"/>
      <c r="K6" s="138"/>
      <c r="L6" s="138"/>
      <c r="M6" s="138"/>
      <c r="N6" s="138"/>
      <c r="O6" s="139"/>
      <c r="P6" s="138"/>
      <c r="Q6" s="140" t="s">
        <v>109</v>
      </c>
      <c r="R6" s="133"/>
      <c r="S6" s="132" t="s">
        <v>109</v>
      </c>
      <c r="T6" s="141"/>
      <c r="U6" s="142"/>
      <c r="V6" s="132"/>
      <c r="W6" s="79"/>
      <c r="X6" s="79"/>
    </row>
    <row r="7" customFormat="false" ht="12.75" hidden="false" customHeight="false" outlineLevel="0" collapsed="false">
      <c r="B7" s="70" t="s">
        <v>112</v>
      </c>
      <c r="C7" s="71" t="s">
        <v>113</v>
      </c>
      <c r="D7" s="71" t="s">
        <v>114</v>
      </c>
      <c r="E7" s="72" t="s">
        <v>115</v>
      </c>
      <c r="F7" s="72"/>
      <c r="G7" s="70" t="s">
        <v>116</v>
      </c>
      <c r="H7" s="70" t="s">
        <v>117</v>
      </c>
      <c r="I7" s="71" t="s">
        <v>118</v>
      </c>
      <c r="J7" s="73" t="s">
        <v>119</v>
      </c>
      <c r="K7" s="71" t="s">
        <v>120</v>
      </c>
      <c r="L7" s="71" t="s">
        <v>121</v>
      </c>
      <c r="M7" s="71" t="s">
        <v>122</v>
      </c>
      <c r="N7" s="71" t="s">
        <v>123</v>
      </c>
      <c r="O7" s="74" t="s">
        <v>124</v>
      </c>
      <c r="P7" s="71" t="s">
        <v>125</v>
      </c>
      <c r="Q7" s="75" t="s">
        <v>126</v>
      </c>
      <c r="R7" s="71" t="s">
        <v>127</v>
      </c>
      <c r="S7" s="70" t="s">
        <v>128</v>
      </c>
      <c r="T7" s="76" t="s">
        <v>129</v>
      </c>
      <c r="U7" s="77" t="s">
        <v>131</v>
      </c>
      <c r="V7" s="78" t="e">
        <f aca="false">+#REF!</f>
        <v>#REF!</v>
      </c>
      <c r="W7" s="79"/>
      <c r="X7" s="79"/>
    </row>
    <row r="8" customFormat="false" ht="12.75" hidden="false" customHeight="false" outlineLevel="0" collapsed="false">
      <c r="A8" s="92"/>
      <c r="B8" s="53" t="s">
        <v>37</v>
      </c>
      <c r="C8" s="51" t="s">
        <v>204</v>
      </c>
      <c r="D8" s="51" t="s">
        <v>205</v>
      </c>
      <c r="E8" s="52" t="n">
        <v>36617</v>
      </c>
      <c r="F8" s="52" t="n">
        <v>36830</v>
      </c>
      <c r="G8" s="53" t="s">
        <v>206</v>
      </c>
      <c r="H8" s="53" t="s">
        <v>150</v>
      </c>
      <c r="I8" s="51" t="s">
        <v>207</v>
      </c>
      <c r="J8" s="65" t="n">
        <v>0</v>
      </c>
      <c r="K8" s="56" t="n">
        <v>0</v>
      </c>
      <c r="L8" s="56" t="n">
        <v>0</v>
      </c>
      <c r="M8" s="56" t="n">
        <v>0</v>
      </c>
      <c r="N8" s="56" t="n">
        <v>0</v>
      </c>
      <c r="O8" s="57" t="n">
        <v>0</v>
      </c>
      <c r="P8" s="56" t="n">
        <f aca="false">SUM(J8:N8)</f>
        <v>0</v>
      </c>
      <c r="Q8" s="58" t="n">
        <v>51407</v>
      </c>
      <c r="R8" s="51" t="n">
        <v>73754</v>
      </c>
      <c r="S8" s="53" t="s">
        <v>208</v>
      </c>
      <c r="T8" s="93"/>
      <c r="U8" s="94" t="n">
        <v>156569</v>
      </c>
      <c r="V8" s="53"/>
      <c r="W8" s="79"/>
      <c r="X8" s="79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false" outlineLevel="0" collapsed="false">
      <c r="A9" s="92"/>
      <c r="B9" s="53" t="s">
        <v>37</v>
      </c>
      <c r="C9" s="51" t="s">
        <v>204</v>
      </c>
      <c r="D9" s="51" t="s">
        <v>205</v>
      </c>
      <c r="E9" s="52" t="n">
        <v>36617</v>
      </c>
      <c r="F9" s="52" t="n">
        <v>36830</v>
      </c>
      <c r="G9" s="53" t="s">
        <v>206</v>
      </c>
      <c r="H9" s="53" t="s">
        <v>151</v>
      </c>
      <c r="I9" s="51" t="s">
        <v>207</v>
      </c>
      <c r="J9" s="65" t="n">
        <v>0</v>
      </c>
      <c r="K9" s="56" t="n">
        <v>0</v>
      </c>
      <c r="L9" s="56" t="n">
        <v>0</v>
      </c>
      <c r="M9" s="56" t="n">
        <v>0</v>
      </c>
      <c r="N9" s="56" t="n">
        <v>0</v>
      </c>
      <c r="O9" s="57" t="n">
        <v>0</v>
      </c>
      <c r="P9" s="56" t="n">
        <f aca="false">SUM(J9:N9)</f>
        <v>0</v>
      </c>
      <c r="Q9" s="58" t="n">
        <v>51407</v>
      </c>
      <c r="R9" s="51" t="n">
        <v>73754</v>
      </c>
      <c r="S9" s="53" t="s">
        <v>208</v>
      </c>
      <c r="T9" s="93"/>
      <c r="U9" s="94" t="n">
        <v>156569</v>
      </c>
      <c r="V9" s="53"/>
      <c r="W9" s="79"/>
      <c r="X9" s="79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  <c r="IW9" s="92"/>
    </row>
    <row r="10" customFormat="false" ht="12.75" hidden="false" customHeight="false" outlineLevel="0" collapsed="false">
      <c r="A10" s="80"/>
      <c r="B10" s="81" t="s">
        <v>37</v>
      </c>
      <c r="C10" s="82" t="s">
        <v>204</v>
      </c>
      <c r="D10" s="82" t="s">
        <v>31</v>
      </c>
      <c r="E10" s="83" t="n">
        <v>36557</v>
      </c>
      <c r="F10" s="83" t="n">
        <v>36922</v>
      </c>
      <c r="G10" s="81" t="s">
        <v>209</v>
      </c>
      <c r="H10" s="81" t="s">
        <v>210</v>
      </c>
      <c r="I10" s="82" t="s">
        <v>81</v>
      </c>
      <c r="J10" s="84" t="n">
        <f aca="false">6.431/J$1</f>
        <v>0.207451612903226</v>
      </c>
      <c r="K10" s="85"/>
      <c r="L10" s="85"/>
      <c r="M10" s="85"/>
      <c r="N10" s="85"/>
      <c r="O10" s="86"/>
      <c r="P10" s="85"/>
      <c r="Q10" s="87" t="n">
        <v>66280</v>
      </c>
      <c r="R10" s="82" t="n">
        <v>1</v>
      </c>
      <c r="S10" s="81" t="s">
        <v>211</v>
      </c>
      <c r="T10" s="89" t="n">
        <f aca="false">J10*J$1*R10</f>
        <v>6.431</v>
      </c>
      <c r="U10" s="90" t="n">
        <v>156606</v>
      </c>
      <c r="V10" s="81"/>
      <c r="W10" s="91"/>
      <c r="X10" s="91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</row>
    <row r="11" customFormat="false" ht="12.75" hidden="false" customHeight="false" outlineLevel="0" collapsed="false">
      <c r="A11" s="80"/>
      <c r="B11" s="81" t="s">
        <v>37</v>
      </c>
      <c r="C11" s="82" t="s">
        <v>204</v>
      </c>
      <c r="D11" s="82" t="s">
        <v>31</v>
      </c>
      <c r="E11" s="83" t="n">
        <v>36557</v>
      </c>
      <c r="F11" s="83" t="n">
        <v>36922</v>
      </c>
      <c r="G11" s="81" t="s">
        <v>209</v>
      </c>
      <c r="H11" s="81" t="s">
        <v>212</v>
      </c>
      <c r="I11" s="82" t="s">
        <v>81</v>
      </c>
      <c r="J11" s="84" t="n">
        <f aca="false">6.431/J$1</f>
        <v>0.207451612903226</v>
      </c>
      <c r="K11" s="85"/>
      <c r="L11" s="85"/>
      <c r="M11" s="85"/>
      <c r="N11" s="85"/>
      <c r="O11" s="86"/>
      <c r="P11" s="85"/>
      <c r="Q11" s="87" t="n">
        <v>66280</v>
      </c>
      <c r="R11" s="82" t="n">
        <v>4</v>
      </c>
      <c r="S11" s="81" t="s">
        <v>211</v>
      </c>
      <c r="T11" s="89" t="n">
        <f aca="false">J11*J$1*R11</f>
        <v>25.724</v>
      </c>
      <c r="U11" s="90" t="n">
        <v>156606</v>
      </c>
      <c r="V11" s="81"/>
      <c r="W11" s="91"/>
      <c r="X11" s="91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  <c r="IW11" s="80"/>
    </row>
    <row r="12" customFormat="false" ht="12.75" hidden="false" customHeight="false" outlineLevel="0" collapsed="false">
      <c r="A12" s="92"/>
      <c r="B12" s="53" t="s">
        <v>37</v>
      </c>
      <c r="C12" s="51" t="s">
        <v>204</v>
      </c>
      <c r="D12" s="51" t="s">
        <v>213</v>
      </c>
      <c r="E12" s="52" t="n">
        <v>36617</v>
      </c>
      <c r="F12" s="52" t="s">
        <v>214</v>
      </c>
      <c r="G12" s="53" t="s">
        <v>215</v>
      </c>
      <c r="H12" s="53"/>
      <c r="I12" s="51" t="s">
        <v>216</v>
      </c>
      <c r="J12" s="65"/>
      <c r="K12" s="56"/>
      <c r="L12" s="56"/>
      <c r="M12" s="56"/>
      <c r="N12" s="56"/>
      <c r="O12" s="57"/>
      <c r="P12" s="56"/>
      <c r="Q12" s="58" t="n">
        <v>66917</v>
      </c>
      <c r="R12" s="51"/>
      <c r="S12" s="53"/>
      <c r="T12" s="93" t="n">
        <f aca="false">J12*J$1*R12</f>
        <v>0</v>
      </c>
      <c r="U12" s="94" t="n">
        <v>228085</v>
      </c>
      <c r="V12" s="53"/>
      <c r="W12" s="79"/>
      <c r="X12" s="79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  <c r="IW12" s="92"/>
    </row>
    <row r="13" customFormat="false" ht="12.75" hidden="false" customHeight="false" outlineLevel="0" collapsed="false">
      <c r="A13" s="80"/>
      <c r="B13" s="81" t="s">
        <v>37</v>
      </c>
      <c r="C13" s="82" t="s">
        <v>204</v>
      </c>
      <c r="D13" s="82" t="s">
        <v>31</v>
      </c>
      <c r="E13" s="83" t="n">
        <v>36617</v>
      </c>
      <c r="F13" s="83" t="n">
        <v>36981</v>
      </c>
      <c r="G13" s="81" t="s">
        <v>209</v>
      </c>
      <c r="H13" s="81" t="s">
        <v>217</v>
      </c>
      <c r="I13" s="82" t="s">
        <v>81</v>
      </c>
      <c r="J13" s="84" t="n">
        <f aca="false">6.431/$J$1</f>
        <v>0.207451612903226</v>
      </c>
      <c r="K13" s="85"/>
      <c r="L13" s="85"/>
      <c r="M13" s="85"/>
      <c r="N13" s="85"/>
      <c r="O13" s="86"/>
      <c r="P13" s="85"/>
      <c r="Q13" s="87" t="n">
        <v>66939</v>
      </c>
      <c r="R13" s="82" t="n">
        <v>3</v>
      </c>
      <c r="S13" s="81" t="s">
        <v>218</v>
      </c>
      <c r="T13" s="89" t="n">
        <f aca="false">J13*J$1*R13</f>
        <v>19.293</v>
      </c>
      <c r="U13" s="90"/>
      <c r="V13" s="81"/>
      <c r="W13" s="91"/>
      <c r="X13" s="91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  <c r="IW13" s="80"/>
    </row>
    <row r="14" customFormat="false" ht="12.75" hidden="false" customHeight="false" outlineLevel="0" collapsed="false">
      <c r="A14" s="80"/>
      <c r="B14" s="81" t="s">
        <v>37</v>
      </c>
      <c r="C14" s="82" t="s">
        <v>204</v>
      </c>
      <c r="D14" s="82" t="s">
        <v>31</v>
      </c>
      <c r="E14" s="83" t="n">
        <v>36617</v>
      </c>
      <c r="F14" s="83" t="n">
        <v>36981</v>
      </c>
      <c r="G14" s="81" t="s">
        <v>209</v>
      </c>
      <c r="H14" s="81" t="s">
        <v>210</v>
      </c>
      <c r="I14" s="82" t="s">
        <v>81</v>
      </c>
      <c r="J14" s="84" t="n">
        <f aca="false">6.431/$J$1</f>
        <v>0.207451612903226</v>
      </c>
      <c r="K14" s="85"/>
      <c r="L14" s="85"/>
      <c r="M14" s="85"/>
      <c r="N14" s="85"/>
      <c r="O14" s="86"/>
      <c r="P14" s="85"/>
      <c r="Q14" s="87" t="n">
        <v>66939</v>
      </c>
      <c r="R14" s="82" t="n">
        <v>5</v>
      </c>
      <c r="S14" s="81" t="s">
        <v>218</v>
      </c>
      <c r="T14" s="89" t="n">
        <f aca="false">J14*J$1*R14</f>
        <v>32.155</v>
      </c>
      <c r="U14" s="90"/>
      <c r="V14" s="81"/>
      <c r="W14" s="91"/>
      <c r="X14" s="91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  <c r="IW14" s="80"/>
    </row>
    <row r="15" customFormat="false" ht="12.75" hidden="false" customHeight="false" outlineLevel="0" collapsed="false">
      <c r="A15" s="80"/>
      <c r="B15" s="81" t="s">
        <v>37</v>
      </c>
      <c r="C15" s="82" t="s">
        <v>204</v>
      </c>
      <c r="D15" s="82" t="s">
        <v>31</v>
      </c>
      <c r="E15" s="83" t="n">
        <v>36617</v>
      </c>
      <c r="F15" s="83" t="n">
        <v>36981</v>
      </c>
      <c r="G15" s="81" t="s">
        <v>209</v>
      </c>
      <c r="H15" s="81" t="s">
        <v>219</v>
      </c>
      <c r="I15" s="82" t="s">
        <v>81</v>
      </c>
      <c r="J15" s="84" t="n">
        <f aca="false">6.431/$J$1</f>
        <v>0.207451612903226</v>
      </c>
      <c r="K15" s="85"/>
      <c r="L15" s="85"/>
      <c r="M15" s="85"/>
      <c r="N15" s="85"/>
      <c r="O15" s="86"/>
      <c r="P15" s="85"/>
      <c r="Q15" s="87" t="n">
        <v>66939</v>
      </c>
      <c r="R15" s="82" t="n">
        <v>17</v>
      </c>
      <c r="S15" s="81" t="s">
        <v>218</v>
      </c>
      <c r="T15" s="89" t="n">
        <f aca="false">J15*J$1*R15</f>
        <v>109.327</v>
      </c>
      <c r="U15" s="90"/>
      <c r="V15" s="81"/>
      <c r="W15" s="91"/>
      <c r="X15" s="91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  <c r="DL15" s="80"/>
      <c r="DM15" s="80"/>
      <c r="DN15" s="80"/>
      <c r="DO15" s="80"/>
      <c r="DP15" s="80"/>
      <c r="DQ15" s="80"/>
      <c r="DR15" s="80"/>
      <c r="DS15" s="80"/>
      <c r="DT15" s="80"/>
      <c r="DU15" s="80"/>
      <c r="DV15" s="80"/>
      <c r="DW15" s="80"/>
      <c r="DX15" s="80"/>
      <c r="DY15" s="80"/>
      <c r="DZ15" s="80"/>
      <c r="EA15" s="80"/>
      <c r="EB15" s="80"/>
      <c r="EC15" s="80"/>
      <c r="ED15" s="80"/>
      <c r="EE15" s="80"/>
      <c r="EF15" s="80"/>
      <c r="EG15" s="80"/>
      <c r="EH15" s="80"/>
      <c r="EI15" s="80"/>
      <c r="EJ15" s="80"/>
      <c r="EK15" s="80"/>
      <c r="EL15" s="80"/>
      <c r="EM15" s="80"/>
      <c r="EN15" s="80"/>
      <c r="EO15" s="80"/>
      <c r="EP15" s="80"/>
      <c r="EQ15" s="80"/>
      <c r="ER15" s="80"/>
      <c r="ES15" s="80"/>
      <c r="ET15" s="80"/>
      <c r="EU15" s="80"/>
      <c r="EV15" s="80"/>
      <c r="EW15" s="80"/>
      <c r="EX15" s="80"/>
      <c r="EY15" s="80"/>
      <c r="EZ15" s="80"/>
      <c r="FA15" s="80"/>
      <c r="FB15" s="80"/>
      <c r="FC15" s="80"/>
      <c r="FD15" s="80"/>
      <c r="FE15" s="80"/>
      <c r="FF15" s="80"/>
      <c r="FG15" s="80"/>
      <c r="FH15" s="80"/>
      <c r="FI15" s="80"/>
      <c r="FJ15" s="80"/>
      <c r="FK15" s="80"/>
      <c r="FL15" s="80"/>
      <c r="FM15" s="80"/>
      <c r="FN15" s="80"/>
      <c r="FO15" s="80"/>
      <c r="FP15" s="80"/>
      <c r="FQ15" s="80"/>
      <c r="FR15" s="80"/>
      <c r="FS15" s="80"/>
      <c r="FT15" s="80"/>
      <c r="FU15" s="80"/>
      <c r="FV15" s="80"/>
      <c r="FW15" s="80"/>
      <c r="FX15" s="80"/>
      <c r="FY15" s="80"/>
      <c r="FZ15" s="80"/>
      <c r="GA15" s="80"/>
      <c r="GB15" s="80"/>
      <c r="GC15" s="80"/>
      <c r="GD15" s="80"/>
      <c r="GE15" s="80"/>
      <c r="GF15" s="80"/>
      <c r="GG15" s="80"/>
      <c r="GH15" s="80"/>
      <c r="GI15" s="80"/>
      <c r="GJ15" s="80"/>
      <c r="GK15" s="80"/>
      <c r="GL15" s="80"/>
      <c r="GM15" s="80"/>
      <c r="GN15" s="80"/>
      <c r="GO15" s="80"/>
      <c r="GP15" s="80"/>
      <c r="GQ15" s="80"/>
      <c r="GR15" s="80"/>
      <c r="GS15" s="80"/>
      <c r="GT15" s="80"/>
      <c r="GU15" s="80"/>
      <c r="GV15" s="80"/>
      <c r="GW15" s="80"/>
      <c r="GX15" s="80"/>
      <c r="GY15" s="80"/>
      <c r="GZ15" s="80"/>
      <c r="HA15" s="80"/>
      <c r="HB15" s="80"/>
      <c r="HC15" s="80"/>
      <c r="HD15" s="80"/>
      <c r="HE15" s="80"/>
      <c r="HF15" s="80"/>
      <c r="HG15" s="80"/>
      <c r="HH15" s="80"/>
      <c r="HI15" s="80"/>
      <c r="HJ15" s="80"/>
      <c r="HK15" s="80"/>
      <c r="HL15" s="80"/>
      <c r="HM15" s="80"/>
      <c r="HN15" s="80"/>
      <c r="HO15" s="80"/>
      <c r="HP15" s="80"/>
      <c r="HQ15" s="80"/>
      <c r="HR15" s="80"/>
      <c r="HS15" s="80"/>
      <c r="HT15" s="80"/>
      <c r="HU15" s="80"/>
      <c r="HV15" s="80"/>
      <c r="HW15" s="80"/>
      <c r="HX15" s="80"/>
      <c r="HY15" s="80"/>
      <c r="HZ15" s="80"/>
      <c r="IA15" s="80"/>
      <c r="IB15" s="80"/>
      <c r="IC15" s="80"/>
      <c r="ID15" s="80"/>
      <c r="IE15" s="80"/>
      <c r="IF15" s="80"/>
      <c r="IG15" s="80"/>
      <c r="IH15" s="80"/>
      <c r="II15" s="80"/>
      <c r="IJ15" s="80"/>
      <c r="IK15" s="80"/>
      <c r="IL15" s="80"/>
      <c r="IM15" s="80"/>
      <c r="IN15" s="80"/>
      <c r="IO15" s="80"/>
      <c r="IP15" s="80"/>
      <c r="IQ15" s="80"/>
      <c r="IR15" s="80"/>
      <c r="IS15" s="80"/>
      <c r="IT15" s="80"/>
      <c r="IU15" s="80"/>
      <c r="IV15" s="80"/>
      <c r="IW15" s="80"/>
    </row>
    <row r="16" customFormat="false" ht="12.75" hidden="false" customHeight="false" outlineLevel="0" collapsed="false">
      <c r="A16" s="80"/>
      <c r="B16" s="81" t="s">
        <v>37</v>
      </c>
      <c r="C16" s="82" t="s">
        <v>204</v>
      </c>
      <c r="D16" s="82" t="s">
        <v>31</v>
      </c>
      <c r="E16" s="83" t="n">
        <v>36617</v>
      </c>
      <c r="F16" s="83" t="n">
        <v>36981</v>
      </c>
      <c r="G16" s="81" t="s">
        <v>209</v>
      </c>
      <c r="H16" s="81" t="s">
        <v>212</v>
      </c>
      <c r="I16" s="82" t="s">
        <v>81</v>
      </c>
      <c r="J16" s="84" t="n">
        <f aca="false">6.431/$J$1</f>
        <v>0.207451612903226</v>
      </c>
      <c r="K16" s="85"/>
      <c r="L16" s="85"/>
      <c r="M16" s="85"/>
      <c r="N16" s="85"/>
      <c r="O16" s="86"/>
      <c r="P16" s="85"/>
      <c r="Q16" s="87" t="n">
        <v>66939</v>
      </c>
      <c r="R16" s="82" t="n">
        <v>27</v>
      </c>
      <c r="S16" s="81" t="s">
        <v>218</v>
      </c>
      <c r="T16" s="89" t="n">
        <f aca="false">J16*J$1*R16</f>
        <v>173.637</v>
      </c>
      <c r="U16" s="90"/>
      <c r="V16" s="81"/>
      <c r="W16" s="91"/>
      <c r="X16" s="91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  <c r="CB16" s="80"/>
      <c r="CC16" s="80"/>
      <c r="CD16" s="80"/>
      <c r="CE16" s="80"/>
      <c r="CF16" s="80"/>
      <c r="CG16" s="80"/>
      <c r="CH16" s="80"/>
      <c r="CI16" s="80"/>
      <c r="CJ16" s="80"/>
      <c r="CK16" s="80"/>
      <c r="CL16" s="80"/>
      <c r="CM16" s="80"/>
      <c r="CN16" s="80"/>
      <c r="CO16" s="80"/>
      <c r="CP16" s="80"/>
      <c r="CQ16" s="80"/>
      <c r="CR16" s="80"/>
      <c r="CS16" s="80"/>
      <c r="CT16" s="80"/>
      <c r="CU16" s="80"/>
      <c r="CV16" s="80"/>
      <c r="CW16" s="80"/>
      <c r="CX16" s="80"/>
      <c r="CY16" s="80"/>
      <c r="CZ16" s="80"/>
      <c r="DA16" s="80"/>
      <c r="DB16" s="80"/>
      <c r="DC16" s="80"/>
      <c r="DD16" s="80"/>
      <c r="DE16" s="80"/>
      <c r="DF16" s="80"/>
      <c r="DG16" s="80"/>
      <c r="DH16" s="80"/>
      <c r="DI16" s="80"/>
      <c r="DJ16" s="80"/>
      <c r="DK16" s="80"/>
      <c r="DL16" s="80"/>
      <c r="DM16" s="80"/>
      <c r="DN16" s="80"/>
      <c r="DO16" s="80"/>
      <c r="DP16" s="80"/>
      <c r="DQ16" s="80"/>
      <c r="DR16" s="80"/>
      <c r="DS16" s="80"/>
      <c r="DT16" s="80"/>
      <c r="DU16" s="80"/>
      <c r="DV16" s="80"/>
      <c r="DW16" s="80"/>
      <c r="DX16" s="80"/>
      <c r="DY16" s="80"/>
      <c r="DZ16" s="80"/>
      <c r="EA16" s="80"/>
      <c r="EB16" s="80"/>
      <c r="EC16" s="80"/>
      <c r="ED16" s="80"/>
      <c r="EE16" s="80"/>
      <c r="EF16" s="80"/>
      <c r="EG16" s="80"/>
      <c r="EH16" s="80"/>
      <c r="EI16" s="80"/>
      <c r="EJ16" s="80"/>
      <c r="EK16" s="80"/>
      <c r="EL16" s="80"/>
      <c r="EM16" s="80"/>
      <c r="EN16" s="80"/>
      <c r="EO16" s="80"/>
      <c r="EP16" s="80"/>
      <c r="EQ16" s="80"/>
      <c r="ER16" s="80"/>
      <c r="ES16" s="80"/>
      <c r="ET16" s="80"/>
      <c r="EU16" s="80"/>
      <c r="EV16" s="80"/>
      <c r="EW16" s="80"/>
      <c r="EX16" s="80"/>
      <c r="EY16" s="80"/>
      <c r="EZ16" s="80"/>
      <c r="FA16" s="80"/>
      <c r="FB16" s="80"/>
      <c r="FC16" s="80"/>
      <c r="FD16" s="80"/>
      <c r="FE16" s="80"/>
      <c r="FF16" s="80"/>
      <c r="FG16" s="80"/>
      <c r="FH16" s="80"/>
      <c r="FI16" s="80"/>
      <c r="FJ16" s="80"/>
      <c r="FK16" s="80"/>
      <c r="FL16" s="80"/>
      <c r="FM16" s="80"/>
      <c r="FN16" s="80"/>
      <c r="FO16" s="80"/>
      <c r="FP16" s="80"/>
      <c r="FQ16" s="80"/>
      <c r="FR16" s="80"/>
      <c r="FS16" s="80"/>
      <c r="FT16" s="80"/>
      <c r="FU16" s="80"/>
      <c r="FV16" s="80"/>
      <c r="FW16" s="80"/>
      <c r="FX16" s="80"/>
      <c r="FY16" s="80"/>
      <c r="FZ16" s="80"/>
      <c r="GA16" s="80"/>
      <c r="GB16" s="80"/>
      <c r="GC16" s="80"/>
      <c r="GD16" s="80"/>
      <c r="GE16" s="80"/>
      <c r="GF16" s="80"/>
      <c r="GG16" s="80"/>
      <c r="GH16" s="80"/>
      <c r="GI16" s="80"/>
      <c r="GJ16" s="80"/>
      <c r="GK16" s="80"/>
      <c r="GL16" s="80"/>
      <c r="GM16" s="80"/>
      <c r="GN16" s="80"/>
      <c r="GO16" s="80"/>
      <c r="GP16" s="80"/>
      <c r="GQ16" s="80"/>
      <c r="GR16" s="80"/>
      <c r="GS16" s="80"/>
      <c r="GT16" s="80"/>
      <c r="GU16" s="80"/>
      <c r="GV16" s="80"/>
      <c r="GW16" s="80"/>
      <c r="GX16" s="80"/>
      <c r="GY16" s="80"/>
      <c r="GZ16" s="80"/>
      <c r="HA16" s="80"/>
      <c r="HB16" s="80"/>
      <c r="HC16" s="80"/>
      <c r="HD16" s="80"/>
      <c r="HE16" s="80"/>
      <c r="HF16" s="80"/>
      <c r="HG16" s="80"/>
      <c r="HH16" s="80"/>
      <c r="HI16" s="80"/>
      <c r="HJ16" s="80"/>
      <c r="HK16" s="80"/>
      <c r="HL16" s="80"/>
      <c r="HM16" s="80"/>
      <c r="HN16" s="80"/>
      <c r="HO16" s="80"/>
      <c r="HP16" s="80"/>
      <c r="HQ16" s="80"/>
      <c r="HR16" s="80"/>
      <c r="HS16" s="80"/>
      <c r="HT16" s="80"/>
      <c r="HU16" s="80"/>
      <c r="HV16" s="80"/>
      <c r="HW16" s="80"/>
      <c r="HX16" s="80"/>
      <c r="HY16" s="80"/>
      <c r="HZ16" s="80"/>
      <c r="IA16" s="80"/>
      <c r="IB16" s="80"/>
      <c r="IC16" s="80"/>
      <c r="ID16" s="80"/>
      <c r="IE16" s="80"/>
      <c r="IF16" s="80"/>
      <c r="IG16" s="80"/>
      <c r="IH16" s="80"/>
      <c r="II16" s="80"/>
      <c r="IJ16" s="80"/>
      <c r="IK16" s="80"/>
      <c r="IL16" s="80"/>
      <c r="IM16" s="80"/>
      <c r="IN16" s="80"/>
      <c r="IO16" s="80"/>
      <c r="IP16" s="80"/>
      <c r="IQ16" s="80"/>
      <c r="IR16" s="80"/>
      <c r="IS16" s="80"/>
      <c r="IT16" s="80"/>
      <c r="IU16" s="80"/>
      <c r="IV16" s="80"/>
      <c r="IW16" s="80"/>
    </row>
    <row r="17" customFormat="false" ht="12.75" hidden="false" customHeight="false" outlineLevel="0" collapsed="false">
      <c r="A17" s="80"/>
      <c r="B17" s="81" t="s">
        <v>37</v>
      </c>
      <c r="C17" s="82" t="s">
        <v>204</v>
      </c>
      <c r="D17" s="82" t="s">
        <v>33</v>
      </c>
      <c r="E17" s="83" t="n">
        <v>36617</v>
      </c>
      <c r="F17" s="83" t="n">
        <v>36981</v>
      </c>
      <c r="G17" s="81" t="s">
        <v>220</v>
      </c>
      <c r="H17" s="81" t="s">
        <v>221</v>
      </c>
      <c r="I17" s="82" t="s">
        <v>81</v>
      </c>
      <c r="J17" s="84" t="n">
        <f aca="false">6.431/$J$1</f>
        <v>0.207451612903226</v>
      </c>
      <c r="K17" s="85"/>
      <c r="L17" s="85"/>
      <c r="M17" s="85"/>
      <c r="N17" s="85"/>
      <c r="O17" s="86"/>
      <c r="P17" s="85"/>
      <c r="Q17" s="87" t="n">
        <v>66940</v>
      </c>
      <c r="R17" s="82" t="n">
        <v>1</v>
      </c>
      <c r="S17" s="81" t="s">
        <v>222</v>
      </c>
      <c r="T17" s="89" t="n">
        <f aca="false">J17*J$1*R17</f>
        <v>6.431</v>
      </c>
      <c r="U17" s="90" t="n">
        <v>228134</v>
      </c>
      <c r="V17" s="81"/>
      <c r="W17" s="91"/>
      <c r="X17" s="91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</row>
    <row r="18" customFormat="false" ht="12.75" hidden="false" customHeight="false" outlineLevel="0" collapsed="false">
      <c r="A18" s="80"/>
      <c r="B18" s="81" t="s">
        <v>37</v>
      </c>
      <c r="C18" s="82" t="s">
        <v>204</v>
      </c>
      <c r="D18" s="82" t="s">
        <v>33</v>
      </c>
      <c r="E18" s="83" t="n">
        <v>36617</v>
      </c>
      <c r="F18" s="83" t="n">
        <v>36981</v>
      </c>
      <c r="G18" s="81" t="s">
        <v>220</v>
      </c>
      <c r="H18" s="81" t="s">
        <v>223</v>
      </c>
      <c r="I18" s="82" t="s">
        <v>81</v>
      </c>
      <c r="J18" s="84" t="n">
        <f aca="false">6.431/$J$1</f>
        <v>0.207451612903226</v>
      </c>
      <c r="K18" s="85"/>
      <c r="L18" s="85"/>
      <c r="M18" s="85"/>
      <c r="N18" s="85"/>
      <c r="O18" s="86"/>
      <c r="P18" s="85"/>
      <c r="Q18" s="87" t="n">
        <v>66940</v>
      </c>
      <c r="R18" s="82" t="n">
        <v>1</v>
      </c>
      <c r="S18" s="81" t="s">
        <v>222</v>
      </c>
      <c r="T18" s="89" t="n">
        <f aca="false">J18*J$1*R18</f>
        <v>6.431</v>
      </c>
      <c r="U18" s="90" t="n">
        <v>228134</v>
      </c>
      <c r="V18" s="81"/>
      <c r="W18" s="91"/>
      <c r="X18" s="91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80"/>
      <c r="CH18" s="80"/>
      <c r="CI18" s="80"/>
      <c r="CJ18" s="80"/>
      <c r="CK18" s="80"/>
      <c r="CL18" s="80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  <c r="DL18" s="80"/>
      <c r="DM18" s="80"/>
      <c r="DN18" s="80"/>
      <c r="DO18" s="80"/>
      <c r="DP18" s="80"/>
      <c r="DQ18" s="80"/>
      <c r="DR18" s="80"/>
      <c r="DS18" s="80"/>
      <c r="DT18" s="80"/>
      <c r="DU18" s="80"/>
      <c r="DV18" s="80"/>
      <c r="DW18" s="80"/>
      <c r="DX18" s="80"/>
      <c r="DY18" s="80"/>
      <c r="DZ18" s="80"/>
      <c r="EA18" s="80"/>
      <c r="EB18" s="80"/>
      <c r="EC18" s="80"/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0"/>
      <c r="EO18" s="80"/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0"/>
      <c r="FF18" s="80"/>
      <c r="FG18" s="80"/>
      <c r="FH18" s="80"/>
      <c r="FI18" s="80"/>
      <c r="FJ18" s="80"/>
      <c r="FK18" s="80"/>
      <c r="FL18" s="80"/>
      <c r="FM18" s="80"/>
      <c r="FN18" s="80"/>
      <c r="FO18" s="80"/>
      <c r="FP18" s="80"/>
      <c r="FQ18" s="80"/>
      <c r="FR18" s="80"/>
      <c r="FS18" s="80"/>
      <c r="FT18" s="80"/>
      <c r="FU18" s="80"/>
      <c r="FV18" s="80"/>
      <c r="FW18" s="80"/>
      <c r="FX18" s="80"/>
      <c r="FY18" s="80"/>
      <c r="FZ18" s="80"/>
      <c r="GA18" s="80"/>
      <c r="GB18" s="80"/>
      <c r="GC18" s="80"/>
      <c r="GD18" s="80"/>
      <c r="GE18" s="80"/>
      <c r="GF18" s="80"/>
      <c r="GG18" s="80"/>
      <c r="GH18" s="80"/>
      <c r="GI18" s="80"/>
      <c r="GJ18" s="80"/>
      <c r="GK18" s="80"/>
      <c r="GL18" s="80"/>
      <c r="GM18" s="80"/>
      <c r="GN18" s="80"/>
      <c r="GO18" s="80"/>
      <c r="GP18" s="80"/>
      <c r="GQ18" s="80"/>
      <c r="GR18" s="80"/>
      <c r="GS18" s="80"/>
      <c r="GT18" s="80"/>
      <c r="GU18" s="80"/>
      <c r="GV18" s="80"/>
      <c r="GW18" s="80"/>
      <c r="GX18" s="80"/>
      <c r="GY18" s="80"/>
      <c r="GZ18" s="80"/>
      <c r="HA18" s="80"/>
      <c r="HB18" s="80"/>
      <c r="HC18" s="80"/>
      <c r="HD18" s="80"/>
      <c r="HE18" s="80"/>
      <c r="HF18" s="80"/>
      <c r="HG18" s="80"/>
      <c r="HH18" s="80"/>
      <c r="HI18" s="80"/>
      <c r="HJ18" s="80"/>
      <c r="HK18" s="80"/>
      <c r="HL18" s="80"/>
      <c r="HM18" s="80"/>
      <c r="HN18" s="80"/>
      <c r="HO18" s="80"/>
      <c r="HP18" s="80"/>
      <c r="HQ18" s="80"/>
      <c r="HR18" s="80"/>
      <c r="HS18" s="80"/>
      <c r="HT18" s="80"/>
      <c r="HU18" s="80"/>
      <c r="HV18" s="80"/>
      <c r="HW18" s="80"/>
      <c r="HX18" s="80"/>
      <c r="HY18" s="80"/>
      <c r="HZ18" s="80"/>
      <c r="IA18" s="80"/>
      <c r="IB18" s="80"/>
      <c r="IC18" s="80"/>
      <c r="ID18" s="80"/>
      <c r="IE18" s="80"/>
      <c r="IF18" s="80"/>
      <c r="IG18" s="80"/>
      <c r="IH18" s="80"/>
      <c r="II18" s="80"/>
      <c r="IJ18" s="80"/>
      <c r="IK18" s="80"/>
      <c r="IL18" s="80"/>
      <c r="IM18" s="80"/>
      <c r="IN18" s="80"/>
      <c r="IO18" s="80"/>
      <c r="IP18" s="80"/>
      <c r="IQ18" s="80"/>
      <c r="IR18" s="80"/>
      <c r="IS18" s="80"/>
      <c r="IT18" s="80"/>
      <c r="IU18" s="80"/>
      <c r="IV18" s="80"/>
      <c r="IW18" s="80"/>
    </row>
    <row r="19" customFormat="false" ht="12.75" hidden="false" customHeight="false" outlineLevel="0" collapsed="false">
      <c r="A19" s="92"/>
      <c r="B19" s="53" t="s">
        <v>37</v>
      </c>
      <c r="C19" s="51" t="s">
        <v>204</v>
      </c>
      <c r="D19" s="51" t="s">
        <v>205</v>
      </c>
      <c r="E19" s="52" t="n">
        <v>36800</v>
      </c>
      <c r="F19" s="52" t="n">
        <v>36981</v>
      </c>
      <c r="G19" s="53" t="s">
        <v>206</v>
      </c>
      <c r="H19" s="53" t="s">
        <v>224</v>
      </c>
      <c r="I19" s="51" t="s">
        <v>225</v>
      </c>
      <c r="J19" s="84" t="n">
        <f aca="false">6.059/$J$1</f>
        <v>0.195451612903226</v>
      </c>
      <c r="K19" s="56" t="n">
        <v>0.013</v>
      </c>
      <c r="L19" s="56" t="n">
        <v>0.0022</v>
      </c>
      <c r="M19" s="56" t="n">
        <v>0.0072</v>
      </c>
      <c r="N19" s="56" t="n">
        <v>0</v>
      </c>
      <c r="O19" s="57" t="n">
        <v>0.02116</v>
      </c>
      <c r="P19" s="56" t="n">
        <f aca="false">SUM(J19:N19)</f>
        <v>0.217851612903226</v>
      </c>
      <c r="Q19" s="58" t="n">
        <v>67694</v>
      </c>
      <c r="R19" s="51" t="n">
        <v>108648</v>
      </c>
      <c r="S19" s="53" t="s">
        <v>109</v>
      </c>
      <c r="T19" s="93" t="n">
        <f aca="false">J19*J$1*R19</f>
        <v>658298.232</v>
      </c>
      <c r="U19" s="94" t="n">
        <v>231723</v>
      </c>
      <c r="V19" s="53"/>
      <c r="W19" s="79"/>
      <c r="X19" s="79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  <c r="IW19" s="92"/>
    </row>
    <row r="20" customFormat="false" ht="12.75" hidden="false" customHeight="false" outlineLevel="0" collapsed="false">
      <c r="A20" s="92"/>
      <c r="B20" s="53" t="s">
        <v>37</v>
      </c>
      <c r="C20" s="51" t="s">
        <v>204</v>
      </c>
      <c r="D20" s="51" t="s">
        <v>205</v>
      </c>
      <c r="E20" s="52" t="n">
        <v>36617</v>
      </c>
      <c r="F20" s="52" t="n">
        <v>36981</v>
      </c>
      <c r="G20" s="53" t="s">
        <v>206</v>
      </c>
      <c r="H20" s="53" t="s">
        <v>151</v>
      </c>
      <c r="I20" s="51" t="s">
        <v>207</v>
      </c>
      <c r="J20" s="84" t="n">
        <v>1.524</v>
      </c>
      <c r="K20" s="56" t="n">
        <v>0</v>
      </c>
      <c r="L20" s="56" t="n">
        <v>0</v>
      </c>
      <c r="M20" s="56" t="n">
        <v>0</v>
      </c>
      <c r="N20" s="56" t="n">
        <v>0</v>
      </c>
      <c r="O20" s="57" t="n">
        <v>0</v>
      </c>
      <c r="P20" s="56" t="n">
        <f aca="false">SUM(J20:N20)</f>
        <v>1.524</v>
      </c>
      <c r="Q20" s="58" t="n">
        <v>67712</v>
      </c>
      <c r="R20" s="51" t="n">
        <v>108648</v>
      </c>
      <c r="S20" s="53" t="s">
        <v>226</v>
      </c>
      <c r="T20" s="93" t="n">
        <f aca="false">J20*R20</f>
        <v>165579.552</v>
      </c>
      <c r="U20" s="94" t="n">
        <v>235876</v>
      </c>
      <c r="V20" s="53" t="n">
        <v>231698</v>
      </c>
      <c r="W20" s="79"/>
      <c r="X20" s="79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  <c r="IW20" s="92"/>
    </row>
    <row r="21" customFormat="false" ht="12.75" hidden="false" customHeight="false" outlineLevel="0" collapsed="false">
      <c r="A21" s="92"/>
      <c r="B21" s="53" t="s">
        <v>37</v>
      </c>
      <c r="C21" s="51" t="s">
        <v>204</v>
      </c>
      <c r="D21" s="51" t="s">
        <v>205</v>
      </c>
      <c r="E21" s="52" t="n">
        <v>36617</v>
      </c>
      <c r="F21" s="52" t="n">
        <v>36981</v>
      </c>
      <c r="G21" s="53" t="s">
        <v>206</v>
      </c>
      <c r="H21" s="53" t="s">
        <v>150</v>
      </c>
      <c r="I21" s="51" t="s">
        <v>207</v>
      </c>
      <c r="J21" s="84" t="n">
        <v>0.0293</v>
      </c>
      <c r="K21" s="56" t="n">
        <v>0</v>
      </c>
      <c r="L21" s="56" t="n">
        <v>0</v>
      </c>
      <c r="M21" s="56" t="n">
        <v>0</v>
      </c>
      <c r="N21" s="56" t="n">
        <v>0</v>
      </c>
      <c r="O21" s="57" t="n">
        <v>0</v>
      </c>
      <c r="P21" s="56" t="n">
        <f aca="false">SUM(J21:N21)</f>
        <v>0.0293</v>
      </c>
      <c r="Q21" s="58" t="n">
        <v>67712</v>
      </c>
      <c r="R21" s="51" t="n">
        <v>6050607</v>
      </c>
      <c r="S21" s="53" t="s">
        <v>226</v>
      </c>
      <c r="T21" s="93" t="n">
        <f aca="false">J21*R21</f>
        <v>177282.7851</v>
      </c>
      <c r="U21" s="94" t="n">
        <v>235876</v>
      </c>
      <c r="V21" s="53" t="n">
        <v>231698</v>
      </c>
      <c r="W21" s="79"/>
      <c r="X21" s="79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  <c r="IW21" s="92"/>
    </row>
    <row r="22" customFormat="false" ht="12.75" hidden="false" customHeight="false" outlineLevel="0" collapsed="false">
      <c r="A22" s="92"/>
      <c r="B22" s="53" t="s">
        <v>37</v>
      </c>
      <c r="C22" s="51" t="s">
        <v>204</v>
      </c>
      <c r="D22" s="51" t="s">
        <v>205</v>
      </c>
      <c r="E22" s="52" t="n">
        <v>36617</v>
      </c>
      <c r="F22" s="52" t="n">
        <v>36981</v>
      </c>
      <c r="G22" s="53" t="s">
        <v>206</v>
      </c>
      <c r="H22" s="53" t="s">
        <v>150</v>
      </c>
      <c r="I22" s="51" t="s">
        <v>207</v>
      </c>
      <c r="J22" s="65" t="n">
        <v>0</v>
      </c>
      <c r="K22" s="56" t="n">
        <v>0</v>
      </c>
      <c r="L22" s="56" t="n">
        <v>0</v>
      </c>
      <c r="M22" s="56" t="n">
        <v>0</v>
      </c>
      <c r="N22" s="56" t="n">
        <v>0</v>
      </c>
      <c r="O22" s="57" t="n">
        <v>0</v>
      </c>
      <c r="P22" s="56" t="n">
        <f aca="false">SUM(J22:N22)</f>
        <v>0</v>
      </c>
      <c r="Q22" s="58" t="n">
        <v>67713</v>
      </c>
      <c r="R22" s="51" t="n">
        <v>0</v>
      </c>
      <c r="S22" s="53" t="s">
        <v>227</v>
      </c>
      <c r="T22" s="93" t="n">
        <f aca="false">J22*R22</f>
        <v>0</v>
      </c>
      <c r="U22" s="94" t="n">
        <v>235876</v>
      </c>
      <c r="V22" s="53"/>
      <c r="W22" s="79"/>
      <c r="X22" s="79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  <c r="IW22" s="92"/>
    </row>
    <row r="23" customFormat="false" ht="12.75" hidden="false" customHeight="false" outlineLevel="0" collapsed="false">
      <c r="A23" s="92"/>
      <c r="B23" s="53" t="s">
        <v>37</v>
      </c>
      <c r="C23" s="51" t="s">
        <v>204</v>
      </c>
      <c r="D23" s="51" t="s">
        <v>205</v>
      </c>
      <c r="E23" s="52" t="n">
        <v>36617</v>
      </c>
      <c r="F23" s="52" t="n">
        <v>36981</v>
      </c>
      <c r="G23" s="53" t="s">
        <v>206</v>
      </c>
      <c r="H23" s="53" t="s">
        <v>151</v>
      </c>
      <c r="I23" s="51" t="s">
        <v>207</v>
      </c>
      <c r="J23" s="65" t="n">
        <v>0</v>
      </c>
      <c r="K23" s="56" t="n">
        <v>0</v>
      </c>
      <c r="L23" s="56" t="n">
        <v>0</v>
      </c>
      <c r="M23" s="56" t="n">
        <v>0</v>
      </c>
      <c r="N23" s="56" t="n">
        <v>0</v>
      </c>
      <c r="O23" s="57" t="n">
        <v>0</v>
      </c>
      <c r="P23" s="56" t="n">
        <f aca="false">SUM(J23:N23)</f>
        <v>0</v>
      </c>
      <c r="Q23" s="58" t="n">
        <v>67713</v>
      </c>
      <c r="R23" s="51" t="n">
        <v>0</v>
      </c>
      <c r="S23" s="53" t="s">
        <v>227</v>
      </c>
      <c r="T23" s="93" t="n">
        <f aca="false">J23*R23</f>
        <v>0</v>
      </c>
      <c r="U23" s="94" t="n">
        <v>235876</v>
      </c>
      <c r="V23" s="53"/>
      <c r="W23" s="79"/>
      <c r="X23" s="79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  <c r="IW23" s="92"/>
    </row>
    <row r="24" customFormat="false" ht="12.75" hidden="false" customHeight="false" outlineLevel="0" collapsed="false">
      <c r="A24" s="80"/>
      <c r="B24" s="81" t="s">
        <v>37</v>
      </c>
      <c r="C24" s="82" t="s">
        <v>204</v>
      </c>
      <c r="D24" s="82" t="s">
        <v>33</v>
      </c>
      <c r="E24" s="83" t="n">
        <v>36647</v>
      </c>
      <c r="F24" s="83" t="n">
        <v>37011</v>
      </c>
      <c r="G24" s="81" t="s">
        <v>228</v>
      </c>
      <c r="H24" s="81" t="s">
        <v>229</v>
      </c>
      <c r="I24" s="82" t="s">
        <v>81</v>
      </c>
      <c r="J24" s="84" t="n">
        <f aca="false">6.431/$J$1</f>
        <v>0.207451612903226</v>
      </c>
      <c r="K24" s="85"/>
      <c r="L24" s="85"/>
      <c r="M24" s="85"/>
      <c r="N24" s="85"/>
      <c r="O24" s="86"/>
      <c r="P24" s="85"/>
      <c r="Q24" s="87" t="n">
        <v>68188</v>
      </c>
      <c r="R24" s="82" t="n">
        <v>1</v>
      </c>
      <c r="S24" s="81" t="s">
        <v>230</v>
      </c>
      <c r="T24" s="89" t="n">
        <f aca="false">J24*J$1*R24</f>
        <v>6.431</v>
      </c>
      <c r="U24" s="90" t="n">
        <v>253195</v>
      </c>
      <c r="V24" s="81"/>
      <c r="W24" s="91"/>
      <c r="X24" s="91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  <c r="CJ24" s="80"/>
      <c r="CK24" s="80"/>
      <c r="CL24" s="80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  <c r="DL24" s="80"/>
      <c r="DM24" s="80"/>
      <c r="DN24" s="80"/>
      <c r="DO24" s="80"/>
      <c r="DP24" s="80"/>
      <c r="DQ24" s="80"/>
      <c r="DR24" s="80"/>
      <c r="DS24" s="80"/>
      <c r="DT24" s="80"/>
      <c r="DU24" s="80"/>
      <c r="DV24" s="80"/>
      <c r="DW24" s="80"/>
      <c r="DX24" s="80"/>
      <c r="DY24" s="80"/>
      <c r="DZ24" s="80"/>
      <c r="EA24" s="80"/>
      <c r="EB24" s="80"/>
      <c r="EC24" s="80"/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0"/>
      <c r="EO24" s="80"/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0"/>
      <c r="FF24" s="80"/>
      <c r="FG24" s="80"/>
      <c r="FH24" s="80"/>
      <c r="FI24" s="80"/>
      <c r="FJ24" s="80"/>
      <c r="FK24" s="80"/>
      <c r="FL24" s="80"/>
      <c r="FM24" s="80"/>
      <c r="FN24" s="80"/>
      <c r="FO24" s="80"/>
      <c r="FP24" s="80"/>
      <c r="FQ24" s="80"/>
      <c r="FR24" s="80"/>
      <c r="FS24" s="80"/>
      <c r="FT24" s="80"/>
      <c r="FU24" s="80"/>
      <c r="FV24" s="80"/>
      <c r="FW24" s="80"/>
      <c r="FX24" s="80"/>
      <c r="FY24" s="80"/>
      <c r="FZ24" s="80"/>
      <c r="GA24" s="80"/>
      <c r="GB24" s="80"/>
      <c r="GC24" s="80"/>
      <c r="GD24" s="80"/>
      <c r="GE24" s="80"/>
      <c r="GF24" s="80"/>
      <c r="GG24" s="80"/>
      <c r="GH24" s="80"/>
      <c r="GI24" s="80"/>
      <c r="GJ24" s="80"/>
      <c r="GK24" s="80"/>
      <c r="GL24" s="80"/>
      <c r="GM24" s="80"/>
      <c r="GN24" s="80"/>
      <c r="GO24" s="80"/>
      <c r="GP24" s="80"/>
      <c r="GQ24" s="80"/>
      <c r="GR24" s="80"/>
      <c r="GS24" s="80"/>
      <c r="GT24" s="80"/>
      <c r="GU24" s="80"/>
      <c r="GV24" s="80"/>
      <c r="GW24" s="80"/>
      <c r="GX24" s="80"/>
      <c r="GY24" s="80"/>
      <c r="GZ24" s="80"/>
      <c r="HA24" s="80"/>
      <c r="HB24" s="80"/>
      <c r="HC24" s="80"/>
      <c r="HD24" s="80"/>
      <c r="HE24" s="80"/>
      <c r="HF24" s="80"/>
      <c r="HG24" s="80"/>
      <c r="HH24" s="80"/>
      <c r="HI24" s="80"/>
      <c r="HJ24" s="80"/>
      <c r="HK24" s="80"/>
      <c r="HL24" s="80"/>
      <c r="HM24" s="80"/>
      <c r="HN24" s="80"/>
      <c r="HO24" s="80"/>
      <c r="HP24" s="80"/>
      <c r="HQ24" s="80"/>
      <c r="HR24" s="80"/>
      <c r="HS24" s="80"/>
      <c r="HT24" s="80"/>
      <c r="HU24" s="80"/>
      <c r="HV24" s="80"/>
      <c r="HW24" s="80"/>
      <c r="HX24" s="80"/>
      <c r="HY24" s="80"/>
      <c r="HZ24" s="80"/>
      <c r="IA24" s="80"/>
      <c r="IB24" s="80"/>
      <c r="IC24" s="80"/>
      <c r="ID24" s="80"/>
      <c r="IE24" s="80"/>
      <c r="IF24" s="80"/>
      <c r="IG24" s="80"/>
      <c r="IH24" s="80"/>
      <c r="II24" s="80"/>
      <c r="IJ24" s="80"/>
      <c r="IK24" s="80"/>
      <c r="IL24" s="80"/>
      <c r="IM24" s="80"/>
      <c r="IN24" s="80"/>
      <c r="IO24" s="80"/>
      <c r="IP24" s="80"/>
      <c r="IQ24" s="80"/>
      <c r="IR24" s="80"/>
      <c r="IS24" s="80"/>
      <c r="IT24" s="80"/>
      <c r="IU24" s="80"/>
      <c r="IV24" s="80"/>
      <c r="IW24" s="80"/>
    </row>
    <row r="25" customFormat="false" ht="12.75" hidden="false" customHeight="false" outlineLevel="0" collapsed="false">
      <c r="A25" s="143"/>
      <c r="B25" s="116" t="s">
        <v>37</v>
      </c>
      <c r="C25" s="114" t="s">
        <v>204</v>
      </c>
      <c r="D25" s="114" t="s">
        <v>34</v>
      </c>
      <c r="E25" s="144" t="n">
        <v>36647</v>
      </c>
      <c r="F25" s="144" t="n">
        <v>37011</v>
      </c>
      <c r="G25" s="116" t="s">
        <v>209</v>
      </c>
      <c r="H25" s="116" t="s">
        <v>231</v>
      </c>
      <c r="I25" s="114" t="s">
        <v>81</v>
      </c>
      <c r="J25" s="84" t="n">
        <f aca="false">6.431/$J$1</f>
        <v>0.207451612903226</v>
      </c>
      <c r="K25" s="145"/>
      <c r="L25" s="145"/>
      <c r="M25" s="145"/>
      <c r="N25" s="145"/>
      <c r="O25" s="146"/>
      <c r="P25" s="145"/>
      <c r="Q25" s="147" t="n">
        <v>68257</v>
      </c>
      <c r="R25" s="114" t="n">
        <v>21</v>
      </c>
      <c r="S25" s="116" t="s">
        <v>232</v>
      </c>
      <c r="T25" s="89" t="n">
        <f aca="false">J25*J$1*R25</f>
        <v>135.051</v>
      </c>
      <c r="U25" s="121" t="n">
        <v>254718</v>
      </c>
      <c r="V25" s="116"/>
      <c r="W25" s="122"/>
      <c r="X25" s="122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3"/>
      <c r="AP25" s="143"/>
      <c r="AQ25" s="143"/>
      <c r="AR25" s="143"/>
      <c r="AS25" s="143"/>
      <c r="AT25" s="143"/>
      <c r="AU25" s="143"/>
      <c r="AV25" s="143"/>
      <c r="AW25" s="143"/>
      <c r="AX25" s="143"/>
      <c r="AY25" s="143"/>
      <c r="AZ25" s="143"/>
      <c r="BA25" s="143"/>
      <c r="BB25" s="143"/>
      <c r="BC25" s="143"/>
      <c r="BD25" s="143"/>
      <c r="BE25" s="143"/>
      <c r="BF25" s="143"/>
      <c r="BG25" s="143"/>
      <c r="BH25" s="143"/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43"/>
      <c r="BX25" s="143"/>
      <c r="BY25" s="143"/>
      <c r="BZ25" s="143"/>
      <c r="CA25" s="143"/>
      <c r="CB25" s="143"/>
      <c r="CC25" s="143"/>
      <c r="CD25" s="143"/>
      <c r="CE25" s="143"/>
      <c r="CF25" s="143"/>
      <c r="CG25" s="143"/>
      <c r="CH25" s="143"/>
      <c r="CI25" s="143"/>
      <c r="CJ25" s="143"/>
      <c r="CK25" s="143"/>
      <c r="CL25" s="143"/>
      <c r="CM25" s="143"/>
      <c r="CN25" s="143"/>
      <c r="CO25" s="143"/>
      <c r="CP25" s="143"/>
      <c r="CQ25" s="143"/>
      <c r="CR25" s="143"/>
      <c r="CS25" s="143"/>
      <c r="CT25" s="143"/>
      <c r="CU25" s="143"/>
      <c r="CV25" s="143"/>
      <c r="CW25" s="143"/>
      <c r="CX25" s="143"/>
      <c r="CY25" s="143"/>
      <c r="CZ25" s="143"/>
      <c r="DA25" s="143"/>
      <c r="DB25" s="143"/>
      <c r="DC25" s="143"/>
      <c r="DD25" s="143"/>
      <c r="DE25" s="143"/>
      <c r="DF25" s="143"/>
      <c r="DG25" s="143"/>
      <c r="DH25" s="143"/>
      <c r="DI25" s="143"/>
      <c r="DJ25" s="143"/>
      <c r="DK25" s="143"/>
      <c r="DL25" s="143"/>
      <c r="DM25" s="143"/>
      <c r="DN25" s="143"/>
      <c r="DO25" s="143"/>
      <c r="DP25" s="143"/>
      <c r="DQ25" s="143"/>
      <c r="DR25" s="143"/>
      <c r="DS25" s="143"/>
      <c r="DT25" s="143"/>
      <c r="DU25" s="143"/>
      <c r="DV25" s="143"/>
      <c r="DW25" s="143"/>
      <c r="DX25" s="143"/>
      <c r="DY25" s="143"/>
      <c r="DZ25" s="143"/>
      <c r="EA25" s="143"/>
      <c r="EB25" s="143"/>
      <c r="EC25" s="143"/>
      <c r="ED25" s="143"/>
      <c r="EE25" s="143"/>
      <c r="EF25" s="143"/>
      <c r="EG25" s="143"/>
      <c r="EH25" s="143"/>
      <c r="EI25" s="143"/>
      <c r="EJ25" s="143"/>
      <c r="EK25" s="143"/>
      <c r="EL25" s="143"/>
      <c r="EM25" s="143"/>
      <c r="EN25" s="143"/>
      <c r="EO25" s="143"/>
      <c r="EP25" s="143"/>
      <c r="EQ25" s="143"/>
      <c r="ER25" s="143"/>
      <c r="ES25" s="143"/>
      <c r="ET25" s="143"/>
      <c r="EU25" s="143"/>
      <c r="EV25" s="143"/>
      <c r="EW25" s="143"/>
      <c r="EX25" s="143"/>
      <c r="EY25" s="143"/>
      <c r="EZ25" s="143"/>
      <c r="FA25" s="143"/>
      <c r="FB25" s="143"/>
      <c r="FC25" s="143"/>
      <c r="FD25" s="143"/>
      <c r="FE25" s="143"/>
      <c r="FF25" s="143"/>
      <c r="FG25" s="143"/>
      <c r="FH25" s="143"/>
      <c r="FI25" s="143"/>
      <c r="FJ25" s="143"/>
      <c r="FK25" s="143"/>
      <c r="FL25" s="143"/>
      <c r="FM25" s="143"/>
      <c r="FN25" s="143"/>
      <c r="FO25" s="143"/>
      <c r="FP25" s="143"/>
      <c r="FQ25" s="143"/>
      <c r="FR25" s="143"/>
      <c r="FS25" s="143"/>
      <c r="FT25" s="143"/>
      <c r="FU25" s="143"/>
      <c r="FV25" s="143"/>
      <c r="FW25" s="143"/>
      <c r="FX25" s="143"/>
      <c r="FY25" s="143"/>
      <c r="FZ25" s="143"/>
      <c r="GA25" s="143"/>
      <c r="GB25" s="143"/>
      <c r="GC25" s="143"/>
      <c r="GD25" s="143"/>
      <c r="GE25" s="143"/>
      <c r="GF25" s="143"/>
      <c r="GG25" s="143"/>
      <c r="GH25" s="143"/>
      <c r="GI25" s="143"/>
      <c r="GJ25" s="143"/>
      <c r="GK25" s="143"/>
      <c r="GL25" s="143"/>
      <c r="GM25" s="143"/>
      <c r="GN25" s="143"/>
      <c r="GO25" s="143"/>
      <c r="GP25" s="143"/>
      <c r="GQ25" s="143"/>
      <c r="GR25" s="143"/>
      <c r="GS25" s="143"/>
      <c r="GT25" s="143"/>
      <c r="GU25" s="143"/>
      <c r="GV25" s="143"/>
      <c r="GW25" s="143"/>
      <c r="GX25" s="143"/>
      <c r="GY25" s="143"/>
      <c r="GZ25" s="143"/>
      <c r="HA25" s="143"/>
      <c r="HB25" s="143"/>
      <c r="HC25" s="143"/>
      <c r="HD25" s="143"/>
      <c r="HE25" s="143"/>
      <c r="HF25" s="143"/>
      <c r="HG25" s="143"/>
      <c r="HH25" s="143"/>
      <c r="HI25" s="143"/>
      <c r="HJ25" s="143"/>
      <c r="HK25" s="143"/>
      <c r="HL25" s="143"/>
      <c r="HM25" s="143"/>
      <c r="HN25" s="143"/>
      <c r="HO25" s="143"/>
      <c r="HP25" s="143"/>
      <c r="HQ25" s="143"/>
      <c r="HR25" s="143"/>
      <c r="HS25" s="143"/>
      <c r="HT25" s="143"/>
      <c r="HU25" s="143"/>
      <c r="HV25" s="143"/>
      <c r="HW25" s="143"/>
      <c r="HX25" s="143"/>
      <c r="HY25" s="143"/>
      <c r="HZ25" s="143"/>
      <c r="IA25" s="143"/>
      <c r="IB25" s="143"/>
      <c r="IC25" s="143"/>
      <c r="ID25" s="143"/>
      <c r="IE25" s="143"/>
      <c r="IF25" s="143"/>
      <c r="IG25" s="143"/>
      <c r="IH25" s="143"/>
      <c r="II25" s="143"/>
      <c r="IJ25" s="143"/>
      <c r="IK25" s="143"/>
      <c r="IL25" s="143"/>
      <c r="IM25" s="143"/>
      <c r="IN25" s="143"/>
      <c r="IO25" s="143"/>
      <c r="IP25" s="143"/>
      <c r="IQ25" s="143"/>
      <c r="IR25" s="143"/>
      <c r="IS25" s="143"/>
      <c r="IT25" s="143"/>
      <c r="IU25" s="143"/>
      <c r="IV25" s="143"/>
      <c r="IW25" s="143"/>
    </row>
    <row r="26" customFormat="false" ht="12.75" hidden="false" customHeight="false" outlineLevel="0" collapsed="false">
      <c r="A26" s="80"/>
      <c r="B26" s="81" t="s">
        <v>37</v>
      </c>
      <c r="C26" s="82" t="s">
        <v>204</v>
      </c>
      <c r="D26" s="82" t="s">
        <v>31</v>
      </c>
      <c r="E26" s="83" t="n">
        <v>36656</v>
      </c>
      <c r="F26" s="83" t="n">
        <v>36950</v>
      </c>
      <c r="G26" s="81" t="s">
        <v>209</v>
      </c>
      <c r="H26" s="81" t="s">
        <v>212</v>
      </c>
      <c r="I26" s="82" t="s">
        <v>81</v>
      </c>
      <c r="J26" s="84" t="n">
        <f aca="false">6.431/$J$1</f>
        <v>0.207451612903226</v>
      </c>
      <c r="K26" s="85"/>
      <c r="L26" s="85"/>
      <c r="M26" s="85"/>
      <c r="N26" s="85"/>
      <c r="O26" s="86"/>
      <c r="P26" s="85"/>
      <c r="Q26" s="87" t="n">
        <v>68308</v>
      </c>
      <c r="R26" s="82" t="n">
        <v>4</v>
      </c>
      <c r="S26" s="81" t="s">
        <v>233</v>
      </c>
      <c r="T26" s="89" t="n">
        <f aca="false">J26*J$1*R26</f>
        <v>25.724</v>
      </c>
      <c r="U26" s="90" t="n">
        <v>262094</v>
      </c>
      <c r="V26" s="81"/>
      <c r="W26" s="91"/>
      <c r="X26" s="91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  <c r="CJ26" s="80"/>
      <c r="CK26" s="80"/>
      <c r="CL26" s="80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0"/>
      <c r="DM26" s="80"/>
      <c r="DN26" s="80"/>
      <c r="DO26" s="80"/>
      <c r="DP26" s="80"/>
      <c r="DQ26" s="80"/>
      <c r="DR26" s="80"/>
      <c r="DS26" s="80"/>
      <c r="DT26" s="80"/>
      <c r="DU26" s="80"/>
      <c r="DV26" s="80"/>
      <c r="DW26" s="80"/>
      <c r="DX26" s="80"/>
      <c r="DY26" s="80"/>
      <c r="DZ26" s="80"/>
      <c r="EA26" s="80"/>
      <c r="EB26" s="80"/>
      <c r="EC26" s="80"/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0"/>
      <c r="EO26" s="80"/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0"/>
      <c r="FF26" s="80"/>
      <c r="FG26" s="80"/>
      <c r="FH26" s="80"/>
      <c r="FI26" s="80"/>
      <c r="FJ26" s="80"/>
      <c r="FK26" s="80"/>
      <c r="FL26" s="80"/>
      <c r="FM26" s="80"/>
      <c r="FN26" s="80"/>
      <c r="FO26" s="80"/>
      <c r="FP26" s="80"/>
      <c r="FQ26" s="80"/>
      <c r="FR26" s="80"/>
      <c r="FS26" s="80"/>
      <c r="FT26" s="80"/>
      <c r="FU26" s="80"/>
      <c r="FV26" s="80"/>
      <c r="FW26" s="80"/>
      <c r="FX26" s="80"/>
      <c r="FY26" s="80"/>
      <c r="FZ26" s="80"/>
      <c r="GA26" s="80"/>
      <c r="GB26" s="80"/>
      <c r="GC26" s="80"/>
      <c r="GD26" s="80"/>
      <c r="GE26" s="80"/>
      <c r="GF26" s="80"/>
      <c r="GG26" s="80"/>
      <c r="GH26" s="80"/>
      <c r="GI26" s="80"/>
      <c r="GJ26" s="80"/>
      <c r="GK26" s="80"/>
      <c r="GL26" s="80"/>
      <c r="GM26" s="80"/>
      <c r="GN26" s="80"/>
      <c r="GO26" s="80"/>
      <c r="GP26" s="80"/>
      <c r="GQ26" s="80"/>
      <c r="GR26" s="80"/>
      <c r="GS26" s="80"/>
      <c r="GT26" s="80"/>
      <c r="GU26" s="80"/>
      <c r="GV26" s="80"/>
      <c r="GW26" s="80"/>
      <c r="GX26" s="80"/>
      <c r="GY26" s="80"/>
      <c r="GZ26" s="80"/>
      <c r="HA26" s="80"/>
      <c r="HB26" s="80"/>
      <c r="HC26" s="80"/>
      <c r="HD26" s="80"/>
      <c r="HE26" s="80"/>
      <c r="HF26" s="80"/>
      <c r="HG26" s="80"/>
      <c r="HH26" s="80"/>
      <c r="HI26" s="80"/>
      <c r="HJ26" s="80"/>
      <c r="HK26" s="80"/>
      <c r="HL26" s="80"/>
      <c r="HM26" s="80"/>
      <c r="HN26" s="80"/>
      <c r="HO26" s="80"/>
      <c r="HP26" s="80"/>
      <c r="HQ26" s="80"/>
      <c r="HR26" s="80"/>
      <c r="HS26" s="80"/>
      <c r="HT26" s="80"/>
      <c r="HU26" s="80"/>
      <c r="HV26" s="80"/>
      <c r="HW26" s="80"/>
      <c r="HX26" s="80"/>
      <c r="HY26" s="80"/>
      <c r="HZ26" s="80"/>
      <c r="IA26" s="80"/>
      <c r="IB26" s="80"/>
      <c r="IC26" s="80"/>
      <c r="ID26" s="80"/>
      <c r="IE26" s="80"/>
      <c r="IF26" s="80"/>
      <c r="IG26" s="80"/>
      <c r="IH26" s="80"/>
      <c r="II26" s="80"/>
      <c r="IJ26" s="80"/>
      <c r="IK26" s="80"/>
      <c r="IL26" s="80"/>
      <c r="IM26" s="80"/>
      <c r="IN26" s="80"/>
      <c r="IO26" s="80"/>
      <c r="IP26" s="80"/>
      <c r="IQ26" s="80"/>
      <c r="IR26" s="80"/>
      <c r="IS26" s="80"/>
      <c r="IT26" s="80"/>
      <c r="IU26" s="80"/>
      <c r="IV26" s="80"/>
      <c r="IW26" s="80"/>
    </row>
    <row r="27" customFormat="false" ht="12.75" hidden="false" customHeight="false" outlineLevel="0" collapsed="false">
      <c r="A27" s="80"/>
      <c r="B27" s="81" t="s">
        <v>37</v>
      </c>
      <c r="C27" s="82" t="s">
        <v>204</v>
      </c>
      <c r="D27" s="82" t="s">
        <v>31</v>
      </c>
      <c r="E27" s="83" t="n">
        <v>36656</v>
      </c>
      <c r="F27" s="83" t="n">
        <v>36950</v>
      </c>
      <c r="G27" s="81" t="s">
        <v>209</v>
      </c>
      <c r="H27" s="81" t="s">
        <v>210</v>
      </c>
      <c r="I27" s="82" t="s">
        <v>81</v>
      </c>
      <c r="J27" s="84" t="n">
        <f aca="false">6.431/$J$1</f>
        <v>0.207451612903226</v>
      </c>
      <c r="K27" s="85"/>
      <c r="L27" s="85"/>
      <c r="M27" s="85"/>
      <c r="N27" s="85"/>
      <c r="O27" s="86"/>
      <c r="P27" s="85"/>
      <c r="Q27" s="87" t="n">
        <v>68308</v>
      </c>
      <c r="R27" s="82" t="n">
        <v>5</v>
      </c>
      <c r="S27" s="81" t="s">
        <v>233</v>
      </c>
      <c r="T27" s="89" t="n">
        <f aca="false">J27*J$1*R27</f>
        <v>32.155</v>
      </c>
      <c r="U27" s="90" t="n">
        <v>262094</v>
      </c>
      <c r="V27" s="81"/>
      <c r="W27" s="91"/>
      <c r="X27" s="91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0"/>
      <c r="CA27" s="80"/>
      <c r="CB27" s="80"/>
      <c r="CC27" s="80"/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  <c r="DL27" s="80"/>
      <c r="DM27" s="80"/>
      <c r="DN27" s="80"/>
      <c r="DO27" s="80"/>
      <c r="DP27" s="80"/>
      <c r="DQ27" s="80"/>
      <c r="DR27" s="80"/>
      <c r="DS27" s="80"/>
      <c r="DT27" s="80"/>
      <c r="DU27" s="80"/>
      <c r="DV27" s="80"/>
      <c r="DW27" s="80"/>
      <c r="DX27" s="80"/>
      <c r="DY27" s="80"/>
      <c r="DZ27" s="80"/>
      <c r="EA27" s="80"/>
      <c r="EB27" s="80"/>
      <c r="EC27" s="80"/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0"/>
      <c r="EO27" s="80"/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0"/>
      <c r="FF27" s="80"/>
      <c r="FG27" s="80"/>
      <c r="FH27" s="80"/>
      <c r="FI27" s="80"/>
      <c r="FJ27" s="80"/>
      <c r="FK27" s="80"/>
      <c r="FL27" s="80"/>
      <c r="FM27" s="80"/>
      <c r="FN27" s="80"/>
      <c r="FO27" s="80"/>
      <c r="FP27" s="80"/>
      <c r="FQ27" s="80"/>
      <c r="FR27" s="80"/>
      <c r="FS27" s="80"/>
      <c r="FT27" s="80"/>
      <c r="FU27" s="80"/>
      <c r="FV27" s="80"/>
      <c r="FW27" s="80"/>
      <c r="FX27" s="80"/>
      <c r="FY27" s="80"/>
      <c r="FZ27" s="80"/>
      <c r="GA27" s="80"/>
      <c r="GB27" s="80"/>
      <c r="GC27" s="80"/>
      <c r="GD27" s="80"/>
      <c r="GE27" s="80"/>
      <c r="GF27" s="80"/>
      <c r="GG27" s="80"/>
      <c r="GH27" s="80"/>
      <c r="GI27" s="80"/>
      <c r="GJ27" s="80"/>
      <c r="GK27" s="80"/>
      <c r="GL27" s="80"/>
      <c r="GM27" s="80"/>
      <c r="GN27" s="80"/>
      <c r="GO27" s="80"/>
      <c r="GP27" s="80"/>
      <c r="GQ27" s="80"/>
      <c r="GR27" s="80"/>
      <c r="GS27" s="80"/>
      <c r="GT27" s="80"/>
      <c r="GU27" s="80"/>
      <c r="GV27" s="80"/>
      <c r="GW27" s="80"/>
      <c r="GX27" s="80"/>
      <c r="GY27" s="80"/>
      <c r="GZ27" s="80"/>
      <c r="HA27" s="80"/>
      <c r="HB27" s="80"/>
      <c r="HC27" s="80"/>
      <c r="HD27" s="80"/>
      <c r="HE27" s="80"/>
      <c r="HF27" s="80"/>
      <c r="HG27" s="80"/>
      <c r="HH27" s="80"/>
      <c r="HI27" s="80"/>
      <c r="HJ27" s="80"/>
      <c r="HK27" s="80"/>
      <c r="HL27" s="80"/>
      <c r="HM27" s="80"/>
      <c r="HN27" s="80"/>
      <c r="HO27" s="80"/>
      <c r="HP27" s="80"/>
      <c r="HQ27" s="80"/>
      <c r="HR27" s="80"/>
      <c r="HS27" s="80"/>
      <c r="HT27" s="80"/>
      <c r="HU27" s="80"/>
      <c r="HV27" s="80"/>
      <c r="HW27" s="80"/>
      <c r="HX27" s="80"/>
      <c r="HY27" s="80"/>
      <c r="HZ27" s="80"/>
      <c r="IA27" s="80"/>
      <c r="IB27" s="80"/>
      <c r="IC27" s="80"/>
      <c r="ID27" s="80"/>
      <c r="IE27" s="80"/>
      <c r="IF27" s="80"/>
      <c r="IG27" s="80"/>
      <c r="IH27" s="80"/>
      <c r="II27" s="80"/>
      <c r="IJ27" s="80"/>
      <c r="IK27" s="80"/>
      <c r="IL27" s="80"/>
      <c r="IM27" s="80"/>
      <c r="IN27" s="80"/>
      <c r="IO27" s="80"/>
      <c r="IP27" s="80"/>
      <c r="IQ27" s="80"/>
      <c r="IR27" s="80"/>
      <c r="IS27" s="80"/>
      <c r="IT27" s="80"/>
      <c r="IU27" s="80"/>
      <c r="IV27" s="80"/>
      <c r="IW27" s="80"/>
    </row>
    <row r="28" customFormat="false" ht="12.75" hidden="false" customHeight="false" outlineLevel="0" collapsed="false">
      <c r="A28" s="80"/>
      <c r="B28" s="81" t="s">
        <v>37</v>
      </c>
      <c r="C28" s="82" t="s">
        <v>204</v>
      </c>
      <c r="D28" s="82" t="s">
        <v>234</v>
      </c>
      <c r="E28" s="83" t="n">
        <v>36678</v>
      </c>
      <c r="F28" s="83" t="n">
        <v>37042</v>
      </c>
      <c r="G28" s="81" t="s">
        <v>235</v>
      </c>
      <c r="H28" s="81" t="s">
        <v>236</v>
      </c>
      <c r="I28" s="82" t="s">
        <v>81</v>
      </c>
      <c r="J28" s="84" t="n">
        <f aca="false">6.431/$J$1</f>
        <v>0.207451612903226</v>
      </c>
      <c r="K28" s="85" t="n">
        <v>0.0132</v>
      </c>
      <c r="L28" s="85" t="n">
        <v>0.0022</v>
      </c>
      <c r="M28" s="85" t="n">
        <v>0.0072</v>
      </c>
      <c r="N28" s="85" t="n">
        <v>0</v>
      </c>
      <c r="O28" s="86" t="n">
        <v>0.02116</v>
      </c>
      <c r="P28" s="85" t="n">
        <f aca="false">SUM(J28:N28)</f>
        <v>0.230051612903226</v>
      </c>
      <c r="Q28" s="87" t="n">
        <v>68359</v>
      </c>
      <c r="R28" s="82" t="n">
        <v>285</v>
      </c>
      <c r="S28" s="81" t="s">
        <v>237</v>
      </c>
      <c r="T28" s="89" t="n">
        <f aca="false">J28*J$1*R28</f>
        <v>1832.835</v>
      </c>
      <c r="U28" s="90" t="n">
        <v>271307</v>
      </c>
      <c r="V28" s="81"/>
      <c r="W28" s="91"/>
      <c r="X28" s="91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0"/>
      <c r="CA28" s="80"/>
      <c r="CB28" s="80"/>
      <c r="CC28" s="80"/>
      <c r="CD28" s="80"/>
      <c r="CE28" s="80"/>
      <c r="CF28" s="80"/>
      <c r="CG28" s="80"/>
      <c r="CH28" s="80"/>
      <c r="CI28" s="80"/>
      <c r="CJ28" s="80"/>
      <c r="CK28" s="80"/>
      <c r="CL28" s="80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  <c r="DL28" s="80"/>
      <c r="DM28" s="80"/>
      <c r="DN28" s="80"/>
      <c r="DO28" s="80"/>
      <c r="DP28" s="80"/>
      <c r="DQ28" s="80"/>
      <c r="DR28" s="80"/>
      <c r="DS28" s="80"/>
      <c r="DT28" s="80"/>
      <c r="DU28" s="80"/>
      <c r="DV28" s="80"/>
      <c r="DW28" s="80"/>
      <c r="DX28" s="80"/>
      <c r="DY28" s="80"/>
      <c r="DZ28" s="80"/>
      <c r="EA28" s="80"/>
      <c r="EB28" s="80"/>
      <c r="EC28" s="80"/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0"/>
      <c r="EO28" s="80"/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0"/>
      <c r="FF28" s="80"/>
      <c r="FG28" s="80"/>
      <c r="FH28" s="80"/>
      <c r="FI28" s="80"/>
      <c r="FJ28" s="80"/>
      <c r="FK28" s="80"/>
      <c r="FL28" s="80"/>
      <c r="FM28" s="80"/>
      <c r="FN28" s="80"/>
      <c r="FO28" s="80"/>
      <c r="FP28" s="80"/>
      <c r="FQ28" s="80"/>
      <c r="FR28" s="80"/>
      <c r="FS28" s="80"/>
      <c r="FT28" s="80"/>
      <c r="FU28" s="80"/>
      <c r="FV28" s="80"/>
      <c r="FW28" s="80"/>
      <c r="FX28" s="80"/>
      <c r="FY28" s="80"/>
      <c r="FZ28" s="80"/>
      <c r="GA28" s="80"/>
      <c r="GB28" s="80"/>
      <c r="GC28" s="80"/>
      <c r="GD28" s="80"/>
      <c r="GE28" s="80"/>
      <c r="GF28" s="80"/>
      <c r="GG28" s="80"/>
      <c r="GH28" s="80"/>
      <c r="GI28" s="80"/>
      <c r="GJ28" s="80"/>
      <c r="GK28" s="80"/>
      <c r="GL28" s="80"/>
      <c r="GM28" s="80"/>
      <c r="GN28" s="80"/>
      <c r="GO28" s="80"/>
      <c r="GP28" s="80"/>
      <c r="GQ28" s="80"/>
      <c r="GR28" s="80"/>
      <c r="GS28" s="80"/>
      <c r="GT28" s="80"/>
      <c r="GU28" s="80"/>
      <c r="GV28" s="80"/>
      <c r="GW28" s="80"/>
      <c r="GX28" s="80"/>
      <c r="GY28" s="80"/>
      <c r="GZ28" s="80"/>
      <c r="HA28" s="80"/>
      <c r="HB28" s="80"/>
      <c r="HC28" s="80"/>
      <c r="HD28" s="80"/>
      <c r="HE28" s="80"/>
      <c r="HF28" s="80"/>
      <c r="HG28" s="80"/>
      <c r="HH28" s="80"/>
      <c r="HI28" s="80"/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0"/>
      <c r="HU28" s="80"/>
      <c r="HV28" s="80"/>
      <c r="HW28" s="80"/>
      <c r="HX28" s="80"/>
      <c r="HY28" s="80"/>
      <c r="HZ28" s="80"/>
      <c r="IA28" s="80"/>
      <c r="IB28" s="80"/>
      <c r="IC28" s="80"/>
      <c r="ID28" s="80"/>
      <c r="IE28" s="80"/>
      <c r="IF28" s="80"/>
      <c r="IG28" s="80"/>
      <c r="IH28" s="80"/>
      <c r="II28" s="80"/>
      <c r="IJ28" s="80"/>
      <c r="IK28" s="80"/>
      <c r="IL28" s="80"/>
      <c r="IM28" s="80"/>
      <c r="IN28" s="80"/>
      <c r="IO28" s="80"/>
      <c r="IP28" s="80"/>
      <c r="IQ28" s="80"/>
      <c r="IR28" s="80"/>
      <c r="IS28" s="80"/>
      <c r="IT28" s="80"/>
      <c r="IU28" s="80"/>
      <c r="IV28" s="80"/>
      <c r="IW28" s="80"/>
    </row>
    <row r="29" customFormat="false" ht="12.75" hidden="false" customHeight="false" outlineLevel="0" collapsed="false">
      <c r="A29" s="80"/>
      <c r="B29" s="81" t="s">
        <v>37</v>
      </c>
      <c r="C29" s="82" t="s">
        <v>204</v>
      </c>
      <c r="D29" s="82" t="s">
        <v>238</v>
      </c>
      <c r="E29" s="83" t="n">
        <v>36678</v>
      </c>
      <c r="F29" s="83" t="n">
        <v>37042</v>
      </c>
      <c r="G29" s="81" t="s">
        <v>235</v>
      </c>
      <c r="H29" s="81" t="s">
        <v>239</v>
      </c>
      <c r="I29" s="82" t="s">
        <v>81</v>
      </c>
      <c r="J29" s="84" t="n">
        <f aca="false">6.431/$J$1</f>
        <v>0.207451612903226</v>
      </c>
      <c r="K29" s="85" t="n">
        <v>0.0132</v>
      </c>
      <c r="L29" s="85" t="n">
        <v>0.0022</v>
      </c>
      <c r="M29" s="85" t="n">
        <v>0.0072</v>
      </c>
      <c r="N29" s="85" t="n">
        <v>0</v>
      </c>
      <c r="O29" s="86" t="n">
        <v>0.02116</v>
      </c>
      <c r="P29" s="85" t="n">
        <f aca="false">SUM(J29:N29)</f>
        <v>0.230051612903226</v>
      </c>
      <c r="Q29" s="87" t="n">
        <v>68384</v>
      </c>
      <c r="R29" s="82" t="n">
        <v>23</v>
      </c>
      <c r="S29" s="81" t="s">
        <v>240</v>
      </c>
      <c r="T29" s="89" t="n">
        <f aca="false">J29*J$1*R29</f>
        <v>147.913</v>
      </c>
      <c r="U29" s="90" t="n">
        <v>280570</v>
      </c>
      <c r="V29" s="81"/>
      <c r="W29" s="91"/>
      <c r="X29" s="91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0"/>
      <c r="CA29" s="80"/>
      <c r="CB29" s="80"/>
      <c r="CC29" s="80"/>
      <c r="CD29" s="80"/>
      <c r="CE29" s="80"/>
      <c r="CF29" s="80"/>
      <c r="CG29" s="80"/>
      <c r="CH29" s="80"/>
      <c r="CI29" s="80"/>
      <c r="CJ29" s="80"/>
      <c r="CK29" s="80"/>
      <c r="CL29" s="80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  <c r="DL29" s="80"/>
      <c r="DM29" s="80"/>
      <c r="DN29" s="80"/>
      <c r="DO29" s="80"/>
      <c r="DP29" s="80"/>
      <c r="DQ29" s="80"/>
      <c r="DR29" s="80"/>
      <c r="DS29" s="80"/>
      <c r="DT29" s="80"/>
      <c r="DU29" s="80"/>
      <c r="DV29" s="80"/>
      <c r="DW29" s="80"/>
      <c r="DX29" s="80"/>
      <c r="DY29" s="80"/>
      <c r="DZ29" s="80"/>
      <c r="EA29" s="80"/>
      <c r="EB29" s="80"/>
      <c r="EC29" s="80"/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0"/>
      <c r="EO29" s="80"/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0"/>
      <c r="FF29" s="80"/>
      <c r="FG29" s="80"/>
      <c r="FH29" s="80"/>
      <c r="FI29" s="80"/>
      <c r="FJ29" s="80"/>
      <c r="FK29" s="80"/>
      <c r="FL29" s="80"/>
      <c r="FM29" s="80"/>
      <c r="FN29" s="80"/>
      <c r="FO29" s="80"/>
      <c r="FP29" s="80"/>
      <c r="FQ29" s="80"/>
      <c r="FR29" s="80"/>
      <c r="FS29" s="80"/>
      <c r="FT29" s="80"/>
      <c r="FU29" s="80"/>
      <c r="FV29" s="80"/>
      <c r="FW29" s="80"/>
      <c r="FX29" s="80"/>
      <c r="FY29" s="80"/>
      <c r="FZ29" s="80"/>
      <c r="GA29" s="80"/>
      <c r="GB29" s="80"/>
      <c r="GC29" s="80"/>
      <c r="GD29" s="80"/>
      <c r="GE29" s="80"/>
      <c r="GF29" s="80"/>
      <c r="GG29" s="80"/>
      <c r="GH29" s="80"/>
      <c r="GI29" s="80"/>
      <c r="GJ29" s="80"/>
      <c r="GK29" s="80"/>
      <c r="GL29" s="80"/>
      <c r="GM29" s="80"/>
      <c r="GN29" s="80"/>
      <c r="GO29" s="80"/>
      <c r="GP29" s="80"/>
      <c r="GQ29" s="80"/>
      <c r="GR29" s="80"/>
      <c r="GS29" s="80"/>
      <c r="GT29" s="80"/>
      <c r="GU29" s="80"/>
      <c r="GV29" s="80"/>
      <c r="GW29" s="80"/>
      <c r="GX29" s="80"/>
      <c r="GY29" s="80"/>
      <c r="GZ29" s="80"/>
      <c r="HA29" s="80"/>
      <c r="HB29" s="80"/>
      <c r="HC29" s="80"/>
      <c r="HD29" s="80"/>
      <c r="HE29" s="80"/>
      <c r="HF29" s="80"/>
      <c r="HG29" s="80"/>
      <c r="HH29" s="80"/>
      <c r="HI29" s="80"/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0"/>
      <c r="HU29" s="80"/>
      <c r="HV29" s="80"/>
      <c r="HW29" s="80"/>
      <c r="HX29" s="80"/>
      <c r="HY29" s="80"/>
      <c r="HZ29" s="80"/>
      <c r="IA29" s="80"/>
      <c r="IB29" s="80"/>
      <c r="IC29" s="80"/>
      <c r="ID29" s="80"/>
      <c r="IE29" s="80"/>
      <c r="IF29" s="80"/>
      <c r="IG29" s="80"/>
      <c r="IH29" s="80"/>
      <c r="II29" s="80"/>
      <c r="IJ29" s="80"/>
      <c r="IK29" s="80"/>
      <c r="IL29" s="80"/>
      <c r="IM29" s="80"/>
      <c r="IN29" s="80"/>
      <c r="IO29" s="80"/>
      <c r="IP29" s="80"/>
      <c r="IQ29" s="80"/>
      <c r="IR29" s="80"/>
      <c r="IS29" s="80"/>
      <c r="IT29" s="80"/>
      <c r="IU29" s="80"/>
      <c r="IV29" s="80"/>
      <c r="IW29" s="80"/>
    </row>
    <row r="30" customFormat="false" ht="12.75" hidden="false" customHeight="false" outlineLevel="0" collapsed="false">
      <c r="A30" s="80"/>
      <c r="B30" s="81" t="s">
        <v>37</v>
      </c>
      <c r="C30" s="82" t="s">
        <v>204</v>
      </c>
      <c r="D30" s="82" t="s">
        <v>238</v>
      </c>
      <c r="E30" s="83" t="n">
        <v>36678</v>
      </c>
      <c r="F30" s="83" t="n">
        <v>37042</v>
      </c>
      <c r="G30" s="81" t="s">
        <v>235</v>
      </c>
      <c r="H30" s="81" t="s">
        <v>241</v>
      </c>
      <c r="I30" s="82" t="s">
        <v>81</v>
      </c>
      <c r="J30" s="84" t="n">
        <f aca="false">6.431/$J$1</f>
        <v>0.207451612903226</v>
      </c>
      <c r="K30" s="85" t="n">
        <v>0.0132</v>
      </c>
      <c r="L30" s="85" t="n">
        <v>0.0022</v>
      </c>
      <c r="M30" s="85" t="n">
        <v>0.0072</v>
      </c>
      <c r="N30" s="85" t="n">
        <v>0</v>
      </c>
      <c r="O30" s="86" t="n">
        <v>0.02116</v>
      </c>
      <c r="P30" s="85" t="n">
        <f aca="false">SUM(J30:N30)</f>
        <v>0.230051612903226</v>
      </c>
      <c r="Q30" s="87" t="n">
        <v>68384</v>
      </c>
      <c r="R30" s="82" t="n">
        <v>88</v>
      </c>
      <c r="S30" s="81" t="s">
        <v>240</v>
      </c>
      <c r="T30" s="89" t="n">
        <f aca="false">J30*J$1*R30</f>
        <v>565.928</v>
      </c>
      <c r="U30" s="90" t="n">
        <v>280570</v>
      </c>
      <c r="V30" s="81"/>
      <c r="W30" s="91"/>
      <c r="X30" s="91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0"/>
      <c r="CA30" s="80"/>
      <c r="CB30" s="80"/>
      <c r="CC30" s="80"/>
      <c r="CD30" s="80"/>
      <c r="CE30" s="80"/>
      <c r="CF30" s="80"/>
      <c r="CG30" s="80"/>
      <c r="CH30" s="80"/>
      <c r="CI30" s="80"/>
      <c r="CJ30" s="80"/>
      <c r="CK30" s="80"/>
      <c r="CL30" s="80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  <c r="DL30" s="80"/>
      <c r="DM30" s="80"/>
      <c r="DN30" s="80"/>
      <c r="DO30" s="80"/>
      <c r="DP30" s="80"/>
      <c r="DQ30" s="80"/>
      <c r="DR30" s="80"/>
      <c r="DS30" s="80"/>
      <c r="DT30" s="80"/>
      <c r="DU30" s="80"/>
      <c r="DV30" s="80"/>
      <c r="DW30" s="80"/>
      <c r="DX30" s="80"/>
      <c r="DY30" s="80"/>
      <c r="DZ30" s="80"/>
      <c r="EA30" s="80"/>
      <c r="EB30" s="80"/>
      <c r="EC30" s="80"/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0"/>
      <c r="EO30" s="80"/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0"/>
      <c r="FF30" s="80"/>
      <c r="FG30" s="80"/>
      <c r="FH30" s="80"/>
      <c r="FI30" s="80"/>
      <c r="FJ30" s="80"/>
      <c r="FK30" s="80"/>
      <c r="FL30" s="80"/>
      <c r="FM30" s="80"/>
      <c r="FN30" s="80"/>
      <c r="FO30" s="80"/>
      <c r="FP30" s="80"/>
      <c r="FQ30" s="80"/>
      <c r="FR30" s="80"/>
      <c r="FS30" s="80"/>
      <c r="FT30" s="80"/>
      <c r="FU30" s="80"/>
      <c r="FV30" s="80"/>
      <c r="FW30" s="80"/>
      <c r="FX30" s="80"/>
      <c r="FY30" s="80"/>
      <c r="FZ30" s="80"/>
      <c r="GA30" s="80"/>
      <c r="GB30" s="80"/>
      <c r="GC30" s="80"/>
      <c r="GD30" s="80"/>
      <c r="GE30" s="80"/>
      <c r="GF30" s="80"/>
      <c r="GG30" s="80"/>
      <c r="GH30" s="80"/>
      <c r="GI30" s="80"/>
      <c r="GJ30" s="80"/>
      <c r="GK30" s="80"/>
      <c r="GL30" s="80"/>
      <c r="GM30" s="80"/>
      <c r="GN30" s="80"/>
      <c r="GO30" s="80"/>
      <c r="GP30" s="80"/>
      <c r="GQ30" s="80"/>
      <c r="GR30" s="80"/>
      <c r="GS30" s="80"/>
      <c r="GT30" s="80"/>
      <c r="GU30" s="80"/>
      <c r="GV30" s="80"/>
      <c r="GW30" s="80"/>
      <c r="GX30" s="80"/>
      <c r="GY30" s="80"/>
      <c r="GZ30" s="80"/>
      <c r="HA30" s="80"/>
      <c r="HB30" s="80"/>
      <c r="HC30" s="80"/>
      <c r="HD30" s="80"/>
      <c r="HE30" s="80"/>
      <c r="HF30" s="80"/>
      <c r="HG30" s="80"/>
      <c r="HH30" s="80"/>
      <c r="HI30" s="80"/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0"/>
      <c r="HU30" s="80"/>
      <c r="HV30" s="80"/>
      <c r="HW30" s="80"/>
      <c r="HX30" s="80"/>
      <c r="HY30" s="80"/>
      <c r="HZ30" s="80"/>
      <c r="IA30" s="80"/>
      <c r="IB30" s="80"/>
      <c r="IC30" s="80"/>
      <c r="ID30" s="80"/>
      <c r="IE30" s="80"/>
      <c r="IF30" s="80"/>
      <c r="IG30" s="80"/>
      <c r="IH30" s="80"/>
      <c r="II30" s="80"/>
      <c r="IJ30" s="80"/>
      <c r="IK30" s="80"/>
      <c r="IL30" s="80"/>
      <c r="IM30" s="80"/>
      <c r="IN30" s="80"/>
      <c r="IO30" s="80"/>
      <c r="IP30" s="80"/>
      <c r="IQ30" s="80"/>
      <c r="IR30" s="80"/>
      <c r="IS30" s="80"/>
      <c r="IT30" s="80"/>
      <c r="IU30" s="80"/>
      <c r="IV30" s="80"/>
      <c r="IW30" s="80"/>
    </row>
    <row r="31" customFormat="false" ht="12.75" hidden="false" customHeight="false" outlineLevel="0" collapsed="false">
      <c r="A31" s="80"/>
      <c r="B31" s="81" t="s">
        <v>37</v>
      </c>
      <c r="C31" s="82" t="s">
        <v>204</v>
      </c>
      <c r="D31" s="82" t="s">
        <v>238</v>
      </c>
      <c r="E31" s="83" t="n">
        <v>36678</v>
      </c>
      <c r="F31" s="83" t="n">
        <v>37042</v>
      </c>
      <c r="G31" s="81" t="s">
        <v>235</v>
      </c>
      <c r="H31" s="81" t="s">
        <v>242</v>
      </c>
      <c r="I31" s="82" t="s">
        <v>81</v>
      </c>
      <c r="J31" s="84" t="n">
        <f aca="false">6.431/$J$1</f>
        <v>0.207451612903226</v>
      </c>
      <c r="K31" s="85" t="n">
        <v>0.0132</v>
      </c>
      <c r="L31" s="85" t="n">
        <v>0.0022</v>
      </c>
      <c r="M31" s="85" t="n">
        <v>0.0072</v>
      </c>
      <c r="N31" s="85" t="n">
        <v>0</v>
      </c>
      <c r="O31" s="86" t="n">
        <v>0.02116</v>
      </c>
      <c r="P31" s="85" t="n">
        <f aca="false">SUM(J31:N31)</f>
        <v>0.230051612903226</v>
      </c>
      <c r="Q31" s="87" t="n">
        <v>68384</v>
      </c>
      <c r="R31" s="82" t="n">
        <v>19</v>
      </c>
      <c r="S31" s="81" t="s">
        <v>240</v>
      </c>
      <c r="T31" s="89" t="n">
        <f aca="false">J31*J$1*R31</f>
        <v>122.189</v>
      </c>
      <c r="U31" s="90" t="n">
        <v>280570</v>
      </c>
      <c r="V31" s="81"/>
      <c r="W31" s="91"/>
      <c r="X31" s="91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0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0"/>
      <c r="CA31" s="80"/>
      <c r="CB31" s="80"/>
      <c r="CC31" s="80"/>
      <c r="CD31" s="80"/>
      <c r="CE31" s="80"/>
      <c r="CF31" s="80"/>
      <c r="CG31" s="80"/>
      <c r="CH31" s="80"/>
      <c r="CI31" s="80"/>
      <c r="CJ31" s="80"/>
      <c r="CK31" s="80"/>
      <c r="CL31" s="80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  <c r="DL31" s="80"/>
      <c r="DM31" s="80"/>
      <c r="DN31" s="80"/>
      <c r="DO31" s="80"/>
      <c r="DP31" s="80"/>
      <c r="DQ31" s="80"/>
      <c r="DR31" s="80"/>
      <c r="DS31" s="80"/>
      <c r="DT31" s="80"/>
      <c r="DU31" s="80"/>
      <c r="DV31" s="80"/>
      <c r="DW31" s="80"/>
      <c r="DX31" s="80"/>
      <c r="DY31" s="80"/>
      <c r="DZ31" s="80"/>
      <c r="EA31" s="80"/>
      <c r="EB31" s="80"/>
      <c r="EC31" s="80"/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0"/>
      <c r="EO31" s="80"/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0"/>
      <c r="FF31" s="80"/>
      <c r="FG31" s="80"/>
      <c r="FH31" s="80"/>
      <c r="FI31" s="80"/>
      <c r="FJ31" s="80"/>
      <c r="FK31" s="80"/>
      <c r="FL31" s="80"/>
      <c r="FM31" s="80"/>
      <c r="FN31" s="80"/>
      <c r="FO31" s="80"/>
      <c r="FP31" s="80"/>
      <c r="FQ31" s="80"/>
      <c r="FR31" s="80"/>
      <c r="FS31" s="80"/>
      <c r="FT31" s="80"/>
      <c r="FU31" s="80"/>
      <c r="FV31" s="80"/>
      <c r="FW31" s="80"/>
      <c r="FX31" s="80"/>
      <c r="FY31" s="80"/>
      <c r="FZ31" s="80"/>
      <c r="GA31" s="80"/>
      <c r="GB31" s="80"/>
      <c r="GC31" s="80"/>
      <c r="GD31" s="80"/>
      <c r="GE31" s="80"/>
      <c r="GF31" s="80"/>
      <c r="GG31" s="80"/>
      <c r="GH31" s="80"/>
      <c r="GI31" s="80"/>
      <c r="GJ31" s="80"/>
      <c r="GK31" s="80"/>
      <c r="GL31" s="80"/>
      <c r="GM31" s="80"/>
      <c r="GN31" s="80"/>
      <c r="GO31" s="80"/>
      <c r="GP31" s="80"/>
      <c r="GQ31" s="80"/>
      <c r="GR31" s="80"/>
      <c r="GS31" s="80"/>
      <c r="GT31" s="80"/>
      <c r="GU31" s="80"/>
      <c r="GV31" s="80"/>
      <c r="GW31" s="80"/>
      <c r="GX31" s="80"/>
      <c r="GY31" s="80"/>
      <c r="GZ31" s="80"/>
      <c r="HA31" s="80"/>
      <c r="HB31" s="80"/>
      <c r="HC31" s="80"/>
      <c r="HD31" s="80"/>
      <c r="HE31" s="80"/>
      <c r="HF31" s="80"/>
      <c r="HG31" s="80"/>
      <c r="HH31" s="80"/>
      <c r="HI31" s="80"/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0"/>
      <c r="HU31" s="80"/>
      <c r="HV31" s="80"/>
      <c r="HW31" s="80"/>
      <c r="HX31" s="80"/>
      <c r="HY31" s="80"/>
      <c r="HZ31" s="80"/>
      <c r="IA31" s="80"/>
      <c r="IB31" s="80"/>
      <c r="IC31" s="80"/>
      <c r="ID31" s="80"/>
      <c r="IE31" s="80"/>
      <c r="IF31" s="80"/>
      <c r="IG31" s="80"/>
      <c r="IH31" s="80"/>
      <c r="II31" s="80"/>
      <c r="IJ31" s="80"/>
      <c r="IK31" s="80"/>
      <c r="IL31" s="80"/>
      <c r="IM31" s="80"/>
      <c r="IN31" s="80"/>
      <c r="IO31" s="80"/>
      <c r="IP31" s="80"/>
      <c r="IQ31" s="80"/>
      <c r="IR31" s="80"/>
      <c r="IS31" s="80"/>
      <c r="IT31" s="80"/>
      <c r="IU31" s="80"/>
      <c r="IV31" s="80"/>
      <c r="IW31" s="80"/>
    </row>
    <row r="32" customFormat="false" ht="12.75" hidden="false" customHeight="false" outlineLevel="0" collapsed="false">
      <c r="A32" s="80"/>
      <c r="B32" s="81" t="s">
        <v>37</v>
      </c>
      <c r="C32" s="82" t="s">
        <v>204</v>
      </c>
      <c r="D32" s="82" t="s">
        <v>238</v>
      </c>
      <c r="E32" s="83" t="n">
        <v>36678</v>
      </c>
      <c r="F32" s="83" t="n">
        <v>37042</v>
      </c>
      <c r="G32" s="81" t="s">
        <v>235</v>
      </c>
      <c r="H32" s="81" t="s">
        <v>219</v>
      </c>
      <c r="I32" s="82" t="s">
        <v>81</v>
      </c>
      <c r="J32" s="84" t="n">
        <f aca="false">6.431/$J$1</f>
        <v>0.207451612903226</v>
      </c>
      <c r="K32" s="85" t="n">
        <v>0.0132</v>
      </c>
      <c r="L32" s="85" t="n">
        <v>0.0022</v>
      </c>
      <c r="M32" s="85" t="n">
        <v>0.0072</v>
      </c>
      <c r="N32" s="85" t="n">
        <v>0</v>
      </c>
      <c r="O32" s="86" t="n">
        <v>0.02116</v>
      </c>
      <c r="P32" s="85" t="n">
        <f aca="false">SUM(J32:N32)</f>
        <v>0.230051612903226</v>
      </c>
      <c r="Q32" s="87" t="n">
        <v>68384</v>
      </c>
      <c r="R32" s="82" t="n">
        <v>88</v>
      </c>
      <c r="S32" s="81" t="s">
        <v>240</v>
      </c>
      <c r="T32" s="89" t="n">
        <f aca="false">J32*J$1*R32</f>
        <v>565.928</v>
      </c>
      <c r="U32" s="90" t="n">
        <v>280570</v>
      </c>
      <c r="V32" s="81"/>
      <c r="W32" s="91"/>
      <c r="X32" s="91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0"/>
      <c r="CG32" s="80"/>
      <c r="CH32" s="80"/>
      <c r="CI32" s="80"/>
      <c r="CJ32" s="80"/>
      <c r="CK32" s="80"/>
      <c r="CL32" s="80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  <c r="DL32" s="80"/>
      <c r="DM32" s="80"/>
      <c r="DN32" s="80"/>
      <c r="DO32" s="80"/>
      <c r="DP32" s="80"/>
      <c r="DQ32" s="80"/>
      <c r="DR32" s="80"/>
      <c r="DS32" s="80"/>
      <c r="DT32" s="80"/>
      <c r="DU32" s="80"/>
      <c r="DV32" s="80"/>
      <c r="DW32" s="80"/>
      <c r="DX32" s="80"/>
      <c r="DY32" s="80"/>
      <c r="DZ32" s="80"/>
      <c r="EA32" s="80"/>
      <c r="EB32" s="80"/>
      <c r="EC32" s="80"/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0"/>
      <c r="EO32" s="80"/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0"/>
      <c r="FF32" s="80"/>
      <c r="FG32" s="80"/>
      <c r="FH32" s="80"/>
      <c r="FI32" s="80"/>
      <c r="FJ32" s="80"/>
      <c r="FK32" s="80"/>
      <c r="FL32" s="80"/>
      <c r="FM32" s="80"/>
      <c r="FN32" s="80"/>
      <c r="FO32" s="80"/>
      <c r="FP32" s="80"/>
      <c r="FQ32" s="80"/>
      <c r="FR32" s="80"/>
      <c r="FS32" s="80"/>
      <c r="FT32" s="80"/>
      <c r="FU32" s="80"/>
      <c r="FV32" s="80"/>
      <c r="FW32" s="80"/>
      <c r="FX32" s="80"/>
      <c r="FY32" s="80"/>
      <c r="FZ32" s="80"/>
      <c r="GA32" s="80"/>
      <c r="GB32" s="80"/>
      <c r="GC32" s="80"/>
      <c r="GD32" s="80"/>
      <c r="GE32" s="80"/>
      <c r="GF32" s="80"/>
      <c r="GG32" s="80"/>
      <c r="GH32" s="80"/>
      <c r="GI32" s="80"/>
      <c r="GJ32" s="80"/>
      <c r="GK32" s="80"/>
      <c r="GL32" s="80"/>
      <c r="GM32" s="80"/>
      <c r="GN32" s="80"/>
      <c r="GO32" s="80"/>
      <c r="GP32" s="80"/>
      <c r="GQ32" s="80"/>
      <c r="GR32" s="80"/>
      <c r="GS32" s="80"/>
      <c r="GT32" s="80"/>
      <c r="GU32" s="80"/>
      <c r="GV32" s="80"/>
      <c r="GW32" s="80"/>
      <c r="GX32" s="80"/>
      <c r="GY32" s="80"/>
      <c r="GZ32" s="80"/>
      <c r="HA32" s="80"/>
      <c r="HB32" s="80"/>
      <c r="HC32" s="80"/>
      <c r="HD32" s="80"/>
      <c r="HE32" s="80"/>
      <c r="HF32" s="80"/>
      <c r="HG32" s="80"/>
      <c r="HH32" s="80"/>
      <c r="HI32" s="80"/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0"/>
      <c r="HU32" s="80"/>
      <c r="HV32" s="80"/>
      <c r="HW32" s="80"/>
      <c r="HX32" s="80"/>
      <c r="HY32" s="80"/>
      <c r="HZ32" s="80"/>
      <c r="IA32" s="80"/>
      <c r="IB32" s="80"/>
      <c r="IC32" s="80"/>
      <c r="ID32" s="80"/>
      <c r="IE32" s="80"/>
      <c r="IF32" s="80"/>
      <c r="IG32" s="80"/>
      <c r="IH32" s="80"/>
      <c r="II32" s="80"/>
      <c r="IJ32" s="80"/>
      <c r="IK32" s="80"/>
      <c r="IL32" s="80"/>
      <c r="IM32" s="80"/>
      <c r="IN32" s="80"/>
      <c r="IO32" s="80"/>
      <c r="IP32" s="80"/>
      <c r="IQ32" s="80"/>
      <c r="IR32" s="80"/>
      <c r="IS32" s="80"/>
      <c r="IT32" s="80"/>
      <c r="IU32" s="80"/>
      <c r="IV32" s="80"/>
      <c r="IW32" s="80"/>
    </row>
    <row r="33" customFormat="false" ht="12.75" hidden="false" customHeight="false" outlineLevel="0" collapsed="false">
      <c r="A33" s="80"/>
      <c r="B33" s="81" t="s">
        <v>37</v>
      </c>
      <c r="C33" s="82" t="s">
        <v>204</v>
      </c>
      <c r="D33" s="82" t="s">
        <v>234</v>
      </c>
      <c r="E33" s="83" t="n">
        <v>36708</v>
      </c>
      <c r="F33" s="83" t="n">
        <v>37072</v>
      </c>
      <c r="G33" s="81" t="s">
        <v>235</v>
      </c>
      <c r="H33" s="81" t="s">
        <v>231</v>
      </c>
      <c r="I33" s="82" t="s">
        <v>81</v>
      </c>
      <c r="J33" s="84" t="n">
        <f aca="false">6.431/$J$1</f>
        <v>0.207451612903226</v>
      </c>
      <c r="K33" s="85" t="n">
        <v>0.0132</v>
      </c>
      <c r="L33" s="85" t="n">
        <v>0.0022</v>
      </c>
      <c r="M33" s="85" t="n">
        <v>0.0072</v>
      </c>
      <c r="N33" s="85" t="n">
        <v>0</v>
      </c>
      <c r="O33" s="86" t="n">
        <v>0.02116</v>
      </c>
      <c r="P33" s="85" t="n">
        <f aca="false">SUM(J33:N33)</f>
        <v>0.230051612903226</v>
      </c>
      <c r="Q33" s="87" t="n">
        <v>68616</v>
      </c>
      <c r="R33" s="82" t="n">
        <v>900</v>
      </c>
      <c r="S33" s="81" t="s">
        <v>243</v>
      </c>
      <c r="T33" s="89" t="n">
        <f aca="false">J33*J$1*R33</f>
        <v>5787.9</v>
      </c>
      <c r="U33" s="90" t="n">
        <v>309723</v>
      </c>
      <c r="V33" s="81" t="s">
        <v>244</v>
      </c>
      <c r="W33" s="91"/>
      <c r="X33" s="91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  <c r="DL33" s="80"/>
      <c r="DM33" s="80"/>
      <c r="DN33" s="80"/>
      <c r="DO33" s="80"/>
      <c r="DP33" s="80"/>
      <c r="DQ33" s="80"/>
      <c r="DR33" s="80"/>
      <c r="DS33" s="80"/>
      <c r="DT33" s="80"/>
      <c r="DU33" s="80"/>
      <c r="DV33" s="80"/>
      <c r="DW33" s="80"/>
      <c r="DX33" s="80"/>
      <c r="DY33" s="80"/>
      <c r="DZ33" s="80"/>
      <c r="EA33" s="80"/>
      <c r="EB33" s="80"/>
      <c r="EC33" s="80"/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0"/>
      <c r="EO33" s="80"/>
      <c r="EP33" s="80"/>
      <c r="EQ33" s="80"/>
      <c r="ER33" s="80"/>
      <c r="ES33" s="80"/>
      <c r="ET33" s="80"/>
      <c r="EU33" s="80"/>
      <c r="EV33" s="80"/>
      <c r="EW33" s="80"/>
      <c r="EX33" s="80"/>
      <c r="EY33" s="80"/>
      <c r="EZ33" s="80"/>
      <c r="FA33" s="80"/>
      <c r="FB33" s="80"/>
      <c r="FC33" s="80"/>
      <c r="FD33" s="80"/>
      <c r="FE33" s="80"/>
      <c r="FF33" s="80"/>
      <c r="FG33" s="80"/>
      <c r="FH33" s="80"/>
      <c r="FI33" s="80"/>
      <c r="FJ33" s="80"/>
      <c r="FK33" s="80"/>
      <c r="FL33" s="80"/>
      <c r="FM33" s="80"/>
      <c r="FN33" s="80"/>
      <c r="FO33" s="80"/>
      <c r="FP33" s="80"/>
      <c r="FQ33" s="80"/>
      <c r="FR33" s="80"/>
      <c r="FS33" s="80"/>
      <c r="FT33" s="80"/>
      <c r="FU33" s="80"/>
      <c r="FV33" s="80"/>
      <c r="FW33" s="80"/>
      <c r="FX33" s="80"/>
      <c r="FY33" s="80"/>
      <c r="FZ33" s="80"/>
      <c r="GA33" s="80"/>
      <c r="GB33" s="80"/>
      <c r="GC33" s="80"/>
      <c r="GD33" s="80"/>
      <c r="GE33" s="80"/>
      <c r="GF33" s="80"/>
      <c r="GG33" s="80"/>
      <c r="GH33" s="80"/>
      <c r="GI33" s="80"/>
      <c r="GJ33" s="80"/>
      <c r="GK33" s="80"/>
      <c r="GL33" s="80"/>
      <c r="GM33" s="80"/>
      <c r="GN33" s="80"/>
      <c r="GO33" s="80"/>
      <c r="GP33" s="80"/>
      <c r="GQ33" s="80"/>
      <c r="GR33" s="80"/>
      <c r="GS33" s="80"/>
      <c r="GT33" s="80"/>
      <c r="GU33" s="80"/>
      <c r="GV33" s="80"/>
      <c r="GW33" s="80"/>
      <c r="GX33" s="80"/>
      <c r="GY33" s="80"/>
      <c r="GZ33" s="80"/>
      <c r="HA33" s="80"/>
      <c r="HB33" s="80"/>
      <c r="HC33" s="80"/>
      <c r="HD33" s="80"/>
      <c r="HE33" s="80"/>
      <c r="HF33" s="80"/>
      <c r="HG33" s="80"/>
      <c r="HH33" s="80"/>
      <c r="HI33" s="80"/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0"/>
      <c r="HU33" s="80"/>
      <c r="HV33" s="80"/>
      <c r="HW33" s="80"/>
      <c r="HX33" s="80"/>
      <c r="HY33" s="80"/>
      <c r="HZ33" s="80"/>
      <c r="IA33" s="80"/>
      <c r="IB33" s="80"/>
      <c r="IC33" s="80"/>
      <c r="ID33" s="80"/>
      <c r="IE33" s="80"/>
      <c r="IF33" s="80"/>
      <c r="IG33" s="80"/>
      <c r="IH33" s="80"/>
      <c r="II33" s="80"/>
      <c r="IJ33" s="80"/>
      <c r="IK33" s="80"/>
      <c r="IL33" s="80"/>
      <c r="IM33" s="80"/>
      <c r="IN33" s="80"/>
      <c r="IO33" s="80"/>
      <c r="IP33" s="80"/>
      <c r="IQ33" s="80"/>
      <c r="IR33" s="80"/>
      <c r="IS33" s="80"/>
      <c r="IT33" s="80"/>
      <c r="IU33" s="80"/>
      <c r="IV33" s="80"/>
      <c r="IW33" s="80"/>
    </row>
    <row r="34" customFormat="false" ht="12.75" hidden="false" customHeight="false" outlineLevel="0" collapsed="false">
      <c r="A34" s="80"/>
      <c r="B34" s="81" t="s">
        <v>37</v>
      </c>
      <c r="C34" s="82" t="s">
        <v>204</v>
      </c>
      <c r="D34" s="82" t="s">
        <v>238</v>
      </c>
      <c r="E34" s="83" t="n">
        <v>36708</v>
      </c>
      <c r="F34" s="83" t="n">
        <v>37072</v>
      </c>
      <c r="G34" s="81" t="s">
        <v>235</v>
      </c>
      <c r="H34" s="81" t="s">
        <v>239</v>
      </c>
      <c r="I34" s="82" t="s">
        <v>81</v>
      </c>
      <c r="J34" s="84" t="n">
        <f aca="false">6.431/$J$1</f>
        <v>0.207451612903226</v>
      </c>
      <c r="K34" s="85" t="n">
        <v>0.0132</v>
      </c>
      <c r="L34" s="85" t="n">
        <v>0.0022</v>
      </c>
      <c r="M34" s="85" t="n">
        <v>0.0072</v>
      </c>
      <c r="N34" s="85" t="n">
        <v>0</v>
      </c>
      <c r="O34" s="86" t="n">
        <v>0.02116</v>
      </c>
      <c r="P34" s="85" t="n">
        <f aca="false">SUM(J34:N34)</f>
        <v>0.230051612903226</v>
      </c>
      <c r="Q34" s="87" t="n">
        <v>68635</v>
      </c>
      <c r="R34" s="82" t="n">
        <v>1</v>
      </c>
      <c r="S34" s="81" t="s">
        <v>245</v>
      </c>
      <c r="T34" s="89" t="n">
        <f aca="false">J34*J$1*R34</f>
        <v>6.431</v>
      </c>
      <c r="U34" s="90" t="n">
        <v>312333</v>
      </c>
      <c r="V34" s="81"/>
      <c r="W34" s="91"/>
      <c r="X34" s="91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  <c r="HC34" s="80"/>
      <c r="HD34" s="80"/>
      <c r="HE34" s="80"/>
      <c r="HF34" s="80"/>
      <c r="HG34" s="80"/>
      <c r="HH34" s="80"/>
      <c r="HI34" s="80"/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0"/>
      <c r="HU34" s="80"/>
      <c r="HV34" s="80"/>
      <c r="HW34" s="80"/>
      <c r="HX34" s="80"/>
      <c r="HY34" s="80"/>
      <c r="HZ34" s="80"/>
      <c r="IA34" s="80"/>
      <c r="IB34" s="80"/>
      <c r="IC34" s="80"/>
      <c r="ID34" s="80"/>
      <c r="IE34" s="80"/>
      <c r="IF34" s="80"/>
      <c r="IG34" s="80"/>
      <c r="IH34" s="80"/>
      <c r="II34" s="80"/>
      <c r="IJ34" s="80"/>
      <c r="IK34" s="80"/>
      <c r="IL34" s="80"/>
      <c r="IM34" s="80"/>
      <c r="IN34" s="80"/>
      <c r="IO34" s="80"/>
      <c r="IP34" s="80"/>
      <c r="IQ34" s="80"/>
      <c r="IR34" s="80"/>
      <c r="IS34" s="80"/>
      <c r="IT34" s="80"/>
      <c r="IU34" s="80"/>
      <c r="IV34" s="80"/>
      <c r="IW34" s="80"/>
    </row>
    <row r="35" customFormat="false" ht="12.75" hidden="false" customHeight="false" outlineLevel="0" collapsed="false">
      <c r="A35" s="80"/>
      <c r="B35" s="81" t="s">
        <v>37</v>
      </c>
      <c r="C35" s="82" t="s">
        <v>204</v>
      </c>
      <c r="D35" s="82" t="s">
        <v>80</v>
      </c>
      <c r="E35" s="83" t="n">
        <v>36831</v>
      </c>
      <c r="F35" s="83" t="n">
        <v>37195</v>
      </c>
      <c r="G35" s="81" t="s">
        <v>246</v>
      </c>
      <c r="H35" s="81" t="s">
        <v>247</v>
      </c>
      <c r="I35" s="82" t="s">
        <v>81</v>
      </c>
      <c r="J35" s="84" t="n">
        <f aca="false">5.171/J$1</f>
        <v>0.166806451612903</v>
      </c>
      <c r="K35" s="85" t="n">
        <v>0.0132</v>
      </c>
      <c r="L35" s="85" t="n">
        <v>0.0022</v>
      </c>
      <c r="M35" s="85" t="n">
        <v>0.0072</v>
      </c>
      <c r="N35" s="85" t="n">
        <v>0</v>
      </c>
      <c r="O35" s="86" t="n">
        <v>0.02116</v>
      </c>
      <c r="P35" s="85" t="n">
        <f aca="false">SUM(J35:N35)</f>
        <v>0.189406451612903</v>
      </c>
      <c r="Q35" s="87" t="n">
        <v>68915</v>
      </c>
      <c r="R35" s="82" t="n">
        <v>2400</v>
      </c>
      <c r="S35" s="81" t="s">
        <v>248</v>
      </c>
      <c r="T35" s="89" t="n">
        <f aca="false">J35*J$1*R35</f>
        <v>12410.4</v>
      </c>
      <c r="U35" s="90" t="s">
        <v>249</v>
      </c>
      <c r="V35" s="81"/>
      <c r="W35" s="91"/>
      <c r="X35" s="91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0"/>
      <c r="CA35" s="80"/>
      <c r="CB35" s="80"/>
      <c r="CC35" s="80"/>
      <c r="CD35" s="80"/>
      <c r="CE35" s="80"/>
      <c r="CF35" s="80"/>
      <c r="CG35" s="80"/>
      <c r="CH35" s="80"/>
      <c r="CI35" s="80"/>
      <c r="CJ35" s="80"/>
      <c r="CK35" s="80"/>
      <c r="CL35" s="80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  <c r="DL35" s="80"/>
      <c r="DM35" s="80"/>
      <c r="DN35" s="80"/>
      <c r="DO35" s="80"/>
      <c r="DP35" s="80"/>
      <c r="DQ35" s="80"/>
      <c r="DR35" s="80"/>
      <c r="DS35" s="80"/>
      <c r="DT35" s="80"/>
      <c r="DU35" s="80"/>
      <c r="DV35" s="80"/>
      <c r="DW35" s="80"/>
      <c r="DX35" s="80"/>
      <c r="DY35" s="80"/>
      <c r="DZ35" s="80"/>
      <c r="EA35" s="80"/>
      <c r="EB35" s="80"/>
      <c r="EC35" s="80"/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0"/>
      <c r="EO35" s="80"/>
      <c r="EP35" s="80"/>
      <c r="EQ35" s="80"/>
      <c r="ER35" s="80"/>
      <c r="ES35" s="80"/>
      <c r="ET35" s="80"/>
      <c r="EU35" s="80"/>
      <c r="EV35" s="80"/>
      <c r="EW35" s="80"/>
      <c r="EX35" s="80"/>
      <c r="EY35" s="80"/>
      <c r="EZ35" s="80"/>
      <c r="FA35" s="80"/>
      <c r="FB35" s="80"/>
      <c r="FC35" s="80"/>
      <c r="FD35" s="80"/>
      <c r="FE35" s="80"/>
      <c r="FF35" s="80"/>
      <c r="FG35" s="80"/>
      <c r="FH35" s="80"/>
      <c r="FI35" s="80"/>
      <c r="FJ35" s="80"/>
      <c r="FK35" s="80"/>
      <c r="FL35" s="80"/>
      <c r="FM35" s="80"/>
      <c r="FN35" s="80"/>
      <c r="FO35" s="80"/>
      <c r="FP35" s="80"/>
      <c r="FQ35" s="80"/>
      <c r="FR35" s="80"/>
      <c r="FS35" s="80"/>
      <c r="FT35" s="80"/>
      <c r="FU35" s="80"/>
      <c r="FV35" s="80"/>
      <c r="FW35" s="80"/>
      <c r="FX35" s="80"/>
      <c r="FY35" s="80"/>
      <c r="FZ35" s="80"/>
      <c r="GA35" s="80"/>
      <c r="GB35" s="80"/>
      <c r="GC35" s="80"/>
      <c r="GD35" s="80"/>
      <c r="GE35" s="80"/>
      <c r="GF35" s="80"/>
      <c r="GG35" s="80"/>
      <c r="GH35" s="80"/>
      <c r="GI35" s="80"/>
      <c r="GJ35" s="80"/>
      <c r="GK35" s="80"/>
      <c r="GL35" s="80"/>
      <c r="GM35" s="80"/>
      <c r="GN35" s="80"/>
      <c r="GO35" s="80"/>
      <c r="GP35" s="80"/>
      <c r="GQ35" s="80"/>
      <c r="GR35" s="80"/>
      <c r="GS35" s="80"/>
      <c r="GT35" s="80"/>
      <c r="GU35" s="80"/>
      <c r="GV35" s="80"/>
      <c r="GW35" s="80"/>
      <c r="GX35" s="80"/>
      <c r="GY35" s="80"/>
      <c r="GZ35" s="80"/>
      <c r="HA35" s="80"/>
      <c r="HB35" s="80"/>
      <c r="HC35" s="80"/>
      <c r="HD35" s="80"/>
      <c r="HE35" s="80"/>
      <c r="HF35" s="80"/>
      <c r="HG35" s="80"/>
      <c r="HH35" s="80"/>
      <c r="HI35" s="80"/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0"/>
      <c r="HU35" s="80"/>
      <c r="HV35" s="80"/>
      <c r="HW35" s="80"/>
      <c r="HX35" s="80"/>
      <c r="HY35" s="80"/>
      <c r="HZ35" s="80"/>
      <c r="IA35" s="80"/>
      <c r="IB35" s="80"/>
      <c r="IC35" s="80"/>
      <c r="ID35" s="80"/>
      <c r="IE35" s="80"/>
      <c r="IF35" s="80"/>
      <c r="IG35" s="80"/>
      <c r="IH35" s="80"/>
      <c r="II35" s="80"/>
      <c r="IJ35" s="80"/>
      <c r="IK35" s="80"/>
      <c r="IL35" s="80"/>
      <c r="IM35" s="80"/>
      <c r="IN35" s="80"/>
      <c r="IO35" s="80"/>
      <c r="IP35" s="80"/>
      <c r="IQ35" s="80"/>
      <c r="IR35" s="80"/>
      <c r="IS35" s="80"/>
      <c r="IT35" s="80"/>
      <c r="IU35" s="80"/>
      <c r="IV35" s="80"/>
      <c r="IW35" s="80"/>
    </row>
    <row r="36" customFormat="false" ht="12.75" hidden="false" customHeight="false" outlineLevel="0" collapsed="false">
      <c r="A36" s="80"/>
      <c r="B36" s="81" t="s">
        <v>37</v>
      </c>
      <c r="C36" s="82" t="s">
        <v>204</v>
      </c>
      <c r="D36" s="82" t="s">
        <v>80</v>
      </c>
      <c r="E36" s="83" t="n">
        <v>36831</v>
      </c>
      <c r="F36" s="83" t="n">
        <v>37195</v>
      </c>
      <c r="G36" s="81" t="s">
        <v>250</v>
      </c>
      <c r="H36" s="81" t="s">
        <v>251</v>
      </c>
      <c r="I36" s="82" t="s">
        <v>81</v>
      </c>
      <c r="J36" s="84" t="n">
        <f aca="false">5.18/J$1</f>
        <v>0.167096774193548</v>
      </c>
      <c r="K36" s="85" t="n">
        <v>0.0132</v>
      </c>
      <c r="L36" s="85" t="n">
        <v>0.0022</v>
      </c>
      <c r="M36" s="85" t="n">
        <v>0.0072</v>
      </c>
      <c r="N36" s="85" t="n">
        <v>0</v>
      </c>
      <c r="O36" s="86" t="n">
        <v>0.02116</v>
      </c>
      <c r="P36" s="85" t="n">
        <f aca="false">SUM(J36:N36)</f>
        <v>0.189696774193548</v>
      </c>
      <c r="Q36" s="87" t="n">
        <v>68916</v>
      </c>
      <c r="R36" s="82" t="n">
        <v>1915</v>
      </c>
      <c r="S36" s="81" t="s">
        <v>252</v>
      </c>
      <c r="T36" s="89" t="n">
        <f aca="false">J36*J$1*R36</f>
        <v>9919.7</v>
      </c>
      <c r="U36" s="90" t="s">
        <v>253</v>
      </c>
      <c r="V36" s="81"/>
      <c r="W36" s="91"/>
      <c r="X36" s="91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0"/>
      <c r="CA36" s="80"/>
      <c r="CB36" s="80"/>
      <c r="CC36" s="80"/>
      <c r="CD36" s="80"/>
      <c r="CE36" s="80"/>
      <c r="CF36" s="80"/>
      <c r="CG36" s="80"/>
      <c r="CH36" s="80"/>
      <c r="CI36" s="80"/>
      <c r="CJ36" s="80"/>
      <c r="CK36" s="80"/>
      <c r="CL36" s="80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  <c r="DL36" s="80"/>
      <c r="DM36" s="80"/>
      <c r="DN36" s="80"/>
      <c r="DO36" s="80"/>
      <c r="DP36" s="80"/>
      <c r="DQ36" s="80"/>
      <c r="DR36" s="80"/>
      <c r="DS36" s="80"/>
      <c r="DT36" s="80"/>
      <c r="DU36" s="80"/>
      <c r="DV36" s="80"/>
      <c r="DW36" s="80"/>
      <c r="DX36" s="80"/>
      <c r="DY36" s="80"/>
      <c r="DZ36" s="80"/>
      <c r="EA36" s="80"/>
      <c r="EB36" s="80"/>
      <c r="EC36" s="80"/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0"/>
      <c r="EO36" s="80"/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0"/>
      <c r="FF36" s="80"/>
      <c r="FG36" s="80"/>
      <c r="FH36" s="80"/>
      <c r="FI36" s="80"/>
      <c r="FJ36" s="80"/>
      <c r="FK36" s="80"/>
      <c r="FL36" s="80"/>
      <c r="FM36" s="80"/>
      <c r="FN36" s="80"/>
      <c r="FO36" s="80"/>
      <c r="FP36" s="80"/>
      <c r="FQ36" s="80"/>
      <c r="FR36" s="80"/>
      <c r="FS36" s="80"/>
      <c r="FT36" s="80"/>
      <c r="FU36" s="80"/>
      <c r="FV36" s="80"/>
      <c r="FW36" s="80"/>
      <c r="FX36" s="80"/>
      <c r="FY36" s="80"/>
      <c r="FZ36" s="80"/>
      <c r="GA36" s="80"/>
      <c r="GB36" s="80"/>
      <c r="GC36" s="80"/>
      <c r="GD36" s="80"/>
      <c r="GE36" s="80"/>
      <c r="GF36" s="80"/>
      <c r="GG36" s="80"/>
      <c r="GH36" s="80"/>
      <c r="GI36" s="80"/>
      <c r="GJ36" s="80"/>
      <c r="GK36" s="80"/>
      <c r="GL36" s="80"/>
      <c r="GM36" s="80"/>
      <c r="GN36" s="80"/>
      <c r="GO36" s="80"/>
      <c r="GP36" s="80"/>
      <c r="GQ36" s="80"/>
      <c r="GR36" s="80"/>
      <c r="GS36" s="80"/>
      <c r="GT36" s="80"/>
      <c r="GU36" s="80"/>
      <c r="GV36" s="80"/>
      <c r="GW36" s="80"/>
      <c r="GX36" s="80"/>
      <c r="GY36" s="80"/>
      <c r="GZ36" s="80"/>
      <c r="HA36" s="80"/>
      <c r="HB36" s="80"/>
      <c r="HC36" s="80"/>
      <c r="HD36" s="80"/>
      <c r="HE36" s="80"/>
      <c r="HF36" s="80"/>
      <c r="HG36" s="80"/>
      <c r="HH36" s="80"/>
      <c r="HI36" s="80"/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0"/>
      <c r="HU36" s="80"/>
      <c r="HV36" s="80"/>
      <c r="HW36" s="80"/>
      <c r="HX36" s="80"/>
      <c r="HY36" s="80"/>
      <c r="HZ36" s="80"/>
      <c r="IA36" s="80"/>
      <c r="IB36" s="80"/>
      <c r="IC36" s="80"/>
      <c r="ID36" s="80"/>
      <c r="IE36" s="80"/>
      <c r="IF36" s="80"/>
      <c r="IG36" s="80"/>
      <c r="IH36" s="80"/>
      <c r="II36" s="80"/>
      <c r="IJ36" s="80"/>
      <c r="IK36" s="80"/>
      <c r="IL36" s="80"/>
      <c r="IM36" s="80"/>
      <c r="IN36" s="80"/>
      <c r="IO36" s="80"/>
      <c r="IP36" s="80"/>
      <c r="IQ36" s="80"/>
      <c r="IR36" s="80"/>
      <c r="IS36" s="80"/>
      <c r="IT36" s="80"/>
      <c r="IU36" s="80"/>
      <c r="IV36" s="80"/>
      <c r="IW36" s="80"/>
    </row>
    <row r="37" customFormat="false" ht="12.75" hidden="false" customHeight="false" outlineLevel="0" collapsed="false">
      <c r="A37" s="80"/>
      <c r="B37" s="81" t="s">
        <v>37</v>
      </c>
      <c r="C37" s="82" t="s">
        <v>204</v>
      </c>
      <c r="D37" s="82" t="s">
        <v>80</v>
      </c>
      <c r="E37" s="83" t="n">
        <v>36831</v>
      </c>
      <c r="F37" s="83" t="n">
        <v>37195</v>
      </c>
      <c r="G37" s="81" t="s">
        <v>250</v>
      </c>
      <c r="H37" s="81" t="s">
        <v>251</v>
      </c>
      <c r="I37" s="82" t="s">
        <v>81</v>
      </c>
      <c r="J37" s="84" t="n">
        <f aca="false">5.1807/J$1</f>
        <v>0.16711935483871</v>
      </c>
      <c r="K37" s="85" t="n">
        <v>0.0132</v>
      </c>
      <c r="L37" s="85" t="n">
        <v>0.0022</v>
      </c>
      <c r="M37" s="85" t="n">
        <v>0.0072</v>
      </c>
      <c r="N37" s="85" t="n">
        <v>0</v>
      </c>
      <c r="O37" s="86" t="n">
        <v>0.02116</v>
      </c>
      <c r="P37" s="85" t="n">
        <f aca="false">SUM(J37:N37)</f>
        <v>0.18971935483871</v>
      </c>
      <c r="Q37" s="87" t="n">
        <v>68917</v>
      </c>
      <c r="R37" s="82" t="n">
        <v>85</v>
      </c>
      <c r="S37" s="81" t="s">
        <v>252</v>
      </c>
      <c r="T37" s="89" t="n">
        <f aca="false">J37*J$1*R37</f>
        <v>440.3595</v>
      </c>
      <c r="U37" s="90" t="s">
        <v>254</v>
      </c>
      <c r="V37" s="81"/>
      <c r="W37" s="91"/>
      <c r="X37" s="91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  <c r="DL37" s="80"/>
      <c r="DM37" s="80"/>
      <c r="DN37" s="80"/>
      <c r="DO37" s="80"/>
      <c r="DP37" s="80"/>
      <c r="DQ37" s="80"/>
      <c r="DR37" s="80"/>
      <c r="DS37" s="80"/>
      <c r="DT37" s="80"/>
      <c r="DU37" s="80"/>
      <c r="DV37" s="80"/>
      <c r="DW37" s="80"/>
      <c r="DX37" s="80"/>
      <c r="DY37" s="80"/>
      <c r="DZ37" s="80"/>
      <c r="EA37" s="80"/>
      <c r="EB37" s="80"/>
      <c r="EC37" s="80"/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0"/>
      <c r="EO37" s="80"/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0"/>
      <c r="FF37" s="80"/>
      <c r="FG37" s="80"/>
      <c r="FH37" s="80"/>
      <c r="FI37" s="80"/>
      <c r="FJ37" s="80"/>
      <c r="FK37" s="80"/>
      <c r="FL37" s="80"/>
      <c r="FM37" s="80"/>
      <c r="FN37" s="80"/>
      <c r="FO37" s="80"/>
      <c r="FP37" s="80"/>
      <c r="FQ37" s="80"/>
      <c r="FR37" s="80"/>
      <c r="FS37" s="80"/>
      <c r="FT37" s="80"/>
      <c r="FU37" s="80"/>
      <c r="FV37" s="80"/>
      <c r="FW37" s="80"/>
      <c r="FX37" s="80"/>
      <c r="FY37" s="80"/>
      <c r="FZ37" s="80"/>
      <c r="GA37" s="80"/>
      <c r="GB37" s="80"/>
      <c r="GC37" s="80"/>
      <c r="GD37" s="80"/>
      <c r="GE37" s="80"/>
      <c r="GF37" s="80"/>
      <c r="GG37" s="80"/>
      <c r="GH37" s="80"/>
      <c r="GI37" s="80"/>
      <c r="GJ37" s="80"/>
      <c r="GK37" s="80"/>
      <c r="GL37" s="80"/>
      <c r="GM37" s="80"/>
      <c r="GN37" s="80"/>
      <c r="GO37" s="80"/>
      <c r="GP37" s="80"/>
      <c r="GQ37" s="80"/>
      <c r="GR37" s="80"/>
      <c r="GS37" s="80"/>
      <c r="GT37" s="80"/>
      <c r="GU37" s="80"/>
      <c r="GV37" s="80"/>
      <c r="GW37" s="80"/>
      <c r="GX37" s="80"/>
      <c r="GY37" s="80"/>
      <c r="GZ37" s="80"/>
      <c r="HA37" s="80"/>
      <c r="HB37" s="80"/>
      <c r="HC37" s="80"/>
      <c r="HD37" s="80"/>
      <c r="HE37" s="80"/>
      <c r="HF37" s="80"/>
      <c r="HG37" s="80"/>
      <c r="HH37" s="80"/>
      <c r="HI37" s="80"/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0"/>
      <c r="HU37" s="80"/>
      <c r="HV37" s="80"/>
      <c r="HW37" s="80"/>
      <c r="HX37" s="80"/>
      <c r="HY37" s="80"/>
      <c r="HZ37" s="80"/>
      <c r="IA37" s="80"/>
      <c r="IB37" s="80"/>
      <c r="IC37" s="80"/>
      <c r="ID37" s="80"/>
      <c r="IE37" s="80"/>
      <c r="IF37" s="80"/>
      <c r="IG37" s="80"/>
      <c r="IH37" s="80"/>
      <c r="II37" s="80"/>
      <c r="IJ37" s="80"/>
      <c r="IK37" s="80"/>
      <c r="IL37" s="80"/>
      <c r="IM37" s="80"/>
      <c r="IN37" s="80"/>
      <c r="IO37" s="80"/>
      <c r="IP37" s="80"/>
      <c r="IQ37" s="80"/>
      <c r="IR37" s="80"/>
      <c r="IS37" s="80"/>
      <c r="IT37" s="80"/>
      <c r="IU37" s="80"/>
      <c r="IV37" s="80"/>
      <c r="IW37" s="80"/>
    </row>
    <row r="38" customFormat="false" ht="12.75" hidden="false" customHeight="false" outlineLevel="0" collapsed="false">
      <c r="A38" s="80"/>
      <c r="B38" s="81" t="s">
        <v>37</v>
      </c>
      <c r="C38" s="82" t="s">
        <v>204</v>
      </c>
      <c r="D38" s="82" t="s">
        <v>80</v>
      </c>
      <c r="E38" s="83" t="n">
        <v>36831</v>
      </c>
      <c r="F38" s="83" t="n">
        <v>37195</v>
      </c>
      <c r="G38" s="81" t="s">
        <v>255</v>
      </c>
      <c r="H38" s="81" t="s">
        <v>256</v>
      </c>
      <c r="I38" s="82" t="s">
        <v>81</v>
      </c>
      <c r="J38" s="84" t="n">
        <f aca="false">5.171/J$1</f>
        <v>0.166806451612903</v>
      </c>
      <c r="K38" s="85" t="n">
        <v>0.0132</v>
      </c>
      <c r="L38" s="85" t="n">
        <v>0.0022</v>
      </c>
      <c r="M38" s="85" t="n">
        <v>0.0072</v>
      </c>
      <c r="N38" s="85" t="n">
        <v>0</v>
      </c>
      <c r="O38" s="86" t="n">
        <v>0.02116</v>
      </c>
      <c r="P38" s="85" t="n">
        <f aca="false">SUM(J38:N38)</f>
        <v>0.189406451612903</v>
      </c>
      <c r="Q38" s="87" t="n">
        <v>68918</v>
      </c>
      <c r="R38" s="82" t="n">
        <v>1000</v>
      </c>
      <c r="S38" s="81" t="s">
        <v>257</v>
      </c>
      <c r="T38" s="89" t="n">
        <f aca="false">J38*J$1*R38</f>
        <v>5171</v>
      </c>
      <c r="U38" s="90" t="s">
        <v>258</v>
      </c>
      <c r="V38" s="81"/>
      <c r="W38" s="91"/>
      <c r="X38" s="91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0"/>
      <c r="CA38" s="80"/>
      <c r="CB38" s="80"/>
      <c r="CC38" s="80"/>
      <c r="CD38" s="80"/>
      <c r="CE38" s="80"/>
      <c r="CF38" s="80"/>
      <c r="CG38" s="80"/>
      <c r="CH38" s="80"/>
      <c r="CI38" s="80"/>
      <c r="CJ38" s="80"/>
      <c r="CK38" s="80"/>
      <c r="CL38" s="80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  <c r="DL38" s="80"/>
      <c r="DM38" s="80"/>
      <c r="DN38" s="80"/>
      <c r="DO38" s="80"/>
      <c r="DP38" s="80"/>
      <c r="DQ38" s="80"/>
      <c r="DR38" s="80"/>
      <c r="DS38" s="80"/>
      <c r="DT38" s="80"/>
      <c r="DU38" s="80"/>
      <c r="DV38" s="80"/>
      <c r="DW38" s="80"/>
      <c r="DX38" s="80"/>
      <c r="DY38" s="80"/>
      <c r="DZ38" s="80"/>
      <c r="EA38" s="80"/>
      <c r="EB38" s="80"/>
      <c r="EC38" s="80"/>
      <c r="ED38" s="80"/>
      <c r="EE38" s="80"/>
      <c r="EF38" s="80"/>
      <c r="EG38" s="80"/>
      <c r="EH38" s="80"/>
      <c r="EI38" s="80"/>
      <c r="EJ38" s="80"/>
      <c r="EK38" s="80"/>
      <c r="EL38" s="80"/>
      <c r="EM38" s="80"/>
      <c r="EN38" s="80"/>
      <c r="EO38" s="80"/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0"/>
      <c r="FF38" s="80"/>
      <c r="FG38" s="80"/>
      <c r="FH38" s="80"/>
      <c r="FI38" s="80"/>
      <c r="FJ38" s="80"/>
      <c r="FK38" s="80"/>
      <c r="FL38" s="80"/>
      <c r="FM38" s="80"/>
      <c r="FN38" s="80"/>
      <c r="FO38" s="80"/>
      <c r="FP38" s="80"/>
      <c r="FQ38" s="80"/>
      <c r="FR38" s="80"/>
      <c r="FS38" s="80"/>
      <c r="FT38" s="80"/>
      <c r="FU38" s="80"/>
      <c r="FV38" s="80"/>
      <c r="FW38" s="80"/>
      <c r="FX38" s="80"/>
      <c r="FY38" s="80"/>
      <c r="FZ38" s="80"/>
      <c r="GA38" s="80"/>
      <c r="GB38" s="80"/>
      <c r="GC38" s="80"/>
      <c r="GD38" s="80"/>
      <c r="GE38" s="80"/>
      <c r="GF38" s="80"/>
      <c r="GG38" s="80"/>
      <c r="GH38" s="80"/>
      <c r="GI38" s="80"/>
      <c r="GJ38" s="80"/>
      <c r="GK38" s="80"/>
      <c r="GL38" s="80"/>
      <c r="GM38" s="80"/>
      <c r="GN38" s="80"/>
      <c r="GO38" s="80"/>
      <c r="GP38" s="80"/>
      <c r="GQ38" s="80"/>
      <c r="GR38" s="80"/>
      <c r="GS38" s="80"/>
      <c r="GT38" s="80"/>
      <c r="GU38" s="80"/>
      <c r="GV38" s="80"/>
      <c r="GW38" s="80"/>
      <c r="GX38" s="80"/>
      <c r="GY38" s="80"/>
      <c r="GZ38" s="80"/>
      <c r="HA38" s="80"/>
      <c r="HB38" s="80"/>
      <c r="HC38" s="80"/>
      <c r="HD38" s="80"/>
      <c r="HE38" s="80"/>
      <c r="HF38" s="80"/>
      <c r="HG38" s="80"/>
      <c r="HH38" s="80"/>
      <c r="HI38" s="80"/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0"/>
      <c r="HU38" s="80"/>
      <c r="HV38" s="80"/>
      <c r="HW38" s="80"/>
      <c r="HX38" s="80"/>
      <c r="HY38" s="80"/>
      <c r="HZ38" s="80"/>
      <c r="IA38" s="80"/>
      <c r="IB38" s="80"/>
      <c r="IC38" s="80"/>
      <c r="ID38" s="80"/>
      <c r="IE38" s="80"/>
      <c r="IF38" s="80"/>
      <c r="IG38" s="80"/>
      <c r="IH38" s="80"/>
      <c r="II38" s="80"/>
      <c r="IJ38" s="80"/>
      <c r="IK38" s="80"/>
      <c r="IL38" s="80"/>
      <c r="IM38" s="80"/>
      <c r="IN38" s="80"/>
      <c r="IO38" s="80"/>
      <c r="IP38" s="80"/>
      <c r="IQ38" s="80"/>
      <c r="IR38" s="80"/>
      <c r="IS38" s="80"/>
      <c r="IT38" s="80"/>
      <c r="IU38" s="80"/>
      <c r="IV38" s="80"/>
      <c r="IW38" s="80"/>
    </row>
    <row r="39" customFormat="false" ht="12.75" hidden="false" customHeight="false" outlineLevel="0" collapsed="false">
      <c r="A39" s="80"/>
      <c r="B39" s="81" t="s">
        <v>37</v>
      </c>
      <c r="C39" s="82" t="s">
        <v>204</v>
      </c>
      <c r="D39" s="82" t="s">
        <v>80</v>
      </c>
      <c r="E39" s="83" t="n">
        <v>36831</v>
      </c>
      <c r="F39" s="83" t="n">
        <v>37195</v>
      </c>
      <c r="G39" s="81" t="s">
        <v>250</v>
      </c>
      <c r="H39" s="81" t="s">
        <v>256</v>
      </c>
      <c r="I39" s="82" t="s">
        <v>81</v>
      </c>
      <c r="J39" s="84" t="n">
        <f aca="false">5.171/J$1</f>
        <v>0.166806451612903</v>
      </c>
      <c r="K39" s="85" t="n">
        <v>0.0132</v>
      </c>
      <c r="L39" s="85" t="n">
        <v>0.0022</v>
      </c>
      <c r="M39" s="85" t="n">
        <v>0.0072</v>
      </c>
      <c r="N39" s="85" t="n">
        <v>0</v>
      </c>
      <c r="O39" s="86" t="n">
        <v>0.02116</v>
      </c>
      <c r="P39" s="85" t="n">
        <f aca="false">SUM(J39:N39)</f>
        <v>0.189406451612903</v>
      </c>
      <c r="Q39" s="87" t="n">
        <v>68918</v>
      </c>
      <c r="R39" s="82" t="n">
        <v>2000</v>
      </c>
      <c r="S39" s="81" t="s">
        <v>257</v>
      </c>
      <c r="T39" s="89" t="n">
        <f aca="false">J39*J$1*R39</f>
        <v>10342</v>
      </c>
      <c r="U39" s="90" t="s">
        <v>258</v>
      </c>
      <c r="V39" s="81"/>
      <c r="W39" s="91"/>
      <c r="X39" s="91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0"/>
      <c r="CA39" s="80"/>
      <c r="CB39" s="80"/>
      <c r="CC39" s="80"/>
      <c r="CD39" s="80"/>
      <c r="CE39" s="80"/>
      <c r="CF39" s="80"/>
      <c r="CG39" s="80"/>
      <c r="CH39" s="80"/>
      <c r="CI39" s="80"/>
      <c r="CJ39" s="80"/>
      <c r="CK39" s="80"/>
      <c r="CL39" s="80"/>
      <c r="CM39" s="80"/>
      <c r="CN39" s="80"/>
      <c r="CO39" s="80"/>
      <c r="CP39" s="80"/>
      <c r="CQ39" s="80"/>
      <c r="CR39" s="80"/>
      <c r="CS39" s="80"/>
      <c r="CT39" s="80"/>
      <c r="CU39" s="80"/>
      <c r="CV39" s="80"/>
      <c r="CW39" s="80"/>
      <c r="CX39" s="80"/>
      <c r="CY39" s="80"/>
      <c r="CZ39" s="80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0"/>
      <c r="DL39" s="80"/>
      <c r="DM39" s="80"/>
      <c r="DN39" s="80"/>
      <c r="DO39" s="80"/>
      <c r="DP39" s="80"/>
      <c r="DQ39" s="80"/>
      <c r="DR39" s="80"/>
      <c r="DS39" s="80"/>
      <c r="DT39" s="80"/>
      <c r="DU39" s="80"/>
      <c r="DV39" s="80"/>
      <c r="DW39" s="80"/>
      <c r="DX39" s="80"/>
      <c r="DY39" s="80"/>
      <c r="DZ39" s="80"/>
      <c r="EA39" s="80"/>
      <c r="EB39" s="80"/>
      <c r="EC39" s="80"/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0"/>
      <c r="EO39" s="80"/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0"/>
      <c r="FF39" s="80"/>
      <c r="FG39" s="80"/>
      <c r="FH39" s="80"/>
      <c r="FI39" s="80"/>
      <c r="FJ39" s="80"/>
      <c r="FK39" s="80"/>
      <c r="FL39" s="80"/>
      <c r="FM39" s="80"/>
      <c r="FN39" s="80"/>
      <c r="FO39" s="80"/>
      <c r="FP39" s="80"/>
      <c r="FQ39" s="80"/>
      <c r="FR39" s="80"/>
      <c r="FS39" s="80"/>
      <c r="FT39" s="80"/>
      <c r="FU39" s="80"/>
      <c r="FV39" s="80"/>
      <c r="FW39" s="80"/>
      <c r="FX39" s="80"/>
      <c r="FY39" s="80"/>
      <c r="FZ39" s="80"/>
      <c r="GA39" s="80"/>
      <c r="GB39" s="80"/>
      <c r="GC39" s="80"/>
      <c r="GD39" s="80"/>
      <c r="GE39" s="80"/>
      <c r="GF39" s="80"/>
      <c r="GG39" s="80"/>
      <c r="GH39" s="80"/>
      <c r="GI39" s="80"/>
      <c r="GJ39" s="80"/>
      <c r="GK39" s="80"/>
      <c r="GL39" s="80"/>
      <c r="GM39" s="80"/>
      <c r="GN39" s="80"/>
      <c r="GO39" s="80"/>
      <c r="GP39" s="80"/>
      <c r="GQ39" s="80"/>
      <c r="GR39" s="80"/>
      <c r="GS39" s="80"/>
      <c r="GT39" s="80"/>
      <c r="GU39" s="80"/>
      <c r="GV39" s="80"/>
      <c r="GW39" s="80"/>
      <c r="GX39" s="80"/>
      <c r="GY39" s="80"/>
      <c r="GZ39" s="80"/>
      <c r="HA39" s="80"/>
      <c r="HB39" s="80"/>
      <c r="HC39" s="80"/>
      <c r="HD39" s="80"/>
      <c r="HE39" s="80"/>
      <c r="HF39" s="80"/>
      <c r="HG39" s="80"/>
      <c r="HH39" s="80"/>
      <c r="HI39" s="80"/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0"/>
      <c r="HU39" s="80"/>
      <c r="HV39" s="80"/>
      <c r="HW39" s="80"/>
      <c r="HX39" s="80"/>
      <c r="HY39" s="80"/>
      <c r="HZ39" s="80"/>
      <c r="IA39" s="80"/>
      <c r="IB39" s="80"/>
      <c r="IC39" s="80"/>
      <c r="ID39" s="80"/>
      <c r="IE39" s="80"/>
      <c r="IF39" s="80"/>
      <c r="IG39" s="80"/>
      <c r="IH39" s="80"/>
      <c r="II39" s="80"/>
      <c r="IJ39" s="80"/>
      <c r="IK39" s="80"/>
      <c r="IL39" s="80"/>
      <c r="IM39" s="80"/>
      <c r="IN39" s="80"/>
      <c r="IO39" s="80"/>
      <c r="IP39" s="80"/>
      <c r="IQ39" s="80"/>
      <c r="IR39" s="80"/>
      <c r="IS39" s="80"/>
      <c r="IT39" s="80"/>
      <c r="IU39" s="80"/>
      <c r="IV39" s="80"/>
      <c r="IW39" s="80"/>
    </row>
    <row r="40" customFormat="false" ht="12.75" hidden="false" customHeight="false" outlineLevel="0" collapsed="false">
      <c r="A40" s="80"/>
      <c r="B40" s="81" t="s">
        <v>37</v>
      </c>
      <c r="C40" s="82" t="s">
        <v>204</v>
      </c>
      <c r="D40" s="82" t="s">
        <v>80</v>
      </c>
      <c r="E40" s="83" t="n">
        <v>36831</v>
      </c>
      <c r="F40" s="83" t="n">
        <v>37195</v>
      </c>
      <c r="G40" s="81" t="s">
        <v>259</v>
      </c>
      <c r="H40" s="81" t="s">
        <v>256</v>
      </c>
      <c r="I40" s="82" t="s">
        <v>81</v>
      </c>
      <c r="J40" s="84" t="n">
        <f aca="false">5.171/J$1</f>
        <v>0.166806451612903</v>
      </c>
      <c r="K40" s="85" t="n">
        <v>0.0132</v>
      </c>
      <c r="L40" s="85" t="n">
        <v>0.0022</v>
      </c>
      <c r="M40" s="85" t="n">
        <v>0.0072</v>
      </c>
      <c r="N40" s="85" t="n">
        <v>0</v>
      </c>
      <c r="O40" s="86" t="n">
        <v>0.02116</v>
      </c>
      <c r="P40" s="85" t="n">
        <f aca="false">SUM(J40:N40)</f>
        <v>0.189406451612903</v>
      </c>
      <c r="Q40" s="87" t="n">
        <v>68918</v>
      </c>
      <c r="R40" s="82" t="n">
        <v>5000</v>
      </c>
      <c r="S40" s="81" t="s">
        <v>257</v>
      </c>
      <c r="T40" s="89" t="n">
        <f aca="false">J40*J$1*R40</f>
        <v>25855</v>
      </c>
      <c r="U40" s="90" t="s">
        <v>258</v>
      </c>
      <c r="V40" s="81"/>
      <c r="W40" s="91"/>
      <c r="X40" s="91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0"/>
      <c r="CA40" s="80"/>
      <c r="CB40" s="80"/>
      <c r="CC40" s="80"/>
      <c r="CD40" s="80"/>
      <c r="CE40" s="80"/>
      <c r="CF40" s="80"/>
      <c r="CG40" s="80"/>
      <c r="CH40" s="80"/>
      <c r="CI40" s="80"/>
      <c r="CJ40" s="80"/>
      <c r="CK40" s="80"/>
      <c r="CL40" s="80"/>
      <c r="CM40" s="80"/>
      <c r="CN40" s="80"/>
      <c r="CO40" s="80"/>
      <c r="CP40" s="80"/>
      <c r="CQ40" s="80"/>
      <c r="CR40" s="80"/>
      <c r="CS40" s="80"/>
      <c r="CT40" s="80"/>
      <c r="CU40" s="80"/>
      <c r="CV40" s="80"/>
      <c r="CW40" s="80"/>
      <c r="CX40" s="80"/>
      <c r="CY40" s="80"/>
      <c r="CZ40" s="80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0"/>
      <c r="DL40" s="80"/>
      <c r="DM40" s="80"/>
      <c r="DN40" s="80"/>
      <c r="DO40" s="80"/>
      <c r="DP40" s="80"/>
      <c r="DQ40" s="80"/>
      <c r="DR40" s="80"/>
      <c r="DS40" s="80"/>
      <c r="DT40" s="80"/>
      <c r="DU40" s="80"/>
      <c r="DV40" s="80"/>
      <c r="DW40" s="80"/>
      <c r="DX40" s="80"/>
      <c r="DY40" s="80"/>
      <c r="DZ40" s="80"/>
      <c r="EA40" s="80"/>
      <c r="EB40" s="80"/>
      <c r="EC40" s="80"/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0"/>
      <c r="EO40" s="80"/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0"/>
      <c r="FF40" s="80"/>
      <c r="FG40" s="80"/>
      <c r="FH40" s="80"/>
      <c r="FI40" s="80"/>
      <c r="FJ40" s="80"/>
      <c r="FK40" s="80"/>
      <c r="FL40" s="80"/>
      <c r="FM40" s="80"/>
      <c r="FN40" s="80"/>
      <c r="FO40" s="80"/>
      <c r="FP40" s="80"/>
      <c r="FQ40" s="80"/>
      <c r="FR40" s="80"/>
      <c r="FS40" s="80"/>
      <c r="FT40" s="80"/>
      <c r="FU40" s="80"/>
      <c r="FV40" s="80"/>
      <c r="FW40" s="80"/>
      <c r="FX40" s="80"/>
      <c r="FY40" s="80"/>
      <c r="FZ40" s="80"/>
      <c r="GA40" s="80"/>
      <c r="GB40" s="80"/>
      <c r="GC40" s="80"/>
      <c r="GD40" s="80"/>
      <c r="GE40" s="80"/>
      <c r="GF40" s="80"/>
      <c r="GG40" s="80"/>
      <c r="GH40" s="80"/>
      <c r="GI40" s="80"/>
      <c r="GJ40" s="80"/>
      <c r="GK40" s="80"/>
      <c r="GL40" s="80"/>
      <c r="GM40" s="80"/>
      <c r="GN40" s="80"/>
      <c r="GO40" s="80"/>
      <c r="GP40" s="80"/>
      <c r="GQ40" s="80"/>
      <c r="GR40" s="80"/>
      <c r="GS40" s="80"/>
      <c r="GT40" s="80"/>
      <c r="GU40" s="80"/>
      <c r="GV40" s="80"/>
      <c r="GW40" s="80"/>
      <c r="GX40" s="80"/>
      <c r="GY40" s="80"/>
      <c r="GZ40" s="80"/>
      <c r="HA40" s="80"/>
      <c r="HB40" s="80"/>
      <c r="HC40" s="80"/>
      <c r="HD40" s="80"/>
      <c r="HE40" s="80"/>
      <c r="HF40" s="80"/>
      <c r="HG40" s="80"/>
      <c r="HH40" s="80"/>
      <c r="HI40" s="80"/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0"/>
      <c r="HU40" s="80"/>
      <c r="HV40" s="80"/>
      <c r="HW40" s="80"/>
      <c r="HX40" s="80"/>
      <c r="HY40" s="80"/>
      <c r="HZ40" s="80"/>
      <c r="IA40" s="80"/>
      <c r="IB40" s="80"/>
      <c r="IC40" s="80"/>
      <c r="ID40" s="80"/>
      <c r="IE40" s="80"/>
      <c r="IF40" s="80"/>
      <c r="IG40" s="80"/>
      <c r="IH40" s="80"/>
      <c r="II40" s="80"/>
      <c r="IJ40" s="80"/>
      <c r="IK40" s="80"/>
      <c r="IL40" s="80"/>
      <c r="IM40" s="80"/>
      <c r="IN40" s="80"/>
      <c r="IO40" s="80"/>
      <c r="IP40" s="80"/>
      <c r="IQ40" s="80"/>
      <c r="IR40" s="80"/>
      <c r="IS40" s="80"/>
      <c r="IT40" s="80"/>
      <c r="IU40" s="80"/>
      <c r="IV40" s="80"/>
      <c r="IW40" s="80"/>
    </row>
    <row r="41" customFormat="false" ht="12.75" hidden="false" customHeight="false" outlineLevel="0" collapsed="false">
      <c r="A41" s="80"/>
      <c r="B41" s="81" t="s">
        <v>37</v>
      </c>
      <c r="C41" s="82" t="s">
        <v>204</v>
      </c>
      <c r="D41" s="82" t="s">
        <v>238</v>
      </c>
      <c r="E41" s="83" t="n">
        <v>36739</v>
      </c>
      <c r="F41" s="83" t="n">
        <v>37103</v>
      </c>
      <c r="G41" s="81" t="s">
        <v>235</v>
      </c>
      <c r="H41" s="81" t="s">
        <v>260</v>
      </c>
      <c r="I41" s="82" t="s">
        <v>81</v>
      </c>
      <c r="J41" s="84" t="n">
        <f aca="false">6.431/J$1</f>
        <v>0.207451612903226</v>
      </c>
      <c r="K41" s="85" t="n">
        <v>0.0132</v>
      </c>
      <c r="L41" s="85" t="n">
        <v>0.0022</v>
      </c>
      <c r="M41" s="85" t="n">
        <v>0.0072</v>
      </c>
      <c r="N41" s="85" t="n">
        <v>0</v>
      </c>
      <c r="O41" s="86" t="n">
        <v>0.02116</v>
      </c>
      <c r="P41" s="85" t="n">
        <f aca="false">SUM(J41:N41)</f>
        <v>0.230051612903226</v>
      </c>
      <c r="Q41" s="87" t="n">
        <v>68926</v>
      </c>
      <c r="R41" s="82" t="n">
        <v>2</v>
      </c>
      <c r="S41" s="81" t="s">
        <v>261</v>
      </c>
      <c r="T41" s="89" t="n">
        <f aca="false">J41*J$1*R41</f>
        <v>12.862</v>
      </c>
      <c r="U41" s="90" t="n">
        <v>345125</v>
      </c>
      <c r="V41" s="81"/>
      <c r="W41" s="91"/>
      <c r="X41" s="91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0"/>
      <c r="CA41" s="80"/>
      <c r="CB41" s="80"/>
      <c r="CC41" s="80"/>
      <c r="CD41" s="80"/>
      <c r="CE41" s="80"/>
      <c r="CF41" s="80"/>
      <c r="CG41" s="80"/>
      <c r="CH41" s="80"/>
      <c r="CI41" s="80"/>
      <c r="CJ41" s="80"/>
      <c r="CK41" s="80"/>
      <c r="CL41" s="80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  <c r="DL41" s="80"/>
      <c r="DM41" s="80"/>
      <c r="DN41" s="80"/>
      <c r="DO41" s="80"/>
      <c r="DP41" s="80"/>
      <c r="DQ41" s="80"/>
      <c r="DR41" s="80"/>
      <c r="DS41" s="80"/>
      <c r="DT41" s="80"/>
      <c r="DU41" s="80"/>
      <c r="DV41" s="80"/>
      <c r="DW41" s="80"/>
      <c r="DX41" s="80"/>
      <c r="DY41" s="80"/>
      <c r="DZ41" s="80"/>
      <c r="EA41" s="80"/>
      <c r="EB41" s="80"/>
      <c r="EC41" s="80"/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0"/>
      <c r="EO41" s="80"/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0"/>
      <c r="FF41" s="80"/>
      <c r="FG41" s="80"/>
      <c r="FH41" s="80"/>
      <c r="FI41" s="80"/>
      <c r="FJ41" s="80"/>
      <c r="FK41" s="80"/>
      <c r="FL41" s="80"/>
      <c r="FM41" s="80"/>
      <c r="FN41" s="80"/>
      <c r="FO41" s="80"/>
      <c r="FP41" s="80"/>
      <c r="FQ41" s="80"/>
      <c r="FR41" s="80"/>
      <c r="FS41" s="80"/>
      <c r="FT41" s="80"/>
      <c r="FU41" s="80"/>
      <c r="FV41" s="80"/>
      <c r="FW41" s="80"/>
      <c r="FX41" s="80"/>
      <c r="FY41" s="80"/>
      <c r="FZ41" s="80"/>
      <c r="GA41" s="80"/>
      <c r="GB41" s="80"/>
      <c r="GC41" s="80"/>
      <c r="GD41" s="80"/>
      <c r="GE41" s="80"/>
      <c r="GF41" s="80"/>
      <c r="GG41" s="80"/>
      <c r="GH41" s="80"/>
      <c r="GI41" s="80"/>
      <c r="GJ41" s="80"/>
      <c r="GK41" s="80"/>
      <c r="GL41" s="80"/>
      <c r="GM41" s="80"/>
      <c r="GN41" s="80"/>
      <c r="GO41" s="80"/>
      <c r="GP41" s="80"/>
      <c r="GQ41" s="80"/>
      <c r="GR41" s="80"/>
      <c r="GS41" s="80"/>
      <c r="GT41" s="80"/>
      <c r="GU41" s="80"/>
      <c r="GV41" s="80"/>
      <c r="GW41" s="80"/>
      <c r="GX41" s="80"/>
      <c r="GY41" s="80"/>
      <c r="GZ41" s="80"/>
      <c r="HA41" s="80"/>
      <c r="HB41" s="80"/>
      <c r="HC41" s="80"/>
      <c r="HD41" s="80"/>
      <c r="HE41" s="80"/>
      <c r="HF41" s="80"/>
      <c r="HG41" s="80"/>
      <c r="HH41" s="80"/>
      <c r="HI41" s="80"/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0"/>
      <c r="HU41" s="80"/>
      <c r="HV41" s="80"/>
      <c r="HW41" s="80"/>
      <c r="HX41" s="80"/>
      <c r="HY41" s="80"/>
      <c r="HZ41" s="80"/>
      <c r="IA41" s="80"/>
      <c r="IB41" s="80"/>
      <c r="IC41" s="80"/>
      <c r="ID41" s="80"/>
      <c r="IE41" s="80"/>
      <c r="IF41" s="80"/>
      <c r="IG41" s="80"/>
      <c r="IH41" s="80"/>
      <c r="II41" s="80"/>
      <c r="IJ41" s="80"/>
      <c r="IK41" s="80"/>
      <c r="IL41" s="80"/>
      <c r="IM41" s="80"/>
      <c r="IN41" s="80"/>
      <c r="IO41" s="80"/>
      <c r="IP41" s="80"/>
      <c r="IQ41" s="80"/>
      <c r="IR41" s="80"/>
      <c r="IS41" s="80"/>
      <c r="IT41" s="80"/>
      <c r="IU41" s="80"/>
      <c r="IV41" s="80"/>
      <c r="IW41" s="80"/>
    </row>
    <row r="42" customFormat="false" ht="12.75" hidden="false" customHeight="false" outlineLevel="0" collapsed="false">
      <c r="A42" s="80"/>
      <c r="B42" s="81" t="s">
        <v>37</v>
      </c>
      <c r="C42" s="82" t="s">
        <v>204</v>
      </c>
      <c r="D42" s="82" t="s">
        <v>238</v>
      </c>
      <c r="E42" s="83" t="n">
        <v>36739</v>
      </c>
      <c r="F42" s="83" t="n">
        <v>37103</v>
      </c>
      <c r="G42" s="81" t="s">
        <v>235</v>
      </c>
      <c r="H42" s="81" t="s">
        <v>262</v>
      </c>
      <c r="I42" s="82" t="s">
        <v>81</v>
      </c>
      <c r="J42" s="84" t="n">
        <f aca="false">6.431/J$1</f>
        <v>0.207451612903226</v>
      </c>
      <c r="K42" s="85" t="n">
        <v>0.0132</v>
      </c>
      <c r="L42" s="85" t="n">
        <v>0.0022</v>
      </c>
      <c r="M42" s="85" t="n">
        <v>0.0072</v>
      </c>
      <c r="N42" s="85" t="n">
        <v>0</v>
      </c>
      <c r="O42" s="86" t="n">
        <v>0.02116</v>
      </c>
      <c r="P42" s="85" t="n">
        <f aca="false">SUM(J42:N42)</f>
        <v>0.230051612903226</v>
      </c>
      <c r="Q42" s="87" t="n">
        <v>68926</v>
      </c>
      <c r="R42" s="82" t="n">
        <v>2</v>
      </c>
      <c r="S42" s="81" t="s">
        <v>261</v>
      </c>
      <c r="T42" s="89" t="n">
        <f aca="false">J42*J$1*R42</f>
        <v>12.862</v>
      </c>
      <c r="U42" s="90" t="n">
        <v>345125</v>
      </c>
      <c r="V42" s="81"/>
      <c r="W42" s="91"/>
      <c r="X42" s="91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0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0"/>
      <c r="CA42" s="80"/>
      <c r="CB42" s="80"/>
      <c r="CC42" s="80"/>
      <c r="CD42" s="80"/>
      <c r="CE42" s="80"/>
      <c r="CF42" s="80"/>
      <c r="CG42" s="80"/>
      <c r="CH42" s="80"/>
      <c r="CI42" s="80"/>
      <c r="CJ42" s="80"/>
      <c r="CK42" s="80"/>
      <c r="CL42" s="80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  <c r="DL42" s="80"/>
      <c r="DM42" s="80"/>
      <c r="DN42" s="80"/>
      <c r="DO42" s="80"/>
      <c r="DP42" s="80"/>
      <c r="DQ42" s="80"/>
      <c r="DR42" s="80"/>
      <c r="DS42" s="80"/>
      <c r="DT42" s="80"/>
      <c r="DU42" s="80"/>
      <c r="DV42" s="80"/>
      <c r="DW42" s="80"/>
      <c r="DX42" s="80"/>
      <c r="DY42" s="80"/>
      <c r="DZ42" s="80"/>
      <c r="EA42" s="80"/>
      <c r="EB42" s="80"/>
      <c r="EC42" s="80"/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0"/>
      <c r="EO42" s="80"/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0"/>
      <c r="FF42" s="80"/>
      <c r="FG42" s="80"/>
      <c r="FH42" s="80"/>
      <c r="FI42" s="80"/>
      <c r="FJ42" s="80"/>
      <c r="FK42" s="80"/>
      <c r="FL42" s="80"/>
      <c r="FM42" s="80"/>
      <c r="FN42" s="80"/>
      <c r="FO42" s="80"/>
      <c r="FP42" s="80"/>
      <c r="FQ42" s="80"/>
      <c r="FR42" s="80"/>
      <c r="FS42" s="80"/>
      <c r="FT42" s="80"/>
      <c r="FU42" s="80"/>
      <c r="FV42" s="80"/>
      <c r="FW42" s="80"/>
      <c r="FX42" s="80"/>
      <c r="FY42" s="80"/>
      <c r="FZ42" s="80"/>
      <c r="GA42" s="80"/>
      <c r="GB42" s="80"/>
      <c r="GC42" s="80"/>
      <c r="GD42" s="80"/>
      <c r="GE42" s="80"/>
      <c r="GF42" s="80"/>
      <c r="GG42" s="80"/>
      <c r="GH42" s="80"/>
      <c r="GI42" s="80"/>
      <c r="GJ42" s="80"/>
      <c r="GK42" s="80"/>
      <c r="GL42" s="80"/>
      <c r="GM42" s="80"/>
      <c r="GN42" s="80"/>
      <c r="GO42" s="80"/>
      <c r="GP42" s="80"/>
      <c r="GQ42" s="80"/>
      <c r="GR42" s="80"/>
      <c r="GS42" s="80"/>
      <c r="GT42" s="80"/>
      <c r="GU42" s="80"/>
      <c r="GV42" s="80"/>
      <c r="GW42" s="80"/>
      <c r="GX42" s="80"/>
      <c r="GY42" s="80"/>
      <c r="GZ42" s="80"/>
      <c r="HA42" s="80"/>
      <c r="HB42" s="80"/>
      <c r="HC42" s="80"/>
      <c r="HD42" s="80"/>
      <c r="HE42" s="80"/>
      <c r="HF42" s="80"/>
      <c r="HG42" s="80"/>
      <c r="HH42" s="80"/>
      <c r="HI42" s="80"/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0"/>
      <c r="HU42" s="80"/>
      <c r="HV42" s="80"/>
      <c r="HW42" s="80"/>
      <c r="HX42" s="80"/>
      <c r="HY42" s="80"/>
      <c r="HZ42" s="80"/>
      <c r="IA42" s="80"/>
      <c r="IB42" s="80"/>
      <c r="IC42" s="80"/>
      <c r="ID42" s="80"/>
      <c r="IE42" s="80"/>
      <c r="IF42" s="80"/>
      <c r="IG42" s="80"/>
      <c r="IH42" s="80"/>
      <c r="II42" s="80"/>
      <c r="IJ42" s="80"/>
      <c r="IK42" s="80"/>
      <c r="IL42" s="80"/>
      <c r="IM42" s="80"/>
      <c r="IN42" s="80"/>
      <c r="IO42" s="80"/>
      <c r="IP42" s="80"/>
      <c r="IQ42" s="80"/>
      <c r="IR42" s="80"/>
      <c r="IS42" s="80"/>
      <c r="IT42" s="80"/>
      <c r="IU42" s="80"/>
      <c r="IV42" s="80"/>
      <c r="IW42" s="80"/>
    </row>
    <row r="43" customFormat="false" ht="12.75" hidden="false" customHeight="false" outlineLevel="0" collapsed="false">
      <c r="A43" s="80"/>
      <c r="B43" s="116" t="s">
        <v>37</v>
      </c>
      <c r="C43" s="114" t="s">
        <v>204</v>
      </c>
      <c r="D43" s="114" t="s">
        <v>34</v>
      </c>
      <c r="E43" s="144" t="n">
        <v>36739</v>
      </c>
      <c r="F43" s="144" t="n">
        <v>37103</v>
      </c>
      <c r="G43" s="116" t="s">
        <v>209</v>
      </c>
      <c r="H43" s="116" t="s">
        <v>263</v>
      </c>
      <c r="I43" s="114" t="s">
        <v>81</v>
      </c>
      <c r="J43" s="84" t="n">
        <f aca="false">6.431/$J$1</f>
        <v>0.207451612903226</v>
      </c>
      <c r="K43" s="145"/>
      <c r="L43" s="145"/>
      <c r="M43" s="145"/>
      <c r="N43" s="145"/>
      <c r="O43" s="146"/>
      <c r="P43" s="145"/>
      <c r="Q43" s="147" t="n">
        <v>68928</v>
      </c>
      <c r="R43" s="114" t="n">
        <v>47</v>
      </c>
      <c r="S43" s="116" t="s">
        <v>264</v>
      </c>
      <c r="T43" s="89" t="n">
        <f aca="false">J43*J$1*R43</f>
        <v>302.257</v>
      </c>
      <c r="U43" s="121" t="n">
        <v>351966</v>
      </c>
      <c r="V43" s="116"/>
      <c r="W43" s="122"/>
      <c r="X43" s="122"/>
      <c r="Y43" s="143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0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0"/>
      <c r="CA43" s="80"/>
      <c r="CB43" s="80"/>
      <c r="CC43" s="80"/>
      <c r="CD43" s="80"/>
      <c r="CE43" s="80"/>
      <c r="CF43" s="80"/>
      <c r="CG43" s="80"/>
      <c r="CH43" s="80"/>
      <c r="CI43" s="80"/>
      <c r="CJ43" s="80"/>
      <c r="CK43" s="80"/>
      <c r="CL43" s="80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  <c r="DL43" s="80"/>
      <c r="DM43" s="80"/>
      <c r="DN43" s="80"/>
      <c r="DO43" s="80"/>
      <c r="DP43" s="80"/>
      <c r="DQ43" s="80"/>
      <c r="DR43" s="80"/>
      <c r="DS43" s="80"/>
      <c r="DT43" s="80"/>
      <c r="DU43" s="80"/>
      <c r="DV43" s="80"/>
      <c r="DW43" s="80"/>
      <c r="DX43" s="80"/>
      <c r="DY43" s="80"/>
      <c r="DZ43" s="80"/>
      <c r="EA43" s="80"/>
      <c r="EB43" s="80"/>
      <c r="EC43" s="80"/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0"/>
      <c r="EO43" s="80"/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0"/>
      <c r="FF43" s="80"/>
      <c r="FG43" s="80"/>
      <c r="FH43" s="80"/>
      <c r="FI43" s="80"/>
      <c r="FJ43" s="80"/>
      <c r="FK43" s="80"/>
      <c r="FL43" s="80"/>
      <c r="FM43" s="80"/>
      <c r="FN43" s="80"/>
      <c r="FO43" s="80"/>
      <c r="FP43" s="80"/>
      <c r="FQ43" s="80"/>
      <c r="FR43" s="80"/>
      <c r="FS43" s="80"/>
      <c r="FT43" s="80"/>
      <c r="FU43" s="80"/>
      <c r="FV43" s="80"/>
      <c r="FW43" s="80"/>
      <c r="FX43" s="80"/>
      <c r="FY43" s="80"/>
      <c r="FZ43" s="80"/>
      <c r="GA43" s="80"/>
      <c r="GB43" s="80"/>
      <c r="GC43" s="80"/>
      <c r="GD43" s="80"/>
      <c r="GE43" s="80"/>
      <c r="GF43" s="80"/>
      <c r="GG43" s="80"/>
      <c r="GH43" s="80"/>
      <c r="GI43" s="80"/>
      <c r="GJ43" s="80"/>
      <c r="GK43" s="80"/>
      <c r="GL43" s="80"/>
      <c r="GM43" s="80"/>
      <c r="GN43" s="80"/>
      <c r="GO43" s="80"/>
      <c r="GP43" s="80"/>
      <c r="GQ43" s="80"/>
      <c r="GR43" s="80"/>
      <c r="GS43" s="80"/>
      <c r="GT43" s="80"/>
      <c r="GU43" s="80"/>
      <c r="GV43" s="80"/>
      <c r="GW43" s="80"/>
      <c r="GX43" s="80"/>
      <c r="GY43" s="80"/>
      <c r="GZ43" s="80"/>
      <c r="HA43" s="80"/>
      <c r="HB43" s="80"/>
      <c r="HC43" s="80"/>
      <c r="HD43" s="80"/>
      <c r="HE43" s="80"/>
      <c r="HF43" s="80"/>
      <c r="HG43" s="80"/>
      <c r="HH43" s="80"/>
      <c r="HI43" s="80"/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0"/>
      <c r="HU43" s="80"/>
      <c r="HV43" s="80"/>
      <c r="HW43" s="80"/>
      <c r="HX43" s="80"/>
      <c r="HY43" s="80"/>
      <c r="HZ43" s="80"/>
      <c r="IA43" s="80"/>
      <c r="IB43" s="80"/>
      <c r="IC43" s="80"/>
      <c r="ID43" s="80"/>
      <c r="IE43" s="80"/>
      <c r="IF43" s="80"/>
      <c r="IG43" s="80"/>
      <c r="IH43" s="80"/>
      <c r="II43" s="80"/>
      <c r="IJ43" s="80"/>
      <c r="IK43" s="80"/>
      <c r="IL43" s="80"/>
      <c r="IM43" s="80"/>
      <c r="IN43" s="80"/>
      <c r="IO43" s="80"/>
      <c r="IP43" s="80"/>
      <c r="IQ43" s="80"/>
      <c r="IR43" s="80"/>
      <c r="IS43" s="80"/>
      <c r="IT43" s="80"/>
      <c r="IU43" s="80"/>
      <c r="IV43" s="80"/>
      <c r="IW43" s="80"/>
    </row>
    <row r="44" customFormat="false" ht="12.75" hidden="false" customHeight="false" outlineLevel="0" collapsed="false">
      <c r="A44" s="80"/>
      <c r="B44" s="116" t="s">
        <v>37</v>
      </c>
      <c r="C44" s="114" t="s">
        <v>204</v>
      </c>
      <c r="D44" s="114" t="s">
        <v>31</v>
      </c>
      <c r="E44" s="144" t="n">
        <v>36770</v>
      </c>
      <c r="F44" s="144" t="n">
        <v>37134</v>
      </c>
      <c r="G44" s="116" t="s">
        <v>209</v>
      </c>
      <c r="H44" s="116" t="s">
        <v>265</v>
      </c>
      <c r="I44" s="114" t="s">
        <v>81</v>
      </c>
      <c r="J44" s="84" t="n">
        <f aca="false">6.431/$J$1</f>
        <v>0.207451612903226</v>
      </c>
      <c r="K44" s="145"/>
      <c r="L44" s="145"/>
      <c r="M44" s="145"/>
      <c r="N44" s="145"/>
      <c r="O44" s="146"/>
      <c r="P44" s="145"/>
      <c r="Q44" s="147" t="n">
        <v>69144</v>
      </c>
      <c r="R44" s="114" t="n">
        <v>4</v>
      </c>
      <c r="S44" s="116" t="s">
        <v>266</v>
      </c>
      <c r="T44" s="89" t="n">
        <f aca="false">J44*J$1*R44</f>
        <v>25.724</v>
      </c>
      <c r="U44" s="121"/>
      <c r="V44" s="116"/>
      <c r="W44" s="122"/>
      <c r="X44" s="122"/>
      <c r="Y44" s="143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0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0"/>
      <c r="CA44" s="80"/>
      <c r="CB44" s="80"/>
      <c r="CC44" s="80"/>
      <c r="CD44" s="80"/>
      <c r="CE44" s="80"/>
      <c r="CF44" s="80"/>
      <c r="CG44" s="80"/>
      <c r="CH44" s="80"/>
      <c r="CI44" s="80"/>
      <c r="CJ44" s="80"/>
      <c r="CK44" s="80"/>
      <c r="CL44" s="80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  <c r="DL44" s="80"/>
      <c r="DM44" s="80"/>
      <c r="DN44" s="80"/>
      <c r="DO44" s="80"/>
      <c r="DP44" s="80"/>
      <c r="DQ44" s="80"/>
      <c r="DR44" s="80"/>
      <c r="DS44" s="80"/>
      <c r="DT44" s="80"/>
      <c r="DU44" s="80"/>
      <c r="DV44" s="80"/>
      <c r="DW44" s="80"/>
      <c r="DX44" s="80"/>
      <c r="DY44" s="80"/>
      <c r="DZ44" s="80"/>
      <c r="EA44" s="80"/>
      <c r="EB44" s="80"/>
      <c r="EC44" s="80"/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0"/>
      <c r="EO44" s="80"/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0"/>
      <c r="FF44" s="80"/>
      <c r="FG44" s="80"/>
      <c r="FH44" s="80"/>
      <c r="FI44" s="80"/>
      <c r="FJ44" s="80"/>
      <c r="FK44" s="80"/>
      <c r="FL44" s="80"/>
      <c r="FM44" s="80"/>
      <c r="FN44" s="80"/>
      <c r="FO44" s="80"/>
      <c r="FP44" s="80"/>
      <c r="FQ44" s="80"/>
      <c r="FR44" s="80"/>
      <c r="FS44" s="80"/>
      <c r="FT44" s="80"/>
      <c r="FU44" s="80"/>
      <c r="FV44" s="80"/>
      <c r="FW44" s="80"/>
      <c r="FX44" s="80"/>
      <c r="FY44" s="80"/>
      <c r="FZ44" s="80"/>
      <c r="GA44" s="80"/>
      <c r="GB44" s="80"/>
      <c r="GC44" s="80"/>
      <c r="GD44" s="80"/>
      <c r="GE44" s="80"/>
      <c r="GF44" s="80"/>
      <c r="GG44" s="80"/>
      <c r="GH44" s="80"/>
      <c r="GI44" s="80"/>
      <c r="GJ44" s="80"/>
      <c r="GK44" s="80"/>
      <c r="GL44" s="80"/>
      <c r="GM44" s="80"/>
      <c r="GN44" s="80"/>
      <c r="GO44" s="80"/>
      <c r="GP44" s="80"/>
      <c r="GQ44" s="80"/>
      <c r="GR44" s="80"/>
      <c r="GS44" s="80"/>
      <c r="GT44" s="80"/>
      <c r="GU44" s="80"/>
      <c r="GV44" s="80"/>
      <c r="GW44" s="80"/>
      <c r="GX44" s="80"/>
      <c r="GY44" s="80"/>
      <c r="GZ44" s="80"/>
      <c r="HA44" s="80"/>
      <c r="HB44" s="80"/>
      <c r="HC44" s="80"/>
      <c r="HD44" s="80"/>
      <c r="HE44" s="80"/>
      <c r="HF44" s="80"/>
      <c r="HG44" s="80"/>
      <c r="HH44" s="80"/>
      <c r="HI44" s="80"/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0"/>
      <c r="HU44" s="80"/>
      <c r="HV44" s="80"/>
      <c r="HW44" s="80"/>
      <c r="HX44" s="80"/>
      <c r="HY44" s="80"/>
      <c r="HZ44" s="80"/>
      <c r="IA44" s="80"/>
      <c r="IB44" s="80"/>
      <c r="IC44" s="80"/>
      <c r="ID44" s="80"/>
      <c r="IE44" s="80"/>
      <c r="IF44" s="80"/>
      <c r="IG44" s="80"/>
      <c r="IH44" s="80"/>
      <c r="II44" s="80"/>
      <c r="IJ44" s="80"/>
      <c r="IK44" s="80"/>
      <c r="IL44" s="80"/>
      <c r="IM44" s="80"/>
      <c r="IN44" s="80"/>
      <c r="IO44" s="80"/>
      <c r="IP44" s="80"/>
      <c r="IQ44" s="80"/>
      <c r="IR44" s="80"/>
      <c r="IS44" s="80"/>
      <c r="IT44" s="80"/>
      <c r="IU44" s="80"/>
      <c r="IV44" s="80"/>
      <c r="IW44" s="80"/>
    </row>
    <row r="45" customFormat="false" ht="12.75" hidden="false" customHeight="false" outlineLevel="0" collapsed="false">
      <c r="A45" s="80"/>
      <c r="B45" s="116" t="s">
        <v>37</v>
      </c>
      <c r="C45" s="114" t="s">
        <v>204</v>
      </c>
      <c r="D45" s="114" t="s">
        <v>31</v>
      </c>
      <c r="E45" s="144" t="n">
        <v>36770</v>
      </c>
      <c r="F45" s="144" t="n">
        <v>37134</v>
      </c>
      <c r="G45" s="116" t="s">
        <v>209</v>
      </c>
      <c r="H45" s="116" t="s">
        <v>260</v>
      </c>
      <c r="I45" s="114" t="s">
        <v>81</v>
      </c>
      <c r="J45" s="84" t="n">
        <f aca="false">6.431/$J$1</f>
        <v>0.207451612903226</v>
      </c>
      <c r="K45" s="145"/>
      <c r="L45" s="145"/>
      <c r="M45" s="145"/>
      <c r="N45" s="145"/>
      <c r="O45" s="146"/>
      <c r="P45" s="145"/>
      <c r="Q45" s="147" t="n">
        <v>69144</v>
      </c>
      <c r="R45" s="114" t="n">
        <v>23</v>
      </c>
      <c r="S45" s="116" t="s">
        <v>266</v>
      </c>
      <c r="T45" s="89" t="n">
        <f aca="false">J45*J$1*R45</f>
        <v>147.913</v>
      </c>
      <c r="U45" s="121"/>
      <c r="V45" s="116"/>
      <c r="W45" s="122"/>
      <c r="X45" s="122"/>
      <c r="Y45" s="143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0"/>
      <c r="BM45" s="80"/>
      <c r="BN45" s="80"/>
      <c r="BO45" s="80"/>
      <c r="BP45" s="80"/>
      <c r="BQ45" s="80"/>
      <c r="BR45" s="80"/>
      <c r="BS45" s="80"/>
      <c r="BT45" s="80"/>
      <c r="BU45" s="80"/>
      <c r="BV45" s="80"/>
      <c r="BW45" s="80"/>
      <c r="BX45" s="80"/>
      <c r="BY45" s="80"/>
      <c r="BZ45" s="80"/>
      <c r="CA45" s="80"/>
      <c r="CB45" s="80"/>
      <c r="CC45" s="80"/>
      <c r="CD45" s="80"/>
      <c r="CE45" s="80"/>
      <c r="CF45" s="80"/>
      <c r="CG45" s="80"/>
      <c r="CH45" s="80"/>
      <c r="CI45" s="80"/>
      <c r="CJ45" s="80"/>
      <c r="CK45" s="80"/>
      <c r="CL45" s="80"/>
      <c r="CM45" s="80"/>
      <c r="CN45" s="80"/>
      <c r="CO45" s="80"/>
      <c r="CP45" s="80"/>
      <c r="CQ45" s="80"/>
      <c r="CR45" s="80"/>
      <c r="CS45" s="80"/>
      <c r="CT45" s="80"/>
      <c r="CU45" s="80"/>
      <c r="CV45" s="80"/>
      <c r="CW45" s="80"/>
      <c r="CX45" s="80"/>
      <c r="CY45" s="80"/>
      <c r="CZ45" s="80"/>
      <c r="DA45" s="80"/>
      <c r="DB45" s="80"/>
      <c r="DC45" s="80"/>
      <c r="DD45" s="80"/>
      <c r="DE45" s="80"/>
      <c r="DF45" s="80"/>
      <c r="DG45" s="80"/>
      <c r="DH45" s="80"/>
      <c r="DI45" s="80"/>
      <c r="DJ45" s="80"/>
      <c r="DK45" s="80"/>
      <c r="DL45" s="80"/>
      <c r="DM45" s="80"/>
      <c r="DN45" s="80"/>
      <c r="DO45" s="80"/>
      <c r="DP45" s="80"/>
      <c r="DQ45" s="80"/>
      <c r="DR45" s="80"/>
      <c r="DS45" s="80"/>
      <c r="DT45" s="80"/>
      <c r="DU45" s="80"/>
      <c r="DV45" s="80"/>
      <c r="DW45" s="80"/>
      <c r="DX45" s="80"/>
      <c r="DY45" s="80"/>
      <c r="DZ45" s="80"/>
      <c r="EA45" s="80"/>
      <c r="EB45" s="80"/>
      <c r="EC45" s="80"/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0"/>
      <c r="EO45" s="80"/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0"/>
      <c r="FF45" s="80"/>
      <c r="FG45" s="80"/>
      <c r="FH45" s="80"/>
      <c r="FI45" s="80"/>
      <c r="FJ45" s="80"/>
      <c r="FK45" s="80"/>
      <c r="FL45" s="80"/>
      <c r="FM45" s="80"/>
      <c r="FN45" s="80"/>
      <c r="FO45" s="80"/>
      <c r="FP45" s="80"/>
      <c r="FQ45" s="80"/>
      <c r="FR45" s="80"/>
      <c r="FS45" s="80"/>
      <c r="FT45" s="80"/>
      <c r="FU45" s="80"/>
      <c r="FV45" s="80"/>
      <c r="FW45" s="80"/>
      <c r="FX45" s="80"/>
      <c r="FY45" s="80"/>
      <c r="FZ45" s="80"/>
      <c r="GA45" s="80"/>
      <c r="GB45" s="80"/>
      <c r="GC45" s="80"/>
      <c r="GD45" s="80"/>
      <c r="GE45" s="80"/>
      <c r="GF45" s="80"/>
      <c r="GG45" s="80"/>
      <c r="GH45" s="80"/>
      <c r="GI45" s="80"/>
      <c r="GJ45" s="80"/>
      <c r="GK45" s="80"/>
      <c r="GL45" s="80"/>
      <c r="GM45" s="80"/>
      <c r="GN45" s="80"/>
      <c r="GO45" s="80"/>
      <c r="GP45" s="80"/>
      <c r="GQ45" s="80"/>
      <c r="GR45" s="80"/>
      <c r="GS45" s="80"/>
      <c r="GT45" s="80"/>
      <c r="GU45" s="80"/>
      <c r="GV45" s="80"/>
      <c r="GW45" s="80"/>
      <c r="GX45" s="80"/>
      <c r="GY45" s="80"/>
      <c r="GZ45" s="80"/>
      <c r="HA45" s="80"/>
      <c r="HB45" s="80"/>
      <c r="HC45" s="80"/>
      <c r="HD45" s="80"/>
      <c r="HE45" s="80"/>
      <c r="HF45" s="80"/>
      <c r="HG45" s="80"/>
      <c r="HH45" s="80"/>
      <c r="HI45" s="80"/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0"/>
      <c r="HU45" s="80"/>
      <c r="HV45" s="80"/>
      <c r="HW45" s="80"/>
      <c r="HX45" s="80"/>
      <c r="HY45" s="80"/>
      <c r="HZ45" s="80"/>
      <c r="IA45" s="80"/>
      <c r="IB45" s="80"/>
      <c r="IC45" s="80"/>
      <c r="ID45" s="80"/>
      <c r="IE45" s="80"/>
      <c r="IF45" s="80"/>
      <c r="IG45" s="80"/>
      <c r="IH45" s="80"/>
      <c r="II45" s="80"/>
      <c r="IJ45" s="80"/>
      <c r="IK45" s="80"/>
      <c r="IL45" s="80"/>
      <c r="IM45" s="80"/>
      <c r="IN45" s="80"/>
      <c r="IO45" s="80"/>
      <c r="IP45" s="80"/>
      <c r="IQ45" s="80"/>
      <c r="IR45" s="80"/>
      <c r="IS45" s="80"/>
      <c r="IT45" s="80"/>
      <c r="IU45" s="80"/>
      <c r="IV45" s="80"/>
      <c r="IW45" s="80"/>
    </row>
    <row r="46" customFormat="false" ht="12.75" hidden="false" customHeight="false" outlineLevel="0" collapsed="false">
      <c r="A46" s="80"/>
      <c r="B46" s="116" t="s">
        <v>37</v>
      </c>
      <c r="C46" s="114" t="s">
        <v>204</v>
      </c>
      <c r="D46" s="114" t="s">
        <v>31</v>
      </c>
      <c r="E46" s="144" t="n">
        <v>36770</v>
      </c>
      <c r="F46" s="144" t="n">
        <v>37134</v>
      </c>
      <c r="G46" s="116" t="s">
        <v>209</v>
      </c>
      <c r="H46" s="116" t="s">
        <v>267</v>
      </c>
      <c r="I46" s="114" t="s">
        <v>81</v>
      </c>
      <c r="J46" s="84" t="n">
        <f aca="false">6.431/$J$1</f>
        <v>0.207451612903226</v>
      </c>
      <c r="K46" s="145"/>
      <c r="L46" s="145"/>
      <c r="M46" s="145"/>
      <c r="N46" s="145"/>
      <c r="O46" s="146"/>
      <c r="P46" s="145"/>
      <c r="Q46" s="147" t="n">
        <v>69144</v>
      </c>
      <c r="R46" s="114" t="n">
        <v>4</v>
      </c>
      <c r="S46" s="116" t="s">
        <v>266</v>
      </c>
      <c r="T46" s="89" t="n">
        <f aca="false">J46*J$1*R46</f>
        <v>25.724</v>
      </c>
      <c r="U46" s="121"/>
      <c r="V46" s="116"/>
      <c r="W46" s="122"/>
      <c r="X46" s="122"/>
      <c r="Y46" s="143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  <c r="CC46" s="80"/>
      <c r="CD46" s="80"/>
      <c r="CE46" s="80"/>
      <c r="CF46" s="80"/>
      <c r="CG46" s="80"/>
      <c r="CH46" s="80"/>
      <c r="CI46" s="80"/>
      <c r="CJ46" s="80"/>
      <c r="CK46" s="80"/>
      <c r="CL46" s="80"/>
      <c r="CM46" s="80"/>
      <c r="CN46" s="80"/>
      <c r="CO46" s="80"/>
      <c r="CP46" s="80"/>
      <c r="CQ46" s="80"/>
      <c r="CR46" s="80"/>
      <c r="CS46" s="80"/>
      <c r="CT46" s="80"/>
      <c r="CU46" s="80"/>
      <c r="CV46" s="80"/>
      <c r="CW46" s="80"/>
      <c r="CX46" s="80"/>
      <c r="CY46" s="80"/>
      <c r="CZ46" s="80"/>
      <c r="DA46" s="80"/>
      <c r="DB46" s="80"/>
      <c r="DC46" s="80"/>
      <c r="DD46" s="80"/>
      <c r="DE46" s="80"/>
      <c r="DF46" s="80"/>
      <c r="DG46" s="80"/>
      <c r="DH46" s="80"/>
      <c r="DI46" s="80"/>
      <c r="DJ46" s="80"/>
      <c r="DK46" s="80"/>
      <c r="DL46" s="80"/>
      <c r="DM46" s="80"/>
      <c r="DN46" s="80"/>
      <c r="DO46" s="80"/>
      <c r="DP46" s="80"/>
      <c r="DQ46" s="80"/>
      <c r="DR46" s="80"/>
      <c r="DS46" s="80"/>
      <c r="DT46" s="80"/>
      <c r="DU46" s="80"/>
      <c r="DV46" s="80"/>
      <c r="DW46" s="80"/>
      <c r="DX46" s="80"/>
      <c r="DY46" s="80"/>
      <c r="DZ46" s="80"/>
      <c r="EA46" s="80"/>
      <c r="EB46" s="80"/>
      <c r="EC46" s="80"/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0"/>
      <c r="EO46" s="80"/>
      <c r="EP46" s="80"/>
      <c r="EQ46" s="80"/>
      <c r="ER46" s="80"/>
      <c r="ES46" s="80"/>
      <c r="ET46" s="80"/>
      <c r="EU46" s="80"/>
      <c r="EV46" s="80"/>
      <c r="EW46" s="80"/>
      <c r="EX46" s="80"/>
      <c r="EY46" s="80"/>
      <c r="EZ46" s="80"/>
      <c r="FA46" s="80"/>
      <c r="FB46" s="80"/>
      <c r="FC46" s="80"/>
      <c r="FD46" s="80"/>
      <c r="FE46" s="80"/>
      <c r="FF46" s="80"/>
      <c r="FG46" s="80"/>
      <c r="FH46" s="80"/>
      <c r="FI46" s="80"/>
      <c r="FJ46" s="80"/>
      <c r="FK46" s="80"/>
      <c r="FL46" s="80"/>
      <c r="FM46" s="80"/>
      <c r="FN46" s="80"/>
      <c r="FO46" s="80"/>
      <c r="FP46" s="80"/>
      <c r="FQ46" s="80"/>
      <c r="FR46" s="80"/>
      <c r="FS46" s="80"/>
      <c r="FT46" s="80"/>
      <c r="FU46" s="80"/>
      <c r="FV46" s="80"/>
      <c r="FW46" s="80"/>
      <c r="FX46" s="80"/>
      <c r="FY46" s="80"/>
      <c r="FZ46" s="80"/>
      <c r="GA46" s="80"/>
      <c r="GB46" s="80"/>
      <c r="GC46" s="80"/>
      <c r="GD46" s="80"/>
      <c r="GE46" s="80"/>
      <c r="GF46" s="80"/>
      <c r="GG46" s="80"/>
      <c r="GH46" s="80"/>
      <c r="GI46" s="80"/>
      <c r="GJ46" s="80"/>
      <c r="GK46" s="80"/>
      <c r="GL46" s="80"/>
      <c r="GM46" s="80"/>
      <c r="GN46" s="80"/>
      <c r="GO46" s="80"/>
      <c r="GP46" s="80"/>
      <c r="GQ46" s="80"/>
      <c r="GR46" s="80"/>
      <c r="GS46" s="80"/>
      <c r="GT46" s="80"/>
      <c r="GU46" s="80"/>
      <c r="GV46" s="80"/>
      <c r="GW46" s="80"/>
      <c r="GX46" s="80"/>
      <c r="GY46" s="80"/>
      <c r="GZ46" s="80"/>
      <c r="HA46" s="80"/>
      <c r="HB46" s="80"/>
      <c r="HC46" s="80"/>
      <c r="HD46" s="80"/>
      <c r="HE46" s="80"/>
      <c r="HF46" s="80"/>
      <c r="HG46" s="80"/>
      <c r="HH46" s="80"/>
      <c r="HI46" s="80"/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0"/>
      <c r="HU46" s="80"/>
      <c r="HV46" s="80"/>
      <c r="HW46" s="80"/>
      <c r="HX46" s="80"/>
      <c r="HY46" s="80"/>
      <c r="HZ46" s="80"/>
      <c r="IA46" s="80"/>
      <c r="IB46" s="80"/>
      <c r="IC46" s="80"/>
      <c r="ID46" s="80"/>
      <c r="IE46" s="80"/>
      <c r="IF46" s="80"/>
      <c r="IG46" s="80"/>
      <c r="IH46" s="80"/>
      <c r="II46" s="80"/>
      <c r="IJ46" s="80"/>
      <c r="IK46" s="80"/>
      <c r="IL46" s="80"/>
      <c r="IM46" s="80"/>
      <c r="IN46" s="80"/>
      <c r="IO46" s="80"/>
      <c r="IP46" s="80"/>
      <c r="IQ46" s="80"/>
      <c r="IR46" s="80"/>
      <c r="IS46" s="80"/>
      <c r="IT46" s="80"/>
      <c r="IU46" s="80"/>
      <c r="IV46" s="80"/>
      <c r="IW46" s="80"/>
    </row>
    <row r="47" customFormat="false" ht="12.75" hidden="false" customHeight="false" outlineLevel="0" collapsed="false">
      <c r="A47" s="80"/>
      <c r="B47" s="116" t="s">
        <v>37</v>
      </c>
      <c r="C47" s="114" t="s">
        <v>204</v>
      </c>
      <c r="D47" s="114" t="s">
        <v>31</v>
      </c>
      <c r="E47" s="144" t="n">
        <v>36770</v>
      </c>
      <c r="F47" s="144" t="n">
        <v>37134</v>
      </c>
      <c r="G47" s="116" t="s">
        <v>209</v>
      </c>
      <c r="H47" s="116" t="s">
        <v>268</v>
      </c>
      <c r="I47" s="114" t="s">
        <v>81</v>
      </c>
      <c r="J47" s="84" t="n">
        <f aca="false">6.431/$J$1</f>
        <v>0.207451612903226</v>
      </c>
      <c r="K47" s="145"/>
      <c r="L47" s="145"/>
      <c r="M47" s="145"/>
      <c r="N47" s="145"/>
      <c r="O47" s="146"/>
      <c r="P47" s="145"/>
      <c r="Q47" s="147" t="n">
        <v>69144</v>
      </c>
      <c r="R47" s="114" t="n">
        <v>31</v>
      </c>
      <c r="S47" s="116" t="s">
        <v>266</v>
      </c>
      <c r="T47" s="89" t="n">
        <f aca="false">J47*J$1*R47</f>
        <v>199.361</v>
      </c>
      <c r="U47" s="121"/>
      <c r="V47" s="116"/>
      <c r="W47" s="122"/>
      <c r="X47" s="122"/>
      <c r="Y47" s="143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  <c r="CC47" s="80"/>
      <c r="CD47" s="80"/>
      <c r="CE47" s="80"/>
      <c r="CF47" s="80"/>
      <c r="CG47" s="80"/>
      <c r="CH47" s="80"/>
      <c r="CI47" s="80"/>
      <c r="CJ47" s="80"/>
      <c r="CK47" s="80"/>
      <c r="CL47" s="80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  <c r="DL47" s="80"/>
      <c r="DM47" s="80"/>
      <c r="DN47" s="80"/>
      <c r="DO47" s="80"/>
      <c r="DP47" s="80"/>
      <c r="DQ47" s="80"/>
      <c r="DR47" s="80"/>
      <c r="DS47" s="80"/>
      <c r="DT47" s="80"/>
      <c r="DU47" s="80"/>
      <c r="DV47" s="80"/>
      <c r="DW47" s="80"/>
      <c r="DX47" s="80"/>
      <c r="DY47" s="80"/>
      <c r="DZ47" s="80"/>
      <c r="EA47" s="80"/>
      <c r="EB47" s="80"/>
      <c r="EC47" s="80"/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0"/>
      <c r="EO47" s="80"/>
      <c r="EP47" s="80"/>
      <c r="EQ47" s="80"/>
      <c r="ER47" s="80"/>
      <c r="ES47" s="80"/>
      <c r="ET47" s="80"/>
      <c r="EU47" s="80"/>
      <c r="EV47" s="80"/>
      <c r="EW47" s="80"/>
      <c r="EX47" s="80"/>
      <c r="EY47" s="80"/>
      <c r="EZ47" s="80"/>
      <c r="FA47" s="80"/>
      <c r="FB47" s="80"/>
      <c r="FC47" s="80"/>
      <c r="FD47" s="80"/>
      <c r="FE47" s="80"/>
      <c r="FF47" s="80"/>
      <c r="FG47" s="80"/>
      <c r="FH47" s="80"/>
      <c r="FI47" s="80"/>
      <c r="FJ47" s="80"/>
      <c r="FK47" s="80"/>
      <c r="FL47" s="80"/>
      <c r="FM47" s="80"/>
      <c r="FN47" s="80"/>
      <c r="FO47" s="80"/>
      <c r="FP47" s="80"/>
      <c r="FQ47" s="80"/>
      <c r="FR47" s="80"/>
      <c r="FS47" s="80"/>
      <c r="FT47" s="80"/>
      <c r="FU47" s="80"/>
      <c r="FV47" s="80"/>
      <c r="FW47" s="80"/>
      <c r="FX47" s="80"/>
      <c r="FY47" s="80"/>
      <c r="FZ47" s="80"/>
      <c r="GA47" s="80"/>
      <c r="GB47" s="80"/>
      <c r="GC47" s="80"/>
      <c r="GD47" s="80"/>
      <c r="GE47" s="80"/>
      <c r="GF47" s="80"/>
      <c r="GG47" s="80"/>
      <c r="GH47" s="80"/>
      <c r="GI47" s="80"/>
      <c r="GJ47" s="80"/>
      <c r="GK47" s="80"/>
      <c r="GL47" s="80"/>
      <c r="GM47" s="80"/>
      <c r="GN47" s="80"/>
      <c r="GO47" s="80"/>
      <c r="GP47" s="80"/>
      <c r="GQ47" s="80"/>
      <c r="GR47" s="80"/>
      <c r="GS47" s="80"/>
      <c r="GT47" s="80"/>
      <c r="GU47" s="80"/>
      <c r="GV47" s="80"/>
      <c r="GW47" s="80"/>
      <c r="GX47" s="80"/>
      <c r="GY47" s="80"/>
      <c r="GZ47" s="80"/>
      <c r="HA47" s="80"/>
      <c r="HB47" s="80"/>
      <c r="HC47" s="80"/>
      <c r="HD47" s="80"/>
      <c r="HE47" s="80"/>
      <c r="HF47" s="80"/>
      <c r="HG47" s="80"/>
      <c r="HH47" s="80"/>
      <c r="HI47" s="80"/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0"/>
      <c r="HU47" s="80"/>
      <c r="HV47" s="80"/>
      <c r="HW47" s="80"/>
      <c r="HX47" s="80"/>
      <c r="HY47" s="80"/>
      <c r="HZ47" s="80"/>
      <c r="IA47" s="80"/>
      <c r="IB47" s="80"/>
      <c r="IC47" s="80"/>
      <c r="ID47" s="80"/>
      <c r="IE47" s="80"/>
      <c r="IF47" s="80"/>
      <c r="IG47" s="80"/>
      <c r="IH47" s="80"/>
      <c r="II47" s="80"/>
      <c r="IJ47" s="80"/>
      <c r="IK47" s="80"/>
      <c r="IL47" s="80"/>
      <c r="IM47" s="80"/>
      <c r="IN47" s="80"/>
      <c r="IO47" s="80"/>
      <c r="IP47" s="80"/>
      <c r="IQ47" s="80"/>
      <c r="IR47" s="80"/>
      <c r="IS47" s="80"/>
      <c r="IT47" s="80"/>
      <c r="IU47" s="80"/>
      <c r="IV47" s="80"/>
      <c r="IW47" s="80"/>
    </row>
    <row r="48" customFormat="false" ht="12.75" hidden="false" customHeight="false" outlineLevel="0" collapsed="false">
      <c r="A48" s="143"/>
      <c r="B48" s="81" t="s">
        <v>37</v>
      </c>
      <c r="C48" s="82" t="s">
        <v>204</v>
      </c>
      <c r="D48" s="82" t="s">
        <v>80</v>
      </c>
      <c r="E48" s="83" t="n">
        <v>36831</v>
      </c>
      <c r="F48" s="83" t="n">
        <v>37195</v>
      </c>
      <c r="G48" s="81" t="s">
        <v>259</v>
      </c>
      <c r="H48" s="81" t="s">
        <v>247</v>
      </c>
      <c r="I48" s="82" t="s">
        <v>81</v>
      </c>
      <c r="J48" s="84" t="n">
        <f aca="false">5.171/J$1</f>
        <v>0.166806451612903</v>
      </c>
      <c r="K48" s="85" t="n">
        <v>0.0132</v>
      </c>
      <c r="L48" s="85" t="n">
        <v>0.0022</v>
      </c>
      <c r="M48" s="85" t="n">
        <v>0.0072</v>
      </c>
      <c r="N48" s="85" t="n">
        <v>0</v>
      </c>
      <c r="O48" s="86" t="n">
        <v>0.02116</v>
      </c>
      <c r="P48" s="85" t="n">
        <f aca="false">SUM(J48:N48)</f>
        <v>0.189406451612903</v>
      </c>
      <c r="Q48" s="87" t="n">
        <v>69148</v>
      </c>
      <c r="R48" s="82" t="n">
        <v>500</v>
      </c>
      <c r="S48" s="81" t="s">
        <v>269</v>
      </c>
      <c r="T48" s="89" t="n">
        <f aca="false">J48*J$1*R48</f>
        <v>2585.5</v>
      </c>
      <c r="U48" s="90" t="s">
        <v>270</v>
      </c>
      <c r="V48" s="81"/>
      <c r="W48" s="91"/>
      <c r="X48" s="91"/>
      <c r="Y48" s="80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3"/>
      <c r="BQ48" s="143"/>
      <c r="BR48" s="143"/>
      <c r="BS48" s="143"/>
      <c r="BT48" s="143"/>
      <c r="BU48" s="143"/>
      <c r="BV48" s="143"/>
      <c r="BW48" s="143"/>
      <c r="BX48" s="143"/>
      <c r="BY48" s="143"/>
      <c r="BZ48" s="143"/>
      <c r="CA48" s="143"/>
      <c r="CB48" s="143"/>
      <c r="CC48" s="143"/>
      <c r="CD48" s="143"/>
      <c r="CE48" s="143"/>
      <c r="CF48" s="143"/>
      <c r="CG48" s="143"/>
      <c r="CH48" s="143"/>
      <c r="CI48" s="143"/>
      <c r="CJ48" s="143"/>
      <c r="CK48" s="143"/>
      <c r="CL48" s="143"/>
      <c r="CM48" s="143"/>
      <c r="CN48" s="143"/>
      <c r="CO48" s="143"/>
      <c r="CP48" s="143"/>
      <c r="CQ48" s="143"/>
      <c r="CR48" s="143"/>
      <c r="CS48" s="143"/>
      <c r="CT48" s="143"/>
      <c r="CU48" s="143"/>
      <c r="CV48" s="143"/>
      <c r="CW48" s="143"/>
      <c r="CX48" s="143"/>
      <c r="CY48" s="143"/>
      <c r="CZ48" s="143"/>
      <c r="DA48" s="143"/>
      <c r="DB48" s="143"/>
      <c r="DC48" s="143"/>
      <c r="DD48" s="143"/>
      <c r="DE48" s="143"/>
      <c r="DF48" s="143"/>
      <c r="DG48" s="143"/>
      <c r="DH48" s="143"/>
      <c r="DI48" s="143"/>
      <c r="DJ48" s="143"/>
      <c r="DK48" s="143"/>
      <c r="DL48" s="143"/>
      <c r="DM48" s="143"/>
      <c r="DN48" s="143"/>
      <c r="DO48" s="143"/>
      <c r="DP48" s="143"/>
      <c r="DQ48" s="143"/>
      <c r="DR48" s="143"/>
      <c r="DS48" s="143"/>
      <c r="DT48" s="143"/>
      <c r="DU48" s="143"/>
      <c r="DV48" s="143"/>
      <c r="DW48" s="143"/>
      <c r="DX48" s="143"/>
      <c r="DY48" s="143"/>
      <c r="DZ48" s="143"/>
      <c r="EA48" s="143"/>
      <c r="EB48" s="143"/>
      <c r="EC48" s="143"/>
      <c r="ED48" s="143"/>
      <c r="EE48" s="143"/>
      <c r="EF48" s="143"/>
      <c r="EG48" s="143"/>
      <c r="EH48" s="143"/>
      <c r="EI48" s="143"/>
      <c r="EJ48" s="143"/>
      <c r="EK48" s="143"/>
      <c r="EL48" s="143"/>
      <c r="EM48" s="143"/>
      <c r="EN48" s="143"/>
      <c r="EO48" s="143"/>
      <c r="EP48" s="143"/>
      <c r="EQ48" s="143"/>
      <c r="ER48" s="143"/>
      <c r="ES48" s="143"/>
      <c r="ET48" s="143"/>
      <c r="EU48" s="143"/>
      <c r="EV48" s="143"/>
      <c r="EW48" s="143"/>
      <c r="EX48" s="143"/>
      <c r="EY48" s="143"/>
      <c r="EZ48" s="143"/>
      <c r="FA48" s="143"/>
      <c r="FB48" s="143"/>
      <c r="FC48" s="143"/>
      <c r="FD48" s="143"/>
      <c r="FE48" s="143"/>
      <c r="FF48" s="143"/>
      <c r="FG48" s="143"/>
      <c r="FH48" s="143"/>
      <c r="FI48" s="143"/>
      <c r="FJ48" s="143"/>
      <c r="FK48" s="143"/>
      <c r="FL48" s="143"/>
      <c r="FM48" s="143"/>
      <c r="FN48" s="143"/>
      <c r="FO48" s="143"/>
      <c r="FP48" s="143"/>
      <c r="FQ48" s="143"/>
      <c r="FR48" s="143"/>
      <c r="FS48" s="143"/>
      <c r="FT48" s="143"/>
      <c r="FU48" s="143"/>
      <c r="FV48" s="143"/>
      <c r="FW48" s="143"/>
      <c r="FX48" s="143"/>
      <c r="FY48" s="143"/>
      <c r="FZ48" s="143"/>
      <c r="GA48" s="143"/>
      <c r="GB48" s="143"/>
      <c r="GC48" s="143"/>
      <c r="GD48" s="143"/>
      <c r="GE48" s="143"/>
      <c r="GF48" s="143"/>
      <c r="GG48" s="143"/>
      <c r="GH48" s="143"/>
      <c r="GI48" s="143"/>
      <c r="GJ48" s="143"/>
      <c r="GK48" s="143"/>
      <c r="GL48" s="143"/>
      <c r="GM48" s="143"/>
      <c r="GN48" s="143"/>
      <c r="GO48" s="143"/>
      <c r="GP48" s="143"/>
      <c r="GQ48" s="143"/>
      <c r="GR48" s="143"/>
      <c r="GS48" s="143"/>
      <c r="GT48" s="143"/>
      <c r="GU48" s="143"/>
      <c r="GV48" s="143"/>
      <c r="GW48" s="143"/>
      <c r="GX48" s="143"/>
      <c r="GY48" s="143"/>
      <c r="GZ48" s="143"/>
      <c r="HA48" s="143"/>
      <c r="HB48" s="143"/>
      <c r="HC48" s="143"/>
      <c r="HD48" s="143"/>
      <c r="HE48" s="143"/>
      <c r="HF48" s="143"/>
      <c r="HG48" s="143"/>
      <c r="HH48" s="143"/>
      <c r="HI48" s="143"/>
      <c r="HJ48" s="143"/>
      <c r="HK48" s="143"/>
      <c r="HL48" s="143"/>
      <c r="HM48" s="143"/>
      <c r="HN48" s="143"/>
      <c r="HO48" s="143"/>
      <c r="HP48" s="143"/>
      <c r="HQ48" s="143"/>
      <c r="HR48" s="143"/>
      <c r="HS48" s="143"/>
      <c r="HT48" s="143"/>
      <c r="HU48" s="143"/>
      <c r="HV48" s="143"/>
      <c r="HW48" s="143"/>
      <c r="HX48" s="143"/>
      <c r="HY48" s="143"/>
      <c r="HZ48" s="143"/>
      <c r="IA48" s="143"/>
      <c r="IB48" s="143"/>
      <c r="IC48" s="143"/>
      <c r="ID48" s="143"/>
      <c r="IE48" s="143"/>
      <c r="IF48" s="143"/>
      <c r="IG48" s="143"/>
      <c r="IH48" s="143"/>
      <c r="II48" s="143"/>
      <c r="IJ48" s="143"/>
      <c r="IK48" s="143"/>
      <c r="IL48" s="143"/>
      <c r="IM48" s="143"/>
      <c r="IN48" s="143"/>
      <c r="IO48" s="143"/>
      <c r="IP48" s="143"/>
      <c r="IQ48" s="143"/>
      <c r="IR48" s="143"/>
      <c r="IS48" s="143"/>
      <c r="IT48" s="143"/>
      <c r="IU48" s="143"/>
      <c r="IV48" s="143"/>
      <c r="IW48" s="143"/>
    </row>
    <row r="49" customFormat="false" ht="12.75" hidden="false" customHeight="false" outlineLevel="0" collapsed="false">
      <c r="A49" s="143"/>
      <c r="B49" s="81" t="s">
        <v>37</v>
      </c>
      <c r="C49" s="82" t="s">
        <v>204</v>
      </c>
      <c r="D49" s="82" t="s">
        <v>80</v>
      </c>
      <c r="E49" s="83" t="n">
        <v>36831</v>
      </c>
      <c r="F49" s="83" t="n">
        <v>37195</v>
      </c>
      <c r="G49" s="81" t="s">
        <v>250</v>
      </c>
      <c r="H49" s="81" t="s">
        <v>251</v>
      </c>
      <c r="I49" s="82" t="s">
        <v>81</v>
      </c>
      <c r="J49" s="84" t="n">
        <f aca="false">5.18/J$1</f>
        <v>0.167096774193548</v>
      </c>
      <c r="K49" s="85" t="n">
        <v>0.0132</v>
      </c>
      <c r="L49" s="85" t="n">
        <v>0.0022</v>
      </c>
      <c r="M49" s="85" t="n">
        <v>0.0072</v>
      </c>
      <c r="N49" s="85" t="n">
        <v>0</v>
      </c>
      <c r="O49" s="86" t="n">
        <v>0.02116</v>
      </c>
      <c r="P49" s="85" t="n">
        <f aca="false">SUM(J49:N49)</f>
        <v>0.189696774193548</v>
      </c>
      <c r="Q49" s="87" t="n">
        <v>69149</v>
      </c>
      <c r="R49" s="82" t="n">
        <v>1000</v>
      </c>
      <c r="S49" s="81" t="s">
        <v>271</v>
      </c>
      <c r="T49" s="89" t="n">
        <f aca="false">J49*J$1*R49</f>
        <v>5180</v>
      </c>
      <c r="U49" s="90"/>
      <c r="V49" s="81"/>
      <c r="W49" s="91"/>
      <c r="X49" s="91"/>
      <c r="Y49" s="80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143"/>
      <c r="DW49" s="143"/>
      <c r="DX49" s="143"/>
      <c r="DY49" s="143"/>
      <c r="DZ49" s="143"/>
      <c r="EA49" s="143"/>
      <c r="EB49" s="143"/>
      <c r="EC49" s="143"/>
      <c r="ED49" s="143"/>
      <c r="EE49" s="143"/>
      <c r="EF49" s="143"/>
      <c r="EG49" s="143"/>
      <c r="EH49" s="143"/>
      <c r="EI49" s="143"/>
      <c r="EJ49" s="143"/>
      <c r="EK49" s="143"/>
      <c r="EL49" s="143"/>
      <c r="EM49" s="143"/>
      <c r="EN49" s="143"/>
      <c r="EO49" s="143"/>
      <c r="EP49" s="143"/>
      <c r="EQ49" s="143"/>
      <c r="ER49" s="143"/>
      <c r="ES49" s="143"/>
      <c r="ET49" s="143"/>
      <c r="EU49" s="143"/>
      <c r="EV49" s="143"/>
      <c r="EW49" s="143"/>
      <c r="EX49" s="143"/>
      <c r="EY49" s="143"/>
      <c r="EZ49" s="143"/>
      <c r="FA49" s="143"/>
      <c r="FB49" s="143"/>
      <c r="FC49" s="143"/>
      <c r="FD49" s="143"/>
      <c r="FE49" s="143"/>
      <c r="FF49" s="143"/>
      <c r="FG49" s="143"/>
      <c r="FH49" s="143"/>
      <c r="FI49" s="143"/>
      <c r="FJ49" s="143"/>
      <c r="FK49" s="143"/>
      <c r="FL49" s="143"/>
      <c r="FM49" s="143"/>
      <c r="FN49" s="143"/>
      <c r="FO49" s="143"/>
      <c r="FP49" s="143"/>
      <c r="FQ49" s="143"/>
      <c r="FR49" s="143"/>
      <c r="FS49" s="143"/>
      <c r="FT49" s="143"/>
      <c r="FU49" s="143"/>
      <c r="FV49" s="143"/>
      <c r="FW49" s="143"/>
      <c r="FX49" s="143"/>
      <c r="FY49" s="143"/>
      <c r="FZ49" s="143"/>
      <c r="GA49" s="143"/>
      <c r="GB49" s="143"/>
      <c r="GC49" s="143"/>
      <c r="GD49" s="143"/>
      <c r="GE49" s="143"/>
      <c r="GF49" s="143"/>
      <c r="GG49" s="143"/>
      <c r="GH49" s="143"/>
      <c r="GI49" s="143"/>
      <c r="GJ49" s="143"/>
      <c r="GK49" s="143"/>
      <c r="GL49" s="143"/>
      <c r="GM49" s="143"/>
      <c r="GN49" s="143"/>
      <c r="GO49" s="143"/>
      <c r="GP49" s="143"/>
      <c r="GQ49" s="143"/>
      <c r="GR49" s="143"/>
      <c r="GS49" s="143"/>
      <c r="GT49" s="143"/>
      <c r="GU49" s="143"/>
      <c r="GV49" s="143"/>
      <c r="GW49" s="143"/>
      <c r="GX49" s="143"/>
      <c r="GY49" s="143"/>
      <c r="GZ49" s="143"/>
      <c r="HA49" s="143"/>
      <c r="HB49" s="143"/>
      <c r="HC49" s="143"/>
      <c r="HD49" s="143"/>
      <c r="HE49" s="143"/>
      <c r="HF49" s="143"/>
      <c r="HG49" s="143"/>
      <c r="HH49" s="143"/>
      <c r="HI49" s="143"/>
      <c r="HJ49" s="143"/>
      <c r="HK49" s="143"/>
      <c r="HL49" s="143"/>
      <c r="HM49" s="143"/>
      <c r="HN49" s="143"/>
      <c r="HO49" s="143"/>
      <c r="HP49" s="143"/>
      <c r="HQ49" s="143"/>
      <c r="HR49" s="143"/>
      <c r="HS49" s="143"/>
      <c r="HT49" s="143"/>
      <c r="HU49" s="143"/>
      <c r="HV49" s="143"/>
      <c r="HW49" s="143"/>
      <c r="HX49" s="143"/>
      <c r="HY49" s="143"/>
      <c r="HZ49" s="143"/>
      <c r="IA49" s="143"/>
      <c r="IB49" s="143"/>
      <c r="IC49" s="143"/>
      <c r="ID49" s="143"/>
      <c r="IE49" s="143"/>
      <c r="IF49" s="143"/>
      <c r="IG49" s="143"/>
      <c r="IH49" s="143"/>
      <c r="II49" s="143"/>
      <c r="IJ49" s="143"/>
      <c r="IK49" s="143"/>
      <c r="IL49" s="143"/>
      <c r="IM49" s="143"/>
      <c r="IN49" s="143"/>
      <c r="IO49" s="143"/>
      <c r="IP49" s="143"/>
      <c r="IQ49" s="143"/>
      <c r="IR49" s="143"/>
      <c r="IS49" s="143"/>
      <c r="IT49" s="143"/>
      <c r="IU49" s="143"/>
      <c r="IV49" s="143"/>
      <c r="IW49" s="143"/>
    </row>
    <row r="50" customFormat="false" ht="12.75" hidden="false" customHeight="false" outlineLevel="0" collapsed="false">
      <c r="A50" s="143"/>
      <c r="B50" s="116" t="s">
        <v>37</v>
      </c>
      <c r="C50" s="114" t="s">
        <v>204</v>
      </c>
      <c r="D50" s="114" t="s">
        <v>31</v>
      </c>
      <c r="E50" s="144" t="n">
        <v>36800</v>
      </c>
      <c r="F50" s="144" t="n">
        <v>37164</v>
      </c>
      <c r="G50" s="116" t="s">
        <v>209</v>
      </c>
      <c r="H50" s="116" t="s">
        <v>265</v>
      </c>
      <c r="I50" s="114" t="s">
        <v>81</v>
      </c>
      <c r="J50" s="84" t="n">
        <f aca="false">6.431/$J$1</f>
        <v>0.207451612903226</v>
      </c>
      <c r="K50" s="145"/>
      <c r="L50" s="145"/>
      <c r="M50" s="145"/>
      <c r="N50" s="145"/>
      <c r="O50" s="146"/>
      <c r="P50" s="145"/>
      <c r="Q50" s="147" t="n">
        <v>69424</v>
      </c>
      <c r="R50" s="114" t="n">
        <v>1</v>
      </c>
      <c r="S50" s="116" t="s">
        <v>272</v>
      </c>
      <c r="T50" s="89" t="n">
        <f aca="false">J50*J$1*R50</f>
        <v>6.431</v>
      </c>
      <c r="U50" s="121" t="n">
        <v>418221</v>
      </c>
      <c r="V50" s="116"/>
      <c r="W50" s="122"/>
      <c r="X50" s="122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3"/>
      <c r="CB50" s="143"/>
      <c r="CC50" s="143"/>
      <c r="CD50" s="143"/>
      <c r="CE50" s="143"/>
      <c r="CF50" s="143"/>
      <c r="CG50" s="143"/>
      <c r="CH50" s="143"/>
      <c r="CI50" s="143"/>
      <c r="CJ50" s="143"/>
      <c r="CK50" s="143"/>
      <c r="CL50" s="143"/>
      <c r="CM50" s="143"/>
      <c r="CN50" s="143"/>
      <c r="CO50" s="143"/>
      <c r="CP50" s="143"/>
      <c r="CQ50" s="143"/>
      <c r="CR50" s="143"/>
      <c r="CS50" s="143"/>
      <c r="CT50" s="143"/>
      <c r="CU50" s="143"/>
      <c r="CV50" s="143"/>
      <c r="CW50" s="143"/>
      <c r="CX50" s="143"/>
      <c r="CY50" s="143"/>
      <c r="CZ50" s="143"/>
      <c r="DA50" s="143"/>
      <c r="DB50" s="143"/>
      <c r="DC50" s="143"/>
      <c r="DD50" s="143"/>
      <c r="DE50" s="143"/>
      <c r="DF50" s="143"/>
      <c r="DG50" s="143"/>
      <c r="DH50" s="143"/>
      <c r="DI50" s="143"/>
      <c r="DJ50" s="143"/>
      <c r="DK50" s="143"/>
      <c r="DL50" s="143"/>
      <c r="DM50" s="143"/>
      <c r="DN50" s="143"/>
      <c r="DO50" s="143"/>
      <c r="DP50" s="143"/>
      <c r="DQ50" s="143"/>
      <c r="DR50" s="143"/>
      <c r="DS50" s="143"/>
      <c r="DT50" s="143"/>
      <c r="DU50" s="143"/>
      <c r="DV50" s="143"/>
      <c r="DW50" s="143"/>
      <c r="DX50" s="143"/>
      <c r="DY50" s="143"/>
      <c r="DZ50" s="143"/>
      <c r="EA50" s="143"/>
      <c r="EB50" s="143"/>
      <c r="EC50" s="143"/>
      <c r="ED50" s="143"/>
      <c r="EE50" s="143"/>
      <c r="EF50" s="143"/>
      <c r="EG50" s="143"/>
      <c r="EH50" s="143"/>
      <c r="EI50" s="143"/>
      <c r="EJ50" s="143"/>
      <c r="EK50" s="143"/>
      <c r="EL50" s="143"/>
      <c r="EM50" s="143"/>
      <c r="EN50" s="143"/>
      <c r="EO50" s="143"/>
      <c r="EP50" s="143"/>
      <c r="EQ50" s="143"/>
      <c r="ER50" s="143"/>
      <c r="ES50" s="143"/>
      <c r="ET50" s="143"/>
      <c r="EU50" s="143"/>
      <c r="EV50" s="143"/>
      <c r="EW50" s="143"/>
      <c r="EX50" s="143"/>
      <c r="EY50" s="143"/>
      <c r="EZ50" s="143"/>
      <c r="FA50" s="143"/>
      <c r="FB50" s="143"/>
      <c r="FC50" s="143"/>
      <c r="FD50" s="143"/>
      <c r="FE50" s="143"/>
      <c r="FF50" s="143"/>
      <c r="FG50" s="143"/>
      <c r="FH50" s="143"/>
      <c r="FI50" s="143"/>
      <c r="FJ50" s="143"/>
      <c r="FK50" s="143"/>
      <c r="FL50" s="143"/>
      <c r="FM50" s="143"/>
      <c r="FN50" s="143"/>
      <c r="FO50" s="143"/>
      <c r="FP50" s="143"/>
      <c r="FQ50" s="143"/>
      <c r="FR50" s="143"/>
      <c r="FS50" s="143"/>
      <c r="FT50" s="143"/>
      <c r="FU50" s="143"/>
      <c r="FV50" s="143"/>
      <c r="FW50" s="143"/>
      <c r="FX50" s="143"/>
      <c r="FY50" s="143"/>
      <c r="FZ50" s="143"/>
      <c r="GA50" s="143"/>
      <c r="GB50" s="143"/>
      <c r="GC50" s="143"/>
      <c r="GD50" s="143"/>
      <c r="GE50" s="143"/>
      <c r="GF50" s="143"/>
      <c r="GG50" s="143"/>
      <c r="GH50" s="143"/>
      <c r="GI50" s="143"/>
      <c r="GJ50" s="143"/>
      <c r="GK50" s="143"/>
      <c r="GL50" s="143"/>
      <c r="GM50" s="143"/>
      <c r="GN50" s="143"/>
      <c r="GO50" s="143"/>
      <c r="GP50" s="143"/>
      <c r="GQ50" s="143"/>
      <c r="GR50" s="143"/>
      <c r="GS50" s="143"/>
      <c r="GT50" s="143"/>
      <c r="GU50" s="143"/>
      <c r="GV50" s="143"/>
      <c r="GW50" s="143"/>
      <c r="GX50" s="143"/>
      <c r="GY50" s="143"/>
      <c r="GZ50" s="143"/>
      <c r="HA50" s="143"/>
      <c r="HB50" s="143"/>
      <c r="HC50" s="143"/>
      <c r="HD50" s="143"/>
      <c r="HE50" s="143"/>
      <c r="HF50" s="143"/>
      <c r="HG50" s="143"/>
      <c r="HH50" s="143"/>
      <c r="HI50" s="143"/>
      <c r="HJ50" s="143"/>
      <c r="HK50" s="143"/>
      <c r="HL50" s="143"/>
      <c r="HM50" s="143"/>
      <c r="HN50" s="143"/>
      <c r="HO50" s="143"/>
      <c r="HP50" s="143"/>
      <c r="HQ50" s="143"/>
      <c r="HR50" s="143"/>
      <c r="HS50" s="143"/>
      <c r="HT50" s="143"/>
      <c r="HU50" s="143"/>
      <c r="HV50" s="143"/>
      <c r="HW50" s="143"/>
      <c r="HX50" s="143"/>
      <c r="HY50" s="143"/>
      <c r="HZ50" s="143"/>
      <c r="IA50" s="143"/>
      <c r="IB50" s="143"/>
      <c r="IC50" s="143"/>
      <c r="ID50" s="143"/>
      <c r="IE50" s="143"/>
      <c r="IF50" s="143"/>
      <c r="IG50" s="143"/>
      <c r="IH50" s="143"/>
      <c r="II50" s="143"/>
      <c r="IJ50" s="143"/>
      <c r="IK50" s="143"/>
      <c r="IL50" s="143"/>
      <c r="IM50" s="143"/>
      <c r="IN50" s="143"/>
      <c r="IO50" s="143"/>
      <c r="IP50" s="143"/>
      <c r="IQ50" s="143"/>
      <c r="IR50" s="143"/>
      <c r="IS50" s="143"/>
      <c r="IT50" s="143"/>
      <c r="IU50" s="143"/>
      <c r="IV50" s="143"/>
      <c r="IW50" s="143"/>
    </row>
    <row r="51" customFormat="false" ht="12.75" hidden="false" customHeight="false" outlineLevel="0" collapsed="false">
      <c r="A51" s="143"/>
      <c r="B51" s="116" t="s">
        <v>37</v>
      </c>
      <c r="C51" s="114" t="s">
        <v>204</v>
      </c>
      <c r="D51" s="114" t="s">
        <v>31</v>
      </c>
      <c r="E51" s="144" t="n">
        <v>36800</v>
      </c>
      <c r="F51" s="144" t="n">
        <v>37164</v>
      </c>
      <c r="G51" s="116" t="s">
        <v>209</v>
      </c>
      <c r="H51" s="116" t="s">
        <v>260</v>
      </c>
      <c r="I51" s="114" t="s">
        <v>81</v>
      </c>
      <c r="J51" s="84" t="n">
        <f aca="false">6.431/$J$1</f>
        <v>0.207451612903226</v>
      </c>
      <c r="K51" s="145"/>
      <c r="L51" s="145"/>
      <c r="M51" s="145"/>
      <c r="N51" s="145"/>
      <c r="O51" s="146"/>
      <c r="P51" s="145"/>
      <c r="Q51" s="147" t="n">
        <v>69424</v>
      </c>
      <c r="R51" s="114" t="n">
        <v>1</v>
      </c>
      <c r="S51" s="116" t="s">
        <v>272</v>
      </c>
      <c r="T51" s="89" t="n">
        <f aca="false">J51*J$1*R51</f>
        <v>6.431</v>
      </c>
      <c r="U51" s="121" t="n">
        <v>418221</v>
      </c>
      <c r="V51" s="116"/>
      <c r="W51" s="122"/>
      <c r="X51" s="122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3"/>
      <c r="BQ51" s="143"/>
      <c r="BR51" s="143"/>
      <c r="BS51" s="143"/>
      <c r="BT51" s="143"/>
      <c r="BU51" s="143"/>
      <c r="BV51" s="143"/>
      <c r="BW51" s="143"/>
      <c r="BX51" s="143"/>
      <c r="BY51" s="143"/>
      <c r="BZ51" s="143"/>
      <c r="CA51" s="143"/>
      <c r="CB51" s="143"/>
      <c r="CC51" s="143"/>
      <c r="CD51" s="143"/>
      <c r="CE51" s="143"/>
      <c r="CF51" s="143"/>
      <c r="CG51" s="143"/>
      <c r="CH51" s="143"/>
      <c r="CI51" s="143"/>
      <c r="CJ51" s="143"/>
      <c r="CK51" s="143"/>
      <c r="CL51" s="143"/>
      <c r="CM51" s="143"/>
      <c r="CN51" s="143"/>
      <c r="CO51" s="143"/>
      <c r="CP51" s="143"/>
      <c r="CQ51" s="143"/>
      <c r="CR51" s="143"/>
      <c r="CS51" s="143"/>
      <c r="CT51" s="143"/>
      <c r="CU51" s="143"/>
      <c r="CV51" s="143"/>
      <c r="CW51" s="143"/>
      <c r="CX51" s="143"/>
      <c r="CY51" s="143"/>
      <c r="CZ51" s="143"/>
      <c r="DA51" s="143"/>
      <c r="DB51" s="143"/>
      <c r="DC51" s="143"/>
      <c r="DD51" s="143"/>
      <c r="DE51" s="143"/>
      <c r="DF51" s="143"/>
      <c r="DG51" s="143"/>
      <c r="DH51" s="143"/>
      <c r="DI51" s="143"/>
      <c r="DJ51" s="143"/>
      <c r="DK51" s="143"/>
      <c r="DL51" s="143"/>
      <c r="DM51" s="143"/>
      <c r="DN51" s="143"/>
      <c r="DO51" s="143"/>
      <c r="DP51" s="143"/>
      <c r="DQ51" s="143"/>
      <c r="DR51" s="143"/>
      <c r="DS51" s="143"/>
      <c r="DT51" s="143"/>
      <c r="DU51" s="143"/>
      <c r="DV51" s="143"/>
      <c r="DW51" s="143"/>
      <c r="DX51" s="143"/>
      <c r="DY51" s="143"/>
      <c r="DZ51" s="143"/>
      <c r="EA51" s="143"/>
      <c r="EB51" s="143"/>
      <c r="EC51" s="143"/>
      <c r="ED51" s="143"/>
      <c r="EE51" s="143"/>
      <c r="EF51" s="143"/>
      <c r="EG51" s="143"/>
      <c r="EH51" s="143"/>
      <c r="EI51" s="143"/>
      <c r="EJ51" s="143"/>
      <c r="EK51" s="143"/>
      <c r="EL51" s="143"/>
      <c r="EM51" s="143"/>
      <c r="EN51" s="143"/>
      <c r="EO51" s="143"/>
      <c r="EP51" s="143"/>
      <c r="EQ51" s="143"/>
      <c r="ER51" s="143"/>
      <c r="ES51" s="143"/>
      <c r="ET51" s="143"/>
      <c r="EU51" s="143"/>
      <c r="EV51" s="143"/>
      <c r="EW51" s="143"/>
      <c r="EX51" s="143"/>
      <c r="EY51" s="143"/>
      <c r="EZ51" s="143"/>
      <c r="FA51" s="143"/>
      <c r="FB51" s="143"/>
      <c r="FC51" s="143"/>
      <c r="FD51" s="143"/>
      <c r="FE51" s="143"/>
      <c r="FF51" s="143"/>
      <c r="FG51" s="143"/>
      <c r="FH51" s="143"/>
      <c r="FI51" s="143"/>
      <c r="FJ51" s="143"/>
      <c r="FK51" s="143"/>
      <c r="FL51" s="143"/>
      <c r="FM51" s="143"/>
      <c r="FN51" s="143"/>
      <c r="FO51" s="143"/>
      <c r="FP51" s="143"/>
      <c r="FQ51" s="143"/>
      <c r="FR51" s="143"/>
      <c r="FS51" s="143"/>
      <c r="FT51" s="143"/>
      <c r="FU51" s="143"/>
      <c r="FV51" s="143"/>
      <c r="FW51" s="143"/>
      <c r="FX51" s="143"/>
      <c r="FY51" s="143"/>
      <c r="FZ51" s="143"/>
      <c r="GA51" s="143"/>
      <c r="GB51" s="143"/>
      <c r="GC51" s="143"/>
      <c r="GD51" s="143"/>
      <c r="GE51" s="143"/>
      <c r="GF51" s="143"/>
      <c r="GG51" s="143"/>
      <c r="GH51" s="143"/>
      <c r="GI51" s="143"/>
      <c r="GJ51" s="143"/>
      <c r="GK51" s="143"/>
      <c r="GL51" s="143"/>
      <c r="GM51" s="143"/>
      <c r="GN51" s="143"/>
      <c r="GO51" s="143"/>
      <c r="GP51" s="143"/>
      <c r="GQ51" s="143"/>
      <c r="GR51" s="143"/>
      <c r="GS51" s="143"/>
      <c r="GT51" s="143"/>
      <c r="GU51" s="143"/>
      <c r="GV51" s="143"/>
      <c r="GW51" s="143"/>
      <c r="GX51" s="143"/>
      <c r="GY51" s="143"/>
      <c r="GZ51" s="143"/>
      <c r="HA51" s="143"/>
      <c r="HB51" s="143"/>
      <c r="HC51" s="143"/>
      <c r="HD51" s="143"/>
      <c r="HE51" s="143"/>
      <c r="HF51" s="143"/>
      <c r="HG51" s="143"/>
      <c r="HH51" s="143"/>
      <c r="HI51" s="143"/>
      <c r="HJ51" s="143"/>
      <c r="HK51" s="143"/>
      <c r="HL51" s="143"/>
      <c r="HM51" s="143"/>
      <c r="HN51" s="143"/>
      <c r="HO51" s="143"/>
      <c r="HP51" s="143"/>
      <c r="HQ51" s="143"/>
      <c r="HR51" s="143"/>
      <c r="HS51" s="143"/>
      <c r="HT51" s="143"/>
      <c r="HU51" s="143"/>
      <c r="HV51" s="143"/>
      <c r="HW51" s="143"/>
      <c r="HX51" s="143"/>
      <c r="HY51" s="143"/>
      <c r="HZ51" s="143"/>
      <c r="IA51" s="143"/>
      <c r="IB51" s="143"/>
      <c r="IC51" s="143"/>
      <c r="ID51" s="143"/>
      <c r="IE51" s="143"/>
      <c r="IF51" s="143"/>
      <c r="IG51" s="143"/>
      <c r="IH51" s="143"/>
      <c r="II51" s="143"/>
      <c r="IJ51" s="143"/>
      <c r="IK51" s="143"/>
      <c r="IL51" s="143"/>
      <c r="IM51" s="143"/>
      <c r="IN51" s="143"/>
      <c r="IO51" s="143"/>
      <c r="IP51" s="143"/>
      <c r="IQ51" s="143"/>
      <c r="IR51" s="143"/>
      <c r="IS51" s="143"/>
      <c r="IT51" s="143"/>
      <c r="IU51" s="143"/>
      <c r="IV51" s="143"/>
      <c r="IW51" s="143"/>
    </row>
    <row r="52" customFormat="false" ht="12.75" hidden="false" customHeight="false" outlineLevel="0" collapsed="false">
      <c r="A52" s="143"/>
      <c r="B52" s="116" t="s">
        <v>37</v>
      </c>
      <c r="C52" s="114" t="s">
        <v>204</v>
      </c>
      <c r="D52" s="114" t="s">
        <v>31</v>
      </c>
      <c r="E52" s="144" t="n">
        <v>36800</v>
      </c>
      <c r="F52" s="144" t="n">
        <v>37164</v>
      </c>
      <c r="G52" s="116" t="s">
        <v>209</v>
      </c>
      <c r="H52" s="116" t="s">
        <v>268</v>
      </c>
      <c r="I52" s="114" t="s">
        <v>81</v>
      </c>
      <c r="J52" s="84" t="n">
        <f aca="false">6.431/$J$1</f>
        <v>0.207451612903226</v>
      </c>
      <c r="K52" s="145"/>
      <c r="L52" s="145"/>
      <c r="M52" s="145"/>
      <c r="N52" s="145"/>
      <c r="O52" s="146"/>
      <c r="P52" s="145"/>
      <c r="Q52" s="147" t="n">
        <v>69424</v>
      </c>
      <c r="R52" s="114" t="n">
        <v>11</v>
      </c>
      <c r="S52" s="116" t="s">
        <v>272</v>
      </c>
      <c r="T52" s="89" t="n">
        <f aca="false">J52*J$1*R52</f>
        <v>70.741</v>
      </c>
      <c r="U52" s="121" t="n">
        <v>418221</v>
      </c>
      <c r="V52" s="116"/>
      <c r="W52" s="122"/>
      <c r="X52" s="122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3"/>
      <c r="BQ52" s="143"/>
      <c r="BR52" s="143"/>
      <c r="BS52" s="143"/>
      <c r="BT52" s="143"/>
      <c r="BU52" s="143"/>
      <c r="BV52" s="143"/>
      <c r="BW52" s="143"/>
      <c r="BX52" s="143"/>
      <c r="BY52" s="143"/>
      <c r="BZ52" s="143"/>
      <c r="CA52" s="143"/>
      <c r="CB52" s="143"/>
      <c r="CC52" s="143"/>
      <c r="CD52" s="143"/>
      <c r="CE52" s="143"/>
      <c r="CF52" s="143"/>
      <c r="CG52" s="143"/>
      <c r="CH52" s="143"/>
      <c r="CI52" s="143"/>
      <c r="CJ52" s="143"/>
      <c r="CK52" s="143"/>
      <c r="CL52" s="143"/>
      <c r="CM52" s="143"/>
      <c r="CN52" s="143"/>
      <c r="CO52" s="143"/>
      <c r="CP52" s="143"/>
      <c r="CQ52" s="143"/>
      <c r="CR52" s="143"/>
      <c r="CS52" s="143"/>
      <c r="CT52" s="143"/>
      <c r="CU52" s="143"/>
      <c r="CV52" s="143"/>
      <c r="CW52" s="143"/>
      <c r="CX52" s="143"/>
      <c r="CY52" s="143"/>
      <c r="CZ52" s="143"/>
      <c r="DA52" s="143"/>
      <c r="DB52" s="143"/>
      <c r="DC52" s="143"/>
      <c r="DD52" s="143"/>
      <c r="DE52" s="143"/>
      <c r="DF52" s="143"/>
      <c r="DG52" s="143"/>
      <c r="DH52" s="143"/>
      <c r="DI52" s="143"/>
      <c r="DJ52" s="143"/>
      <c r="DK52" s="143"/>
      <c r="DL52" s="143"/>
      <c r="DM52" s="143"/>
      <c r="DN52" s="143"/>
      <c r="DO52" s="143"/>
      <c r="DP52" s="143"/>
      <c r="DQ52" s="143"/>
      <c r="DR52" s="143"/>
      <c r="DS52" s="143"/>
      <c r="DT52" s="143"/>
      <c r="DU52" s="143"/>
      <c r="DV52" s="143"/>
      <c r="DW52" s="143"/>
      <c r="DX52" s="143"/>
      <c r="DY52" s="143"/>
      <c r="DZ52" s="143"/>
      <c r="EA52" s="143"/>
      <c r="EB52" s="143"/>
      <c r="EC52" s="143"/>
      <c r="ED52" s="143"/>
      <c r="EE52" s="143"/>
      <c r="EF52" s="143"/>
      <c r="EG52" s="143"/>
      <c r="EH52" s="143"/>
      <c r="EI52" s="143"/>
      <c r="EJ52" s="143"/>
      <c r="EK52" s="143"/>
      <c r="EL52" s="143"/>
      <c r="EM52" s="143"/>
      <c r="EN52" s="143"/>
      <c r="EO52" s="143"/>
      <c r="EP52" s="143"/>
      <c r="EQ52" s="143"/>
      <c r="ER52" s="143"/>
      <c r="ES52" s="143"/>
      <c r="ET52" s="143"/>
      <c r="EU52" s="143"/>
      <c r="EV52" s="143"/>
      <c r="EW52" s="143"/>
      <c r="EX52" s="143"/>
      <c r="EY52" s="143"/>
      <c r="EZ52" s="143"/>
      <c r="FA52" s="143"/>
      <c r="FB52" s="143"/>
      <c r="FC52" s="143"/>
      <c r="FD52" s="143"/>
      <c r="FE52" s="143"/>
      <c r="FF52" s="143"/>
      <c r="FG52" s="143"/>
      <c r="FH52" s="143"/>
      <c r="FI52" s="143"/>
      <c r="FJ52" s="143"/>
      <c r="FK52" s="143"/>
      <c r="FL52" s="143"/>
      <c r="FM52" s="143"/>
      <c r="FN52" s="143"/>
      <c r="FO52" s="143"/>
      <c r="FP52" s="143"/>
      <c r="FQ52" s="143"/>
      <c r="FR52" s="143"/>
      <c r="FS52" s="143"/>
      <c r="FT52" s="143"/>
      <c r="FU52" s="143"/>
      <c r="FV52" s="143"/>
      <c r="FW52" s="143"/>
      <c r="FX52" s="143"/>
      <c r="FY52" s="143"/>
      <c r="FZ52" s="143"/>
      <c r="GA52" s="143"/>
      <c r="GB52" s="143"/>
      <c r="GC52" s="143"/>
      <c r="GD52" s="143"/>
      <c r="GE52" s="143"/>
      <c r="GF52" s="143"/>
      <c r="GG52" s="143"/>
      <c r="GH52" s="143"/>
      <c r="GI52" s="143"/>
      <c r="GJ52" s="143"/>
      <c r="GK52" s="143"/>
      <c r="GL52" s="143"/>
      <c r="GM52" s="143"/>
      <c r="GN52" s="143"/>
      <c r="GO52" s="143"/>
      <c r="GP52" s="143"/>
      <c r="GQ52" s="143"/>
      <c r="GR52" s="143"/>
      <c r="GS52" s="143"/>
      <c r="GT52" s="143"/>
      <c r="GU52" s="143"/>
      <c r="GV52" s="143"/>
      <c r="GW52" s="143"/>
      <c r="GX52" s="143"/>
      <c r="GY52" s="143"/>
      <c r="GZ52" s="143"/>
      <c r="HA52" s="143"/>
      <c r="HB52" s="143"/>
      <c r="HC52" s="143"/>
      <c r="HD52" s="143"/>
      <c r="HE52" s="143"/>
      <c r="HF52" s="143"/>
      <c r="HG52" s="143"/>
      <c r="HH52" s="143"/>
      <c r="HI52" s="143"/>
      <c r="HJ52" s="143"/>
      <c r="HK52" s="143"/>
      <c r="HL52" s="143"/>
      <c r="HM52" s="143"/>
      <c r="HN52" s="143"/>
      <c r="HO52" s="143"/>
      <c r="HP52" s="143"/>
      <c r="HQ52" s="143"/>
      <c r="HR52" s="143"/>
      <c r="HS52" s="143"/>
      <c r="HT52" s="143"/>
      <c r="HU52" s="143"/>
      <c r="HV52" s="143"/>
      <c r="HW52" s="143"/>
      <c r="HX52" s="143"/>
      <c r="HY52" s="143"/>
      <c r="HZ52" s="143"/>
      <c r="IA52" s="143"/>
      <c r="IB52" s="143"/>
      <c r="IC52" s="143"/>
      <c r="ID52" s="143"/>
      <c r="IE52" s="143"/>
      <c r="IF52" s="143"/>
      <c r="IG52" s="143"/>
      <c r="IH52" s="143"/>
      <c r="II52" s="143"/>
      <c r="IJ52" s="143"/>
      <c r="IK52" s="143"/>
      <c r="IL52" s="143"/>
      <c r="IM52" s="143"/>
      <c r="IN52" s="143"/>
      <c r="IO52" s="143"/>
      <c r="IP52" s="143"/>
      <c r="IQ52" s="143"/>
      <c r="IR52" s="143"/>
      <c r="IS52" s="143"/>
      <c r="IT52" s="143"/>
      <c r="IU52" s="143"/>
      <c r="IV52" s="143"/>
      <c r="IW52" s="143"/>
    </row>
    <row r="53" customFormat="false" ht="12.75" hidden="false" customHeight="false" outlineLevel="0" collapsed="false">
      <c r="A53" s="80"/>
      <c r="B53" s="81" t="s">
        <v>37</v>
      </c>
      <c r="C53" s="82" t="s">
        <v>204</v>
      </c>
      <c r="D53" s="82" t="s">
        <v>80</v>
      </c>
      <c r="E53" s="83" t="n">
        <v>36831</v>
      </c>
      <c r="F53" s="83" t="n">
        <v>37195</v>
      </c>
      <c r="G53" s="81" t="s">
        <v>273</v>
      </c>
      <c r="H53" s="81" t="s">
        <v>247</v>
      </c>
      <c r="I53" s="82" t="s">
        <v>81</v>
      </c>
      <c r="J53" s="84" t="n">
        <f aca="false">5.171/J$1</f>
        <v>0.166806451612903</v>
      </c>
      <c r="K53" s="85" t="n">
        <v>0.0132</v>
      </c>
      <c r="L53" s="85" t="n">
        <v>0.0022</v>
      </c>
      <c r="M53" s="85" t="n">
        <v>0.0075</v>
      </c>
      <c r="N53" s="85" t="n">
        <v>0</v>
      </c>
      <c r="O53" s="86" t="n">
        <v>0.02116</v>
      </c>
      <c r="P53" s="85" t="n">
        <f aca="false">SUM(J53:N53)</f>
        <v>0.189706451612903</v>
      </c>
      <c r="Q53" s="87" t="n">
        <v>69693</v>
      </c>
      <c r="R53" s="82" t="n">
        <v>1600</v>
      </c>
      <c r="S53" s="81" t="s">
        <v>274</v>
      </c>
      <c r="T53" s="89" t="n">
        <f aca="false">J53*J$1*R53</f>
        <v>8273.6</v>
      </c>
      <c r="U53" s="90" t="s">
        <v>275</v>
      </c>
      <c r="V53" s="89"/>
      <c r="W53" s="91"/>
      <c r="X53" s="91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0"/>
      <c r="CA53" s="80"/>
      <c r="CB53" s="80"/>
      <c r="CC53" s="80"/>
      <c r="CD53" s="80"/>
      <c r="CE53" s="80"/>
      <c r="CF53" s="80"/>
      <c r="CG53" s="80"/>
      <c r="CH53" s="80"/>
      <c r="CI53" s="80"/>
      <c r="CJ53" s="80"/>
      <c r="CK53" s="80"/>
      <c r="CL53" s="80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  <c r="DL53" s="80"/>
      <c r="DM53" s="80"/>
      <c r="DN53" s="80"/>
      <c r="DO53" s="80"/>
      <c r="DP53" s="80"/>
      <c r="DQ53" s="80"/>
      <c r="DR53" s="80"/>
      <c r="DS53" s="80"/>
      <c r="DT53" s="80"/>
      <c r="DU53" s="80"/>
      <c r="DV53" s="80"/>
      <c r="DW53" s="80"/>
      <c r="DX53" s="80"/>
      <c r="DY53" s="80"/>
      <c r="DZ53" s="80"/>
      <c r="EA53" s="80"/>
      <c r="EB53" s="80"/>
      <c r="EC53" s="80"/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0"/>
      <c r="EO53" s="80"/>
      <c r="EP53" s="80"/>
      <c r="EQ53" s="80"/>
      <c r="ER53" s="80"/>
      <c r="ES53" s="80"/>
      <c r="ET53" s="80"/>
      <c r="EU53" s="80"/>
      <c r="EV53" s="80"/>
      <c r="EW53" s="80"/>
      <c r="EX53" s="80"/>
      <c r="EY53" s="80"/>
      <c r="EZ53" s="80"/>
      <c r="FA53" s="80"/>
      <c r="FB53" s="80"/>
      <c r="FC53" s="80"/>
      <c r="FD53" s="80"/>
      <c r="FE53" s="80"/>
      <c r="FF53" s="80"/>
      <c r="FG53" s="80"/>
      <c r="FH53" s="80"/>
      <c r="FI53" s="80"/>
      <c r="FJ53" s="80"/>
      <c r="FK53" s="80"/>
      <c r="FL53" s="80"/>
      <c r="FM53" s="80"/>
      <c r="FN53" s="80"/>
      <c r="FO53" s="80"/>
      <c r="FP53" s="80"/>
      <c r="FQ53" s="80"/>
      <c r="FR53" s="80"/>
      <c r="FS53" s="80"/>
      <c r="FT53" s="80"/>
      <c r="FU53" s="80"/>
      <c r="FV53" s="80"/>
      <c r="FW53" s="80"/>
      <c r="FX53" s="80"/>
      <c r="FY53" s="80"/>
      <c r="FZ53" s="80"/>
      <c r="GA53" s="80"/>
      <c r="GB53" s="80"/>
      <c r="GC53" s="80"/>
      <c r="GD53" s="80"/>
      <c r="GE53" s="80"/>
      <c r="GF53" s="80"/>
      <c r="GG53" s="80"/>
      <c r="GH53" s="80"/>
      <c r="GI53" s="80"/>
      <c r="GJ53" s="80"/>
      <c r="GK53" s="80"/>
      <c r="GL53" s="80"/>
      <c r="GM53" s="80"/>
      <c r="GN53" s="80"/>
      <c r="GO53" s="80"/>
      <c r="GP53" s="80"/>
      <c r="GQ53" s="80"/>
      <c r="GR53" s="80"/>
      <c r="GS53" s="80"/>
      <c r="GT53" s="80"/>
      <c r="GU53" s="80"/>
      <c r="GV53" s="80"/>
      <c r="GW53" s="80"/>
      <c r="GX53" s="80"/>
      <c r="GY53" s="80"/>
      <c r="GZ53" s="80"/>
      <c r="HA53" s="80"/>
      <c r="HB53" s="80"/>
      <c r="HC53" s="80"/>
      <c r="HD53" s="80"/>
      <c r="HE53" s="80"/>
      <c r="HF53" s="80"/>
      <c r="HG53" s="80"/>
      <c r="HH53" s="80"/>
      <c r="HI53" s="80"/>
      <c r="HJ53" s="80"/>
      <c r="HK53" s="80"/>
      <c r="HL53" s="80"/>
      <c r="HM53" s="80"/>
      <c r="HN53" s="80"/>
      <c r="HO53" s="80"/>
      <c r="HP53" s="80"/>
      <c r="HQ53" s="80"/>
      <c r="HR53" s="80"/>
      <c r="HS53" s="80"/>
      <c r="HT53" s="80"/>
      <c r="HU53" s="80"/>
      <c r="HV53" s="80"/>
      <c r="HW53" s="80"/>
      <c r="HX53" s="80"/>
      <c r="HY53" s="80"/>
      <c r="HZ53" s="80"/>
      <c r="IA53" s="80"/>
      <c r="IB53" s="80"/>
      <c r="IC53" s="80"/>
      <c r="ID53" s="80"/>
      <c r="IE53" s="80"/>
      <c r="IF53" s="80"/>
      <c r="IG53" s="80"/>
      <c r="IH53" s="80"/>
      <c r="II53" s="80"/>
      <c r="IJ53" s="80"/>
      <c r="IK53" s="80"/>
      <c r="IL53" s="80"/>
      <c r="IM53" s="80"/>
      <c r="IN53" s="80"/>
      <c r="IO53" s="80"/>
      <c r="IP53" s="80"/>
      <c r="IQ53" s="80"/>
      <c r="IR53" s="80"/>
      <c r="IS53" s="80"/>
      <c r="IT53" s="80"/>
      <c r="IU53" s="80"/>
      <c r="IV53" s="80"/>
      <c r="IW53" s="80"/>
    </row>
    <row r="54" customFormat="false" ht="12.75" hidden="false" customHeight="false" outlineLevel="0" collapsed="false">
      <c r="A54" s="80"/>
      <c r="B54" s="81" t="s">
        <v>37</v>
      </c>
      <c r="C54" s="82" t="s">
        <v>204</v>
      </c>
      <c r="D54" s="82" t="s">
        <v>276</v>
      </c>
      <c r="E54" s="83" t="n">
        <v>36831</v>
      </c>
      <c r="F54" s="83" t="n">
        <v>37195</v>
      </c>
      <c r="G54" s="81" t="s">
        <v>277</v>
      </c>
      <c r="H54" s="81" t="s">
        <v>278</v>
      </c>
      <c r="I54" s="82" t="s">
        <v>81</v>
      </c>
      <c r="J54" s="84" t="n">
        <f aca="false">6.431/J$1</f>
        <v>0.207451612903226</v>
      </c>
      <c r="K54" s="85" t="n">
        <v>0.0132</v>
      </c>
      <c r="L54" s="85" t="n">
        <v>0.0022</v>
      </c>
      <c r="M54" s="85" t="n">
        <v>0.0072</v>
      </c>
      <c r="N54" s="85" t="n">
        <v>0</v>
      </c>
      <c r="O54" s="86" t="n">
        <v>0.02116</v>
      </c>
      <c r="P54" s="85" t="n">
        <f aca="false">SUM(J54:N54)</f>
        <v>0.230051612903226</v>
      </c>
      <c r="Q54" s="87" t="n">
        <v>69707</v>
      </c>
      <c r="R54" s="82" t="n">
        <v>4018</v>
      </c>
      <c r="S54" s="81" t="s">
        <v>279</v>
      </c>
      <c r="T54" s="89" t="n">
        <f aca="false">J54*J$1*R54</f>
        <v>25839.758</v>
      </c>
      <c r="U54" s="90" t="s">
        <v>280</v>
      </c>
      <c r="V54" s="81"/>
      <c r="W54" s="91"/>
      <c r="X54" s="91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0"/>
      <c r="CA54" s="80"/>
      <c r="CB54" s="80"/>
      <c r="CC54" s="80"/>
      <c r="CD54" s="80"/>
      <c r="CE54" s="80"/>
      <c r="CF54" s="80"/>
      <c r="CG54" s="80"/>
      <c r="CH54" s="80"/>
      <c r="CI54" s="80"/>
      <c r="CJ54" s="80"/>
      <c r="CK54" s="80"/>
      <c r="CL54" s="80"/>
      <c r="CM54" s="80"/>
      <c r="CN54" s="80"/>
      <c r="CO54" s="80"/>
      <c r="CP54" s="80"/>
      <c r="CQ54" s="80"/>
      <c r="CR54" s="80"/>
      <c r="CS54" s="80"/>
      <c r="CT54" s="80"/>
      <c r="CU54" s="80"/>
      <c r="CV54" s="80"/>
      <c r="CW54" s="80"/>
      <c r="CX54" s="80"/>
      <c r="CY54" s="80"/>
      <c r="CZ54" s="80"/>
      <c r="DA54" s="80"/>
      <c r="DB54" s="80"/>
      <c r="DC54" s="80"/>
      <c r="DD54" s="80"/>
      <c r="DE54" s="80"/>
      <c r="DF54" s="80"/>
      <c r="DG54" s="80"/>
      <c r="DH54" s="80"/>
      <c r="DI54" s="80"/>
      <c r="DJ54" s="80"/>
      <c r="DK54" s="80"/>
      <c r="DL54" s="80"/>
      <c r="DM54" s="80"/>
      <c r="DN54" s="80"/>
      <c r="DO54" s="80"/>
      <c r="DP54" s="80"/>
      <c r="DQ54" s="80"/>
      <c r="DR54" s="80"/>
      <c r="DS54" s="80"/>
      <c r="DT54" s="80"/>
      <c r="DU54" s="80"/>
      <c r="DV54" s="80"/>
      <c r="DW54" s="80"/>
      <c r="DX54" s="80"/>
      <c r="DY54" s="80"/>
      <c r="DZ54" s="80"/>
      <c r="EA54" s="80"/>
      <c r="EB54" s="80"/>
      <c r="EC54" s="80"/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0"/>
      <c r="EO54" s="80"/>
      <c r="EP54" s="80"/>
      <c r="EQ54" s="80"/>
      <c r="ER54" s="80"/>
      <c r="ES54" s="80"/>
      <c r="ET54" s="80"/>
      <c r="EU54" s="80"/>
      <c r="EV54" s="80"/>
      <c r="EW54" s="80"/>
      <c r="EX54" s="80"/>
      <c r="EY54" s="80"/>
      <c r="EZ54" s="80"/>
      <c r="FA54" s="80"/>
      <c r="FB54" s="80"/>
      <c r="FC54" s="80"/>
      <c r="FD54" s="80"/>
      <c r="FE54" s="80"/>
      <c r="FF54" s="80"/>
      <c r="FG54" s="80"/>
      <c r="FH54" s="80"/>
      <c r="FI54" s="80"/>
      <c r="FJ54" s="80"/>
      <c r="FK54" s="80"/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80"/>
      <c r="GK54" s="80"/>
      <c r="GL54" s="80"/>
      <c r="GM54" s="80"/>
      <c r="GN54" s="80"/>
      <c r="GO54" s="80"/>
      <c r="GP54" s="80"/>
      <c r="GQ54" s="80"/>
      <c r="GR54" s="80"/>
      <c r="GS54" s="80"/>
      <c r="GT54" s="80"/>
      <c r="GU54" s="80"/>
      <c r="GV54" s="80"/>
      <c r="GW54" s="80"/>
      <c r="GX54" s="80"/>
      <c r="GY54" s="80"/>
      <c r="GZ54" s="80"/>
      <c r="HA54" s="80"/>
      <c r="HB54" s="80"/>
      <c r="HC54" s="80"/>
      <c r="HD54" s="80"/>
      <c r="HE54" s="80"/>
      <c r="HF54" s="80"/>
      <c r="HG54" s="80"/>
      <c r="HH54" s="80"/>
      <c r="HI54" s="80"/>
      <c r="HJ54" s="80"/>
      <c r="HK54" s="80"/>
      <c r="HL54" s="80"/>
      <c r="HM54" s="80"/>
      <c r="HN54" s="80"/>
      <c r="HO54" s="80"/>
      <c r="HP54" s="80"/>
      <c r="HQ54" s="80"/>
      <c r="HR54" s="80"/>
      <c r="HS54" s="80"/>
      <c r="HT54" s="80"/>
      <c r="HU54" s="80"/>
      <c r="HV54" s="80"/>
      <c r="HW54" s="80"/>
      <c r="HX54" s="80"/>
      <c r="HY54" s="80"/>
      <c r="HZ54" s="80"/>
      <c r="IA54" s="80"/>
      <c r="IB54" s="80"/>
      <c r="IC54" s="80"/>
      <c r="ID54" s="80"/>
      <c r="IE54" s="80"/>
      <c r="IF54" s="80"/>
      <c r="IG54" s="80"/>
      <c r="IH54" s="80"/>
      <c r="II54" s="80"/>
      <c r="IJ54" s="80"/>
      <c r="IK54" s="80"/>
      <c r="IL54" s="80"/>
      <c r="IM54" s="80"/>
      <c r="IN54" s="80"/>
      <c r="IO54" s="80"/>
      <c r="IP54" s="80"/>
      <c r="IQ54" s="80"/>
      <c r="IR54" s="80"/>
      <c r="IS54" s="80"/>
      <c r="IT54" s="80"/>
      <c r="IU54" s="80"/>
      <c r="IV54" s="80"/>
      <c r="IW54" s="80"/>
    </row>
    <row r="55" customFormat="false" ht="12.75" hidden="false" customHeight="false" outlineLevel="0" collapsed="false">
      <c r="A55" s="80"/>
      <c r="B55" s="81" t="s">
        <v>37</v>
      </c>
      <c r="C55" s="82" t="s">
        <v>204</v>
      </c>
      <c r="D55" s="82" t="s">
        <v>276</v>
      </c>
      <c r="E55" s="83" t="n">
        <v>36831</v>
      </c>
      <c r="F55" s="83" t="n">
        <v>37195</v>
      </c>
      <c r="G55" s="81" t="s">
        <v>235</v>
      </c>
      <c r="H55" s="81" t="s">
        <v>281</v>
      </c>
      <c r="I55" s="82" t="s">
        <v>81</v>
      </c>
      <c r="J55" s="84" t="n">
        <f aca="false">6.431/J$1</f>
        <v>0.207451612903226</v>
      </c>
      <c r="K55" s="85" t="n">
        <v>0.0132</v>
      </c>
      <c r="L55" s="85" t="n">
        <v>0.0022</v>
      </c>
      <c r="M55" s="85" t="n">
        <v>0.0072</v>
      </c>
      <c r="N55" s="85" t="n">
        <v>0</v>
      </c>
      <c r="O55" s="86" t="n">
        <v>0.02116</v>
      </c>
      <c r="P55" s="85" t="n">
        <f aca="false">SUM(J55:N55)</f>
        <v>0.230051612903226</v>
      </c>
      <c r="Q55" s="87" t="n">
        <v>69708</v>
      </c>
      <c r="R55" s="82" t="n">
        <v>2759</v>
      </c>
      <c r="S55" s="81" t="s">
        <v>282</v>
      </c>
      <c r="T55" s="89" t="n">
        <f aca="false">J55*J$1*R55</f>
        <v>17743.129</v>
      </c>
      <c r="U55" s="90" t="s">
        <v>283</v>
      </c>
      <c r="V55" s="81"/>
      <c r="W55" s="91"/>
      <c r="X55" s="91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0"/>
      <c r="CA55" s="80"/>
      <c r="CB55" s="80"/>
      <c r="CC55" s="80"/>
      <c r="CD55" s="80"/>
      <c r="CE55" s="80"/>
      <c r="CF55" s="80"/>
      <c r="CG55" s="80"/>
      <c r="CH55" s="80"/>
      <c r="CI55" s="80"/>
      <c r="CJ55" s="80"/>
      <c r="CK55" s="80"/>
      <c r="CL55" s="80"/>
      <c r="CM55" s="80"/>
      <c r="CN55" s="80"/>
      <c r="CO55" s="80"/>
      <c r="CP55" s="80"/>
      <c r="CQ55" s="80"/>
      <c r="CR55" s="80"/>
      <c r="CS55" s="80"/>
      <c r="CT55" s="80"/>
      <c r="CU55" s="80"/>
      <c r="CV55" s="80"/>
      <c r="CW55" s="80"/>
      <c r="CX55" s="80"/>
      <c r="CY55" s="80"/>
      <c r="CZ55" s="80"/>
      <c r="DA55" s="80"/>
      <c r="DB55" s="80"/>
      <c r="DC55" s="80"/>
      <c r="DD55" s="80"/>
      <c r="DE55" s="80"/>
      <c r="DF55" s="80"/>
      <c r="DG55" s="80"/>
      <c r="DH55" s="80"/>
      <c r="DI55" s="80"/>
      <c r="DJ55" s="80"/>
      <c r="DK55" s="80"/>
      <c r="DL55" s="80"/>
      <c r="DM55" s="80"/>
      <c r="DN55" s="80"/>
      <c r="DO55" s="80"/>
      <c r="DP55" s="80"/>
      <c r="DQ55" s="80"/>
      <c r="DR55" s="80"/>
      <c r="DS55" s="80"/>
      <c r="DT55" s="80"/>
      <c r="DU55" s="80"/>
      <c r="DV55" s="80"/>
      <c r="DW55" s="80"/>
      <c r="DX55" s="80"/>
      <c r="DY55" s="80"/>
      <c r="DZ55" s="80"/>
      <c r="EA55" s="80"/>
      <c r="EB55" s="80"/>
      <c r="EC55" s="80"/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0"/>
      <c r="EO55" s="80"/>
      <c r="EP55" s="80"/>
      <c r="EQ55" s="80"/>
      <c r="ER55" s="80"/>
      <c r="ES55" s="80"/>
      <c r="ET55" s="80"/>
      <c r="EU55" s="80"/>
      <c r="EV55" s="80"/>
      <c r="EW55" s="80"/>
      <c r="EX55" s="80"/>
      <c r="EY55" s="80"/>
      <c r="EZ55" s="80"/>
      <c r="FA55" s="80"/>
      <c r="FB55" s="80"/>
      <c r="FC55" s="80"/>
      <c r="FD55" s="80"/>
      <c r="FE55" s="80"/>
      <c r="FF55" s="80"/>
      <c r="FG55" s="80"/>
      <c r="FH55" s="80"/>
      <c r="FI55" s="80"/>
      <c r="FJ55" s="80"/>
      <c r="FK55" s="80"/>
      <c r="FL55" s="80"/>
      <c r="FM55" s="80"/>
      <c r="FN55" s="80"/>
      <c r="FO55" s="80"/>
      <c r="FP55" s="80"/>
      <c r="FQ55" s="80"/>
      <c r="FR55" s="80"/>
      <c r="FS55" s="80"/>
      <c r="FT55" s="80"/>
      <c r="FU55" s="80"/>
      <c r="FV55" s="80"/>
      <c r="FW55" s="80"/>
      <c r="FX55" s="80"/>
      <c r="FY55" s="80"/>
      <c r="FZ55" s="80"/>
      <c r="GA55" s="80"/>
      <c r="GB55" s="80"/>
      <c r="GC55" s="80"/>
      <c r="GD55" s="80"/>
      <c r="GE55" s="80"/>
      <c r="GF55" s="80"/>
      <c r="GG55" s="80"/>
      <c r="GH55" s="80"/>
      <c r="GI55" s="80"/>
      <c r="GJ55" s="80"/>
      <c r="GK55" s="80"/>
      <c r="GL55" s="80"/>
      <c r="GM55" s="80"/>
      <c r="GN55" s="80"/>
      <c r="GO55" s="80"/>
      <c r="GP55" s="80"/>
      <c r="GQ55" s="80"/>
      <c r="GR55" s="80"/>
      <c r="GS55" s="80"/>
      <c r="GT55" s="80"/>
      <c r="GU55" s="80"/>
      <c r="GV55" s="80"/>
      <c r="GW55" s="80"/>
      <c r="GX55" s="80"/>
      <c r="GY55" s="80"/>
      <c r="GZ55" s="80"/>
      <c r="HA55" s="80"/>
      <c r="HB55" s="80"/>
      <c r="HC55" s="80"/>
      <c r="HD55" s="80"/>
      <c r="HE55" s="80"/>
      <c r="HF55" s="80"/>
      <c r="HG55" s="80"/>
      <c r="HH55" s="80"/>
      <c r="HI55" s="80"/>
      <c r="HJ55" s="80"/>
      <c r="HK55" s="80"/>
      <c r="HL55" s="80"/>
      <c r="HM55" s="80"/>
      <c r="HN55" s="80"/>
      <c r="HO55" s="80"/>
      <c r="HP55" s="80"/>
      <c r="HQ55" s="80"/>
      <c r="HR55" s="80"/>
      <c r="HS55" s="80"/>
      <c r="HT55" s="80"/>
      <c r="HU55" s="80"/>
      <c r="HV55" s="80"/>
      <c r="HW55" s="80"/>
      <c r="HX55" s="80"/>
      <c r="HY55" s="80"/>
      <c r="HZ55" s="80"/>
      <c r="IA55" s="80"/>
      <c r="IB55" s="80"/>
      <c r="IC55" s="80"/>
      <c r="ID55" s="80"/>
      <c r="IE55" s="80"/>
      <c r="IF55" s="80"/>
      <c r="IG55" s="80"/>
      <c r="IH55" s="80"/>
      <c r="II55" s="80"/>
      <c r="IJ55" s="80"/>
      <c r="IK55" s="80"/>
      <c r="IL55" s="80"/>
      <c r="IM55" s="80"/>
      <c r="IN55" s="80"/>
      <c r="IO55" s="80"/>
      <c r="IP55" s="80"/>
      <c r="IQ55" s="80"/>
      <c r="IR55" s="80"/>
      <c r="IS55" s="80"/>
      <c r="IT55" s="80"/>
      <c r="IU55" s="80"/>
      <c r="IV55" s="80"/>
      <c r="IW55" s="80"/>
    </row>
    <row r="56" customFormat="false" ht="12.75" hidden="false" customHeight="false" outlineLevel="0" collapsed="false">
      <c r="A56" s="80"/>
      <c r="B56" s="81" t="s">
        <v>37</v>
      </c>
      <c r="C56" s="82" t="s">
        <v>204</v>
      </c>
      <c r="D56" s="82" t="s">
        <v>276</v>
      </c>
      <c r="E56" s="83" t="n">
        <v>36831</v>
      </c>
      <c r="F56" s="83" t="n">
        <v>37195</v>
      </c>
      <c r="G56" s="81" t="s">
        <v>220</v>
      </c>
      <c r="H56" s="81" t="s">
        <v>281</v>
      </c>
      <c r="I56" s="82" t="s">
        <v>81</v>
      </c>
      <c r="J56" s="84" t="n">
        <f aca="false">6.431/J$1</f>
        <v>0.207451612903226</v>
      </c>
      <c r="K56" s="85" t="n">
        <v>0.0132</v>
      </c>
      <c r="L56" s="85" t="n">
        <v>0.0022</v>
      </c>
      <c r="M56" s="85" t="n">
        <v>0.0072</v>
      </c>
      <c r="N56" s="85" t="n">
        <v>0</v>
      </c>
      <c r="O56" s="86" t="n">
        <v>0.02116</v>
      </c>
      <c r="P56" s="85" t="n">
        <f aca="false">SUM(J56:N56)</f>
        <v>0.230051612903226</v>
      </c>
      <c r="Q56" s="87" t="n">
        <v>69708</v>
      </c>
      <c r="R56" s="82" t="n">
        <v>2795</v>
      </c>
      <c r="S56" s="81" t="s">
        <v>282</v>
      </c>
      <c r="T56" s="89" t="n">
        <f aca="false">J56*J$1*R56</f>
        <v>17974.645</v>
      </c>
      <c r="U56" s="90" t="s">
        <v>283</v>
      </c>
      <c r="V56" s="81"/>
      <c r="W56" s="91"/>
      <c r="X56" s="91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  <c r="DL56" s="80"/>
      <c r="DM56" s="80"/>
      <c r="DN56" s="80"/>
      <c r="DO56" s="80"/>
      <c r="DP56" s="80"/>
      <c r="DQ56" s="80"/>
      <c r="DR56" s="80"/>
      <c r="DS56" s="80"/>
      <c r="DT56" s="80"/>
      <c r="DU56" s="80"/>
      <c r="DV56" s="80"/>
      <c r="DW56" s="80"/>
      <c r="DX56" s="80"/>
      <c r="DY56" s="80"/>
      <c r="DZ56" s="80"/>
      <c r="EA56" s="80"/>
      <c r="EB56" s="80"/>
      <c r="EC56" s="80"/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0"/>
      <c r="EO56" s="80"/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0"/>
      <c r="FF56" s="80"/>
      <c r="FG56" s="80"/>
      <c r="FH56" s="80"/>
      <c r="FI56" s="80"/>
      <c r="FJ56" s="80"/>
      <c r="FK56" s="80"/>
      <c r="FL56" s="80"/>
      <c r="FM56" s="80"/>
      <c r="FN56" s="80"/>
      <c r="FO56" s="80"/>
      <c r="FP56" s="80"/>
      <c r="FQ56" s="80"/>
      <c r="FR56" s="80"/>
      <c r="FS56" s="80"/>
      <c r="FT56" s="80"/>
      <c r="FU56" s="80"/>
      <c r="FV56" s="80"/>
      <c r="FW56" s="80"/>
      <c r="FX56" s="80"/>
      <c r="FY56" s="80"/>
      <c r="FZ56" s="80"/>
      <c r="GA56" s="80"/>
      <c r="GB56" s="80"/>
      <c r="GC56" s="80"/>
      <c r="GD56" s="80"/>
      <c r="GE56" s="80"/>
      <c r="GF56" s="80"/>
      <c r="GG56" s="80"/>
      <c r="GH56" s="80"/>
      <c r="GI56" s="80"/>
      <c r="GJ56" s="80"/>
      <c r="GK56" s="80"/>
      <c r="GL56" s="80"/>
      <c r="GM56" s="80"/>
      <c r="GN56" s="80"/>
      <c r="GO56" s="80"/>
      <c r="GP56" s="80"/>
      <c r="GQ56" s="80"/>
      <c r="GR56" s="80"/>
      <c r="GS56" s="80"/>
      <c r="GT56" s="80"/>
      <c r="GU56" s="80"/>
      <c r="GV56" s="80"/>
      <c r="GW56" s="80"/>
      <c r="GX56" s="80"/>
      <c r="GY56" s="80"/>
      <c r="GZ56" s="80"/>
      <c r="HA56" s="80"/>
      <c r="HB56" s="80"/>
      <c r="HC56" s="80"/>
      <c r="HD56" s="80"/>
      <c r="HE56" s="80"/>
      <c r="HF56" s="80"/>
      <c r="HG56" s="80"/>
      <c r="HH56" s="80"/>
      <c r="HI56" s="80"/>
      <c r="HJ56" s="80"/>
      <c r="HK56" s="80"/>
      <c r="HL56" s="80"/>
      <c r="HM56" s="80"/>
      <c r="HN56" s="80"/>
      <c r="HO56" s="80"/>
      <c r="HP56" s="80"/>
      <c r="HQ56" s="80"/>
      <c r="HR56" s="80"/>
      <c r="HS56" s="80"/>
      <c r="HT56" s="80"/>
      <c r="HU56" s="80"/>
      <c r="HV56" s="80"/>
      <c r="HW56" s="80"/>
      <c r="HX56" s="80"/>
      <c r="HY56" s="80"/>
      <c r="HZ56" s="80"/>
      <c r="IA56" s="80"/>
      <c r="IB56" s="80"/>
      <c r="IC56" s="80"/>
      <c r="ID56" s="80"/>
      <c r="IE56" s="80"/>
      <c r="IF56" s="80"/>
      <c r="IG56" s="80"/>
      <c r="IH56" s="80"/>
      <c r="II56" s="80"/>
      <c r="IJ56" s="80"/>
      <c r="IK56" s="80"/>
      <c r="IL56" s="80"/>
      <c r="IM56" s="80"/>
      <c r="IN56" s="80"/>
      <c r="IO56" s="80"/>
      <c r="IP56" s="80"/>
      <c r="IQ56" s="80"/>
      <c r="IR56" s="80"/>
      <c r="IS56" s="80"/>
      <c r="IT56" s="80"/>
      <c r="IU56" s="80"/>
      <c r="IV56" s="80"/>
      <c r="IW56" s="80"/>
    </row>
    <row r="57" customFormat="false" ht="12.75" hidden="false" customHeight="false" outlineLevel="0" collapsed="false">
      <c r="A57" s="80"/>
      <c r="B57" s="81" t="s">
        <v>37</v>
      </c>
      <c r="C57" s="82" t="s">
        <v>204</v>
      </c>
      <c r="D57" s="82" t="s">
        <v>276</v>
      </c>
      <c r="E57" s="83" t="n">
        <v>36831</v>
      </c>
      <c r="F57" s="83" t="n">
        <v>37195</v>
      </c>
      <c r="G57" s="81" t="s">
        <v>284</v>
      </c>
      <c r="H57" s="81" t="s">
        <v>281</v>
      </c>
      <c r="I57" s="82" t="s">
        <v>81</v>
      </c>
      <c r="J57" s="84" t="n">
        <f aca="false">6.431/J$1</f>
        <v>0.207451612903226</v>
      </c>
      <c r="K57" s="85" t="n">
        <v>0.0132</v>
      </c>
      <c r="L57" s="85" t="n">
        <v>0.0022</v>
      </c>
      <c r="M57" s="85" t="n">
        <v>0.0072</v>
      </c>
      <c r="N57" s="85" t="n">
        <v>0</v>
      </c>
      <c r="O57" s="86" t="n">
        <v>0.02116</v>
      </c>
      <c r="P57" s="85" t="n">
        <f aca="false">SUM(J57:N57)</f>
        <v>0.230051612903226</v>
      </c>
      <c r="Q57" s="87" t="n">
        <v>69708</v>
      </c>
      <c r="R57" s="82" t="n">
        <v>3630</v>
      </c>
      <c r="S57" s="81" t="s">
        <v>282</v>
      </c>
      <c r="T57" s="89" t="n">
        <f aca="false">J57*J$1*R57</f>
        <v>23344.53</v>
      </c>
      <c r="U57" s="90" t="s">
        <v>283</v>
      </c>
      <c r="V57" s="81"/>
      <c r="W57" s="91"/>
      <c r="X57" s="91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0"/>
      <c r="CX57" s="80"/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  <c r="DL57" s="80"/>
      <c r="DM57" s="80"/>
      <c r="DN57" s="80"/>
      <c r="DO57" s="80"/>
      <c r="DP57" s="80"/>
      <c r="DQ57" s="80"/>
      <c r="DR57" s="80"/>
      <c r="DS57" s="80"/>
      <c r="DT57" s="80"/>
      <c r="DU57" s="80"/>
      <c r="DV57" s="80"/>
      <c r="DW57" s="80"/>
      <c r="DX57" s="80"/>
      <c r="DY57" s="80"/>
      <c r="DZ57" s="80"/>
      <c r="EA57" s="80"/>
      <c r="EB57" s="80"/>
      <c r="EC57" s="80"/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0"/>
      <c r="EO57" s="80"/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0"/>
      <c r="FF57" s="80"/>
      <c r="FG57" s="80"/>
      <c r="FH57" s="80"/>
      <c r="FI57" s="80"/>
      <c r="FJ57" s="80"/>
      <c r="FK57" s="80"/>
      <c r="FL57" s="80"/>
      <c r="FM57" s="80"/>
      <c r="FN57" s="80"/>
      <c r="FO57" s="80"/>
      <c r="FP57" s="80"/>
      <c r="FQ57" s="80"/>
      <c r="FR57" s="80"/>
      <c r="FS57" s="80"/>
      <c r="FT57" s="80"/>
      <c r="FU57" s="80"/>
      <c r="FV57" s="80"/>
      <c r="FW57" s="80"/>
      <c r="FX57" s="80"/>
      <c r="FY57" s="80"/>
      <c r="FZ57" s="80"/>
      <c r="GA57" s="80"/>
      <c r="GB57" s="80"/>
      <c r="GC57" s="80"/>
      <c r="GD57" s="80"/>
      <c r="GE57" s="80"/>
      <c r="GF57" s="80"/>
      <c r="GG57" s="80"/>
      <c r="GH57" s="80"/>
      <c r="GI57" s="80"/>
      <c r="GJ57" s="80"/>
      <c r="GK57" s="80"/>
      <c r="GL57" s="80"/>
      <c r="GM57" s="80"/>
      <c r="GN57" s="80"/>
      <c r="GO57" s="80"/>
      <c r="GP57" s="80"/>
      <c r="GQ57" s="80"/>
      <c r="GR57" s="80"/>
      <c r="GS57" s="80"/>
      <c r="GT57" s="80"/>
      <c r="GU57" s="80"/>
      <c r="GV57" s="80"/>
      <c r="GW57" s="80"/>
      <c r="GX57" s="80"/>
      <c r="GY57" s="80"/>
      <c r="GZ57" s="80"/>
      <c r="HA57" s="80"/>
      <c r="HB57" s="80"/>
      <c r="HC57" s="80"/>
      <c r="HD57" s="80"/>
      <c r="HE57" s="80"/>
      <c r="HF57" s="80"/>
      <c r="HG57" s="80"/>
      <c r="HH57" s="80"/>
      <c r="HI57" s="80"/>
      <c r="HJ57" s="80"/>
      <c r="HK57" s="80"/>
      <c r="HL57" s="80"/>
      <c r="HM57" s="80"/>
      <c r="HN57" s="80"/>
      <c r="HO57" s="80"/>
      <c r="HP57" s="80"/>
      <c r="HQ57" s="80"/>
      <c r="HR57" s="80"/>
      <c r="HS57" s="80"/>
      <c r="HT57" s="80"/>
      <c r="HU57" s="80"/>
      <c r="HV57" s="80"/>
      <c r="HW57" s="80"/>
      <c r="HX57" s="80"/>
      <c r="HY57" s="80"/>
      <c r="HZ57" s="80"/>
      <c r="IA57" s="80"/>
      <c r="IB57" s="80"/>
      <c r="IC57" s="80"/>
      <c r="ID57" s="80"/>
      <c r="IE57" s="80"/>
      <c r="IF57" s="80"/>
      <c r="IG57" s="80"/>
      <c r="IH57" s="80"/>
      <c r="II57" s="80"/>
      <c r="IJ57" s="80"/>
      <c r="IK57" s="80"/>
      <c r="IL57" s="80"/>
      <c r="IM57" s="80"/>
      <c r="IN57" s="80"/>
      <c r="IO57" s="80"/>
      <c r="IP57" s="80"/>
      <c r="IQ57" s="80"/>
      <c r="IR57" s="80"/>
      <c r="IS57" s="80"/>
      <c r="IT57" s="80"/>
      <c r="IU57" s="80"/>
      <c r="IV57" s="80"/>
      <c r="IW57" s="80"/>
    </row>
    <row r="58" customFormat="false" ht="12.75" hidden="false" customHeight="false" outlineLevel="0" collapsed="false">
      <c r="A58" s="80"/>
      <c r="B58" s="81" t="s">
        <v>37</v>
      </c>
      <c r="C58" s="82" t="s">
        <v>204</v>
      </c>
      <c r="D58" s="82" t="s">
        <v>238</v>
      </c>
      <c r="E58" s="83" t="n">
        <v>36831</v>
      </c>
      <c r="F58" s="83" t="n">
        <v>37195</v>
      </c>
      <c r="G58" s="81" t="s">
        <v>235</v>
      </c>
      <c r="H58" s="81" t="s">
        <v>265</v>
      </c>
      <c r="I58" s="82" t="s">
        <v>81</v>
      </c>
      <c r="J58" s="84" t="n">
        <f aca="false">6.431/J$1</f>
        <v>0.207451612903226</v>
      </c>
      <c r="K58" s="85" t="n">
        <v>0.0132</v>
      </c>
      <c r="L58" s="85" t="n">
        <v>0.0022</v>
      </c>
      <c r="M58" s="85" t="n">
        <v>0.0072</v>
      </c>
      <c r="N58" s="85" t="n">
        <v>0</v>
      </c>
      <c r="O58" s="86" t="n">
        <v>0.02116</v>
      </c>
      <c r="P58" s="85" t="n">
        <f aca="false">SUM(J58:N58)</f>
        <v>0.230051612903226</v>
      </c>
      <c r="Q58" s="87" t="n">
        <v>69709</v>
      </c>
      <c r="R58" s="82" t="n">
        <v>13</v>
      </c>
      <c r="S58" s="81" t="s">
        <v>285</v>
      </c>
      <c r="T58" s="89" t="n">
        <f aca="false">J58*J$1*R58</f>
        <v>83.603</v>
      </c>
      <c r="U58" s="90" t="s">
        <v>286</v>
      </c>
      <c r="V58" s="81"/>
      <c r="W58" s="91"/>
      <c r="X58" s="91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0"/>
      <c r="CA58" s="80"/>
      <c r="CB58" s="80"/>
      <c r="CC58" s="80"/>
      <c r="CD58" s="80"/>
      <c r="CE58" s="80"/>
      <c r="CF58" s="80"/>
      <c r="CG58" s="80"/>
      <c r="CH58" s="80"/>
      <c r="CI58" s="80"/>
      <c r="CJ58" s="80"/>
      <c r="CK58" s="80"/>
      <c r="CL58" s="80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  <c r="DL58" s="80"/>
      <c r="DM58" s="80"/>
      <c r="DN58" s="80"/>
      <c r="DO58" s="80"/>
      <c r="DP58" s="80"/>
      <c r="DQ58" s="80"/>
      <c r="DR58" s="80"/>
      <c r="DS58" s="80"/>
      <c r="DT58" s="80"/>
      <c r="DU58" s="80"/>
      <c r="DV58" s="80"/>
      <c r="DW58" s="80"/>
      <c r="DX58" s="80"/>
      <c r="DY58" s="80"/>
      <c r="DZ58" s="80"/>
      <c r="EA58" s="80"/>
      <c r="EB58" s="80"/>
      <c r="EC58" s="80"/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0"/>
      <c r="EO58" s="80"/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0"/>
      <c r="FF58" s="80"/>
      <c r="FG58" s="80"/>
      <c r="FH58" s="80"/>
      <c r="FI58" s="80"/>
      <c r="FJ58" s="80"/>
      <c r="FK58" s="80"/>
      <c r="FL58" s="80"/>
      <c r="FM58" s="80"/>
      <c r="FN58" s="80"/>
      <c r="FO58" s="80"/>
      <c r="FP58" s="80"/>
      <c r="FQ58" s="80"/>
      <c r="FR58" s="80"/>
      <c r="FS58" s="80"/>
      <c r="FT58" s="80"/>
      <c r="FU58" s="80"/>
      <c r="FV58" s="80"/>
      <c r="FW58" s="80"/>
      <c r="FX58" s="80"/>
      <c r="FY58" s="80"/>
      <c r="FZ58" s="80"/>
      <c r="GA58" s="80"/>
      <c r="GB58" s="80"/>
      <c r="GC58" s="80"/>
      <c r="GD58" s="80"/>
      <c r="GE58" s="80"/>
      <c r="GF58" s="80"/>
      <c r="GG58" s="80"/>
      <c r="GH58" s="80"/>
      <c r="GI58" s="80"/>
      <c r="GJ58" s="80"/>
      <c r="GK58" s="80"/>
      <c r="GL58" s="80"/>
      <c r="GM58" s="80"/>
      <c r="GN58" s="80"/>
      <c r="GO58" s="80"/>
      <c r="GP58" s="80"/>
      <c r="GQ58" s="80"/>
      <c r="GR58" s="80"/>
      <c r="GS58" s="80"/>
      <c r="GT58" s="80"/>
      <c r="GU58" s="80"/>
      <c r="GV58" s="80"/>
      <c r="GW58" s="80"/>
      <c r="GX58" s="80"/>
      <c r="GY58" s="80"/>
      <c r="GZ58" s="80"/>
      <c r="HA58" s="80"/>
      <c r="HB58" s="80"/>
      <c r="HC58" s="80"/>
      <c r="HD58" s="80"/>
      <c r="HE58" s="80"/>
      <c r="HF58" s="80"/>
      <c r="HG58" s="80"/>
      <c r="HH58" s="80"/>
      <c r="HI58" s="80"/>
      <c r="HJ58" s="80"/>
      <c r="HK58" s="80"/>
      <c r="HL58" s="80"/>
      <c r="HM58" s="80"/>
      <c r="HN58" s="80"/>
      <c r="HO58" s="80"/>
      <c r="HP58" s="80"/>
      <c r="HQ58" s="80"/>
      <c r="HR58" s="80"/>
      <c r="HS58" s="80"/>
      <c r="HT58" s="80"/>
      <c r="HU58" s="80"/>
      <c r="HV58" s="80"/>
      <c r="HW58" s="80"/>
      <c r="HX58" s="80"/>
      <c r="HY58" s="80"/>
      <c r="HZ58" s="80"/>
      <c r="IA58" s="80"/>
      <c r="IB58" s="80"/>
      <c r="IC58" s="80"/>
      <c r="ID58" s="80"/>
      <c r="IE58" s="80"/>
      <c r="IF58" s="80"/>
      <c r="IG58" s="80"/>
      <c r="IH58" s="80"/>
      <c r="II58" s="80"/>
      <c r="IJ58" s="80"/>
      <c r="IK58" s="80"/>
      <c r="IL58" s="80"/>
      <c r="IM58" s="80"/>
      <c r="IN58" s="80"/>
      <c r="IO58" s="80"/>
      <c r="IP58" s="80"/>
      <c r="IQ58" s="80"/>
      <c r="IR58" s="80"/>
      <c r="IS58" s="80"/>
      <c r="IT58" s="80"/>
      <c r="IU58" s="80"/>
      <c r="IV58" s="80"/>
      <c r="IW58" s="80"/>
    </row>
    <row r="59" customFormat="false" ht="12.75" hidden="false" customHeight="false" outlineLevel="0" collapsed="false">
      <c r="A59" s="80"/>
      <c r="B59" s="81" t="s">
        <v>37</v>
      </c>
      <c r="C59" s="82" t="s">
        <v>204</v>
      </c>
      <c r="D59" s="82" t="s">
        <v>238</v>
      </c>
      <c r="E59" s="83" t="n">
        <v>36831</v>
      </c>
      <c r="F59" s="83" t="n">
        <v>37195</v>
      </c>
      <c r="G59" s="81" t="s">
        <v>235</v>
      </c>
      <c r="H59" s="81" t="s">
        <v>262</v>
      </c>
      <c r="I59" s="82" t="s">
        <v>81</v>
      </c>
      <c r="J59" s="84" t="n">
        <f aca="false">6.431/J$1</f>
        <v>0.207451612903226</v>
      </c>
      <c r="K59" s="85" t="n">
        <v>0.0132</v>
      </c>
      <c r="L59" s="85" t="n">
        <v>0.0022</v>
      </c>
      <c r="M59" s="85" t="n">
        <v>0.0072</v>
      </c>
      <c r="N59" s="85" t="n">
        <v>0</v>
      </c>
      <c r="O59" s="86" t="n">
        <v>0.02116</v>
      </c>
      <c r="P59" s="85" t="n">
        <f aca="false">SUM(J59:N59)</f>
        <v>0.230051612903226</v>
      </c>
      <c r="Q59" s="87" t="n">
        <v>69709</v>
      </c>
      <c r="R59" s="82" t="n">
        <v>14</v>
      </c>
      <c r="S59" s="81" t="s">
        <v>285</v>
      </c>
      <c r="T59" s="89" t="n">
        <f aca="false">J59*J$1*R59</f>
        <v>90.034</v>
      </c>
      <c r="U59" s="90" t="s">
        <v>286</v>
      </c>
      <c r="V59" s="81"/>
      <c r="W59" s="91"/>
      <c r="X59" s="91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0"/>
      <c r="BF59" s="80"/>
      <c r="BG59" s="80"/>
      <c r="BH59" s="80"/>
      <c r="BI59" s="80"/>
      <c r="BJ59" s="80"/>
      <c r="BK59" s="80"/>
      <c r="BL59" s="80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0"/>
      <c r="CA59" s="80"/>
      <c r="CB59" s="80"/>
      <c r="CC59" s="80"/>
      <c r="CD59" s="80"/>
      <c r="CE59" s="80"/>
      <c r="CF59" s="80"/>
      <c r="CG59" s="80"/>
      <c r="CH59" s="80"/>
      <c r="CI59" s="80"/>
      <c r="CJ59" s="80"/>
      <c r="CK59" s="80"/>
      <c r="CL59" s="80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  <c r="DL59" s="80"/>
      <c r="DM59" s="80"/>
      <c r="DN59" s="80"/>
      <c r="DO59" s="80"/>
      <c r="DP59" s="80"/>
      <c r="DQ59" s="80"/>
      <c r="DR59" s="80"/>
      <c r="DS59" s="80"/>
      <c r="DT59" s="80"/>
      <c r="DU59" s="80"/>
      <c r="DV59" s="80"/>
      <c r="DW59" s="80"/>
      <c r="DX59" s="80"/>
      <c r="DY59" s="80"/>
      <c r="DZ59" s="80"/>
      <c r="EA59" s="80"/>
      <c r="EB59" s="80"/>
      <c r="EC59" s="80"/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0"/>
      <c r="EO59" s="80"/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0"/>
      <c r="FF59" s="80"/>
      <c r="FG59" s="80"/>
      <c r="FH59" s="80"/>
      <c r="FI59" s="80"/>
      <c r="FJ59" s="80"/>
      <c r="FK59" s="80"/>
      <c r="FL59" s="80"/>
      <c r="FM59" s="80"/>
      <c r="FN59" s="80"/>
      <c r="FO59" s="80"/>
      <c r="FP59" s="80"/>
      <c r="FQ59" s="80"/>
      <c r="FR59" s="80"/>
      <c r="FS59" s="80"/>
      <c r="FT59" s="80"/>
      <c r="FU59" s="80"/>
      <c r="FV59" s="80"/>
      <c r="FW59" s="80"/>
      <c r="FX59" s="80"/>
      <c r="FY59" s="80"/>
      <c r="FZ59" s="80"/>
      <c r="GA59" s="80"/>
      <c r="GB59" s="80"/>
      <c r="GC59" s="80"/>
      <c r="GD59" s="80"/>
      <c r="GE59" s="80"/>
      <c r="GF59" s="80"/>
      <c r="GG59" s="80"/>
      <c r="GH59" s="80"/>
      <c r="GI59" s="80"/>
      <c r="GJ59" s="80"/>
      <c r="GK59" s="80"/>
      <c r="GL59" s="80"/>
      <c r="GM59" s="80"/>
      <c r="GN59" s="80"/>
      <c r="GO59" s="80"/>
      <c r="GP59" s="80"/>
      <c r="GQ59" s="80"/>
      <c r="GR59" s="80"/>
      <c r="GS59" s="80"/>
      <c r="GT59" s="80"/>
      <c r="GU59" s="80"/>
      <c r="GV59" s="80"/>
      <c r="GW59" s="80"/>
      <c r="GX59" s="80"/>
      <c r="GY59" s="80"/>
      <c r="GZ59" s="80"/>
      <c r="HA59" s="80"/>
      <c r="HB59" s="80"/>
      <c r="HC59" s="80"/>
      <c r="HD59" s="80"/>
      <c r="HE59" s="80"/>
      <c r="HF59" s="80"/>
      <c r="HG59" s="80"/>
      <c r="HH59" s="80"/>
      <c r="HI59" s="80"/>
      <c r="HJ59" s="80"/>
      <c r="HK59" s="80"/>
      <c r="HL59" s="80"/>
      <c r="HM59" s="80"/>
      <c r="HN59" s="80"/>
      <c r="HO59" s="80"/>
      <c r="HP59" s="80"/>
      <c r="HQ59" s="80"/>
      <c r="HR59" s="80"/>
      <c r="HS59" s="80"/>
      <c r="HT59" s="80"/>
      <c r="HU59" s="80"/>
      <c r="HV59" s="80"/>
      <c r="HW59" s="80"/>
      <c r="HX59" s="80"/>
      <c r="HY59" s="80"/>
      <c r="HZ59" s="80"/>
      <c r="IA59" s="80"/>
      <c r="IB59" s="80"/>
      <c r="IC59" s="80"/>
      <c r="ID59" s="80"/>
      <c r="IE59" s="80"/>
      <c r="IF59" s="80"/>
      <c r="IG59" s="80"/>
      <c r="IH59" s="80"/>
      <c r="II59" s="80"/>
      <c r="IJ59" s="80"/>
      <c r="IK59" s="80"/>
      <c r="IL59" s="80"/>
      <c r="IM59" s="80"/>
      <c r="IN59" s="80"/>
      <c r="IO59" s="80"/>
      <c r="IP59" s="80"/>
      <c r="IQ59" s="80"/>
      <c r="IR59" s="80"/>
      <c r="IS59" s="80"/>
      <c r="IT59" s="80"/>
      <c r="IU59" s="80"/>
      <c r="IV59" s="80"/>
      <c r="IW59" s="80"/>
    </row>
    <row r="60" customFormat="false" ht="12.75" hidden="false" customHeight="false" outlineLevel="0" collapsed="false">
      <c r="A60" s="80"/>
      <c r="B60" s="81" t="s">
        <v>37</v>
      </c>
      <c r="C60" s="82" t="s">
        <v>204</v>
      </c>
      <c r="D60" s="82" t="s">
        <v>238</v>
      </c>
      <c r="E60" s="83" t="n">
        <v>36831</v>
      </c>
      <c r="F60" s="83" t="n">
        <v>37195</v>
      </c>
      <c r="G60" s="81" t="s">
        <v>235</v>
      </c>
      <c r="H60" s="81" t="s">
        <v>268</v>
      </c>
      <c r="I60" s="82" t="s">
        <v>81</v>
      </c>
      <c r="J60" s="84" t="n">
        <f aca="false">6.431/J$1</f>
        <v>0.207451612903226</v>
      </c>
      <c r="K60" s="85" t="n">
        <v>0.0132</v>
      </c>
      <c r="L60" s="85" t="n">
        <v>0.0022</v>
      </c>
      <c r="M60" s="85" t="n">
        <v>0.0072</v>
      </c>
      <c r="N60" s="85" t="n">
        <v>0</v>
      </c>
      <c r="O60" s="86" t="n">
        <v>0.02116</v>
      </c>
      <c r="P60" s="85" t="n">
        <f aca="false">SUM(J60:N60)</f>
        <v>0.230051612903226</v>
      </c>
      <c r="Q60" s="87" t="n">
        <v>69709</v>
      </c>
      <c r="R60" s="82" t="n">
        <v>36</v>
      </c>
      <c r="S60" s="81" t="s">
        <v>285</v>
      </c>
      <c r="T60" s="89" t="n">
        <f aca="false">J60*J$1*R60</f>
        <v>231.516</v>
      </c>
      <c r="U60" s="90" t="s">
        <v>286</v>
      </c>
      <c r="V60" s="81"/>
      <c r="W60" s="91"/>
      <c r="X60" s="91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80"/>
      <c r="CK60" s="80"/>
      <c r="CL60" s="80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  <c r="DL60" s="80"/>
      <c r="DM60" s="80"/>
      <c r="DN60" s="80"/>
      <c r="DO60" s="80"/>
      <c r="DP60" s="80"/>
      <c r="DQ60" s="80"/>
      <c r="DR60" s="80"/>
      <c r="DS60" s="80"/>
      <c r="DT60" s="80"/>
      <c r="DU60" s="80"/>
      <c r="DV60" s="80"/>
      <c r="DW60" s="80"/>
      <c r="DX60" s="80"/>
      <c r="DY60" s="80"/>
      <c r="DZ60" s="80"/>
      <c r="EA60" s="80"/>
      <c r="EB60" s="80"/>
      <c r="EC60" s="80"/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0"/>
      <c r="EO60" s="80"/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0"/>
      <c r="FF60" s="80"/>
      <c r="FG60" s="80"/>
      <c r="FH60" s="80"/>
      <c r="FI60" s="80"/>
      <c r="FJ60" s="80"/>
      <c r="FK60" s="80"/>
      <c r="FL60" s="80"/>
      <c r="FM60" s="80"/>
      <c r="FN60" s="80"/>
      <c r="FO60" s="80"/>
      <c r="FP60" s="80"/>
      <c r="FQ60" s="80"/>
      <c r="FR60" s="80"/>
      <c r="FS60" s="80"/>
      <c r="FT60" s="80"/>
      <c r="FU60" s="80"/>
      <c r="FV60" s="80"/>
      <c r="FW60" s="80"/>
      <c r="FX60" s="80"/>
      <c r="FY60" s="80"/>
      <c r="FZ60" s="80"/>
      <c r="GA60" s="80"/>
      <c r="GB60" s="80"/>
      <c r="GC60" s="80"/>
      <c r="GD60" s="80"/>
      <c r="GE60" s="80"/>
      <c r="GF60" s="80"/>
      <c r="GG60" s="80"/>
      <c r="GH60" s="80"/>
      <c r="GI60" s="80"/>
      <c r="GJ60" s="80"/>
      <c r="GK60" s="80"/>
      <c r="GL60" s="80"/>
      <c r="GM60" s="80"/>
      <c r="GN60" s="80"/>
      <c r="GO60" s="80"/>
      <c r="GP60" s="80"/>
      <c r="GQ60" s="80"/>
      <c r="GR60" s="80"/>
      <c r="GS60" s="80"/>
      <c r="GT60" s="80"/>
      <c r="GU60" s="80"/>
      <c r="GV60" s="80"/>
      <c r="GW60" s="80"/>
      <c r="GX60" s="80"/>
      <c r="GY60" s="80"/>
      <c r="GZ60" s="80"/>
      <c r="HA60" s="80"/>
      <c r="HB60" s="80"/>
      <c r="HC60" s="80"/>
      <c r="HD60" s="80"/>
      <c r="HE60" s="80"/>
      <c r="HF60" s="80"/>
      <c r="HG60" s="80"/>
      <c r="HH60" s="80"/>
      <c r="HI60" s="80"/>
      <c r="HJ60" s="80"/>
      <c r="HK60" s="80"/>
      <c r="HL60" s="80"/>
      <c r="HM60" s="80"/>
      <c r="HN60" s="80"/>
      <c r="HO60" s="80"/>
      <c r="HP60" s="80"/>
      <c r="HQ60" s="80"/>
      <c r="HR60" s="80"/>
      <c r="HS60" s="80"/>
      <c r="HT60" s="80"/>
      <c r="HU60" s="80"/>
      <c r="HV60" s="80"/>
      <c r="HW60" s="80"/>
      <c r="HX60" s="80"/>
      <c r="HY60" s="80"/>
      <c r="HZ60" s="80"/>
      <c r="IA60" s="80"/>
      <c r="IB60" s="80"/>
      <c r="IC60" s="80"/>
      <c r="ID60" s="80"/>
      <c r="IE60" s="80"/>
      <c r="IF60" s="80"/>
      <c r="IG60" s="80"/>
      <c r="IH60" s="80"/>
      <c r="II60" s="80"/>
      <c r="IJ60" s="80"/>
      <c r="IK60" s="80"/>
      <c r="IL60" s="80"/>
      <c r="IM60" s="80"/>
      <c r="IN60" s="80"/>
      <c r="IO60" s="80"/>
      <c r="IP60" s="80"/>
      <c r="IQ60" s="80"/>
      <c r="IR60" s="80"/>
      <c r="IS60" s="80"/>
      <c r="IT60" s="80"/>
      <c r="IU60" s="80"/>
      <c r="IV60" s="80"/>
      <c r="IW60" s="80"/>
    </row>
    <row r="61" customFormat="false" ht="12.75" hidden="false" customHeight="false" outlineLevel="0" collapsed="false">
      <c r="A61" s="80"/>
      <c r="B61" s="81" t="s">
        <v>37</v>
      </c>
      <c r="C61" s="82" t="s">
        <v>204</v>
      </c>
      <c r="D61" s="82" t="s">
        <v>238</v>
      </c>
      <c r="E61" s="83" t="n">
        <v>36831</v>
      </c>
      <c r="F61" s="83" t="n">
        <v>37195</v>
      </c>
      <c r="G61" s="81" t="s">
        <v>235</v>
      </c>
      <c r="H61" s="81" t="s">
        <v>260</v>
      </c>
      <c r="I61" s="82" t="s">
        <v>81</v>
      </c>
      <c r="J61" s="84" t="n">
        <f aca="false">6.431/J$1</f>
        <v>0.207451612903226</v>
      </c>
      <c r="K61" s="85" t="n">
        <v>0.0132</v>
      </c>
      <c r="L61" s="85" t="n">
        <v>0.0022</v>
      </c>
      <c r="M61" s="85" t="n">
        <v>0.0072</v>
      </c>
      <c r="N61" s="85" t="n">
        <v>0</v>
      </c>
      <c r="O61" s="86" t="n">
        <v>0.02116</v>
      </c>
      <c r="P61" s="85" t="n">
        <f aca="false">SUM(J61:N61)</f>
        <v>0.230051612903226</v>
      </c>
      <c r="Q61" s="87" t="n">
        <v>69709</v>
      </c>
      <c r="R61" s="82" t="n">
        <v>63</v>
      </c>
      <c r="S61" s="81" t="s">
        <v>285</v>
      </c>
      <c r="T61" s="89" t="n">
        <f aca="false">J61*J$1*R61</f>
        <v>405.153</v>
      </c>
      <c r="U61" s="90" t="s">
        <v>286</v>
      </c>
      <c r="V61" s="81"/>
      <c r="W61" s="91"/>
      <c r="X61" s="91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  <c r="DL61" s="80"/>
      <c r="DM61" s="80"/>
      <c r="DN61" s="80"/>
      <c r="DO61" s="80"/>
      <c r="DP61" s="80"/>
      <c r="DQ61" s="80"/>
      <c r="DR61" s="80"/>
      <c r="DS61" s="80"/>
      <c r="DT61" s="80"/>
      <c r="DU61" s="80"/>
      <c r="DV61" s="80"/>
      <c r="DW61" s="80"/>
      <c r="DX61" s="80"/>
      <c r="DY61" s="80"/>
      <c r="DZ61" s="80"/>
      <c r="EA61" s="80"/>
      <c r="EB61" s="80"/>
      <c r="EC61" s="80"/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0"/>
      <c r="EO61" s="80"/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0"/>
      <c r="FF61" s="80"/>
      <c r="FG61" s="80"/>
      <c r="FH61" s="80"/>
      <c r="FI61" s="80"/>
      <c r="FJ61" s="80"/>
      <c r="FK61" s="80"/>
      <c r="FL61" s="80"/>
      <c r="FM61" s="80"/>
      <c r="FN61" s="80"/>
      <c r="FO61" s="80"/>
      <c r="FP61" s="80"/>
      <c r="FQ61" s="80"/>
      <c r="FR61" s="80"/>
      <c r="FS61" s="80"/>
      <c r="FT61" s="80"/>
      <c r="FU61" s="80"/>
      <c r="FV61" s="80"/>
      <c r="FW61" s="80"/>
      <c r="FX61" s="80"/>
      <c r="FY61" s="80"/>
      <c r="FZ61" s="80"/>
      <c r="GA61" s="80"/>
      <c r="GB61" s="80"/>
      <c r="GC61" s="80"/>
      <c r="GD61" s="80"/>
      <c r="GE61" s="80"/>
      <c r="GF61" s="80"/>
      <c r="GG61" s="80"/>
      <c r="GH61" s="80"/>
      <c r="GI61" s="80"/>
      <c r="GJ61" s="80"/>
      <c r="GK61" s="80"/>
      <c r="GL61" s="80"/>
      <c r="GM61" s="80"/>
      <c r="GN61" s="80"/>
      <c r="GO61" s="80"/>
      <c r="GP61" s="80"/>
      <c r="GQ61" s="80"/>
      <c r="GR61" s="80"/>
      <c r="GS61" s="80"/>
      <c r="GT61" s="80"/>
      <c r="GU61" s="80"/>
      <c r="GV61" s="80"/>
      <c r="GW61" s="80"/>
      <c r="GX61" s="80"/>
      <c r="GY61" s="80"/>
      <c r="GZ61" s="80"/>
      <c r="HA61" s="80"/>
      <c r="HB61" s="80"/>
      <c r="HC61" s="80"/>
      <c r="HD61" s="80"/>
      <c r="HE61" s="80"/>
      <c r="HF61" s="80"/>
      <c r="HG61" s="80"/>
      <c r="HH61" s="80"/>
      <c r="HI61" s="80"/>
      <c r="HJ61" s="80"/>
      <c r="HK61" s="80"/>
      <c r="HL61" s="80"/>
      <c r="HM61" s="80"/>
      <c r="HN61" s="80"/>
      <c r="HO61" s="80"/>
      <c r="HP61" s="80"/>
      <c r="HQ61" s="80"/>
      <c r="HR61" s="80"/>
      <c r="HS61" s="80"/>
      <c r="HT61" s="80"/>
      <c r="HU61" s="80"/>
      <c r="HV61" s="80"/>
      <c r="HW61" s="80"/>
      <c r="HX61" s="80"/>
      <c r="HY61" s="80"/>
      <c r="HZ61" s="80"/>
      <c r="IA61" s="80"/>
      <c r="IB61" s="80"/>
      <c r="IC61" s="80"/>
      <c r="ID61" s="80"/>
      <c r="IE61" s="80"/>
      <c r="IF61" s="80"/>
      <c r="IG61" s="80"/>
      <c r="IH61" s="80"/>
      <c r="II61" s="80"/>
      <c r="IJ61" s="80"/>
      <c r="IK61" s="80"/>
      <c r="IL61" s="80"/>
      <c r="IM61" s="80"/>
      <c r="IN61" s="80"/>
      <c r="IO61" s="80"/>
      <c r="IP61" s="80"/>
      <c r="IQ61" s="80"/>
      <c r="IR61" s="80"/>
      <c r="IS61" s="80"/>
      <c r="IT61" s="80"/>
      <c r="IU61" s="80"/>
      <c r="IV61" s="80"/>
      <c r="IW61" s="80"/>
    </row>
    <row r="62" customFormat="false" ht="12.75" hidden="false" customHeight="false" outlineLevel="0" collapsed="false">
      <c r="A62" s="80"/>
      <c r="B62" s="81" t="s">
        <v>37</v>
      </c>
      <c r="C62" s="82" t="s">
        <v>204</v>
      </c>
      <c r="D62" s="82" t="s">
        <v>205</v>
      </c>
      <c r="E62" s="83" t="n">
        <v>36831</v>
      </c>
      <c r="F62" s="83" t="n">
        <v>37195</v>
      </c>
      <c r="G62" s="81" t="s">
        <v>235</v>
      </c>
      <c r="H62" s="81" t="s">
        <v>287</v>
      </c>
      <c r="I62" s="82" t="s">
        <v>81</v>
      </c>
      <c r="J62" s="84" t="n">
        <f aca="false">6.354/J$1</f>
        <v>0.204967741935484</v>
      </c>
      <c r="K62" s="85" t="n">
        <v>0.0132</v>
      </c>
      <c r="L62" s="85" t="n">
        <v>0.0022</v>
      </c>
      <c r="M62" s="85" t="n">
        <v>0.0072</v>
      </c>
      <c r="N62" s="85" t="n">
        <v>0</v>
      </c>
      <c r="O62" s="86" t="n">
        <v>0.02116</v>
      </c>
      <c r="P62" s="85" t="n">
        <f aca="false">SUM(J62:N62)</f>
        <v>0.227567741935484</v>
      </c>
      <c r="Q62" s="87" t="n">
        <v>69823</v>
      </c>
      <c r="R62" s="82" t="n">
        <v>1000</v>
      </c>
      <c r="S62" s="81" t="s">
        <v>288</v>
      </c>
      <c r="T62" s="89" t="n">
        <f aca="false">J62*J$1*R62</f>
        <v>6354</v>
      </c>
      <c r="U62" s="90" t="s">
        <v>289</v>
      </c>
      <c r="V62" s="81"/>
      <c r="W62" s="91"/>
      <c r="X62" s="91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  <c r="DL62" s="80"/>
      <c r="DM62" s="80"/>
      <c r="DN62" s="80"/>
      <c r="DO62" s="80"/>
      <c r="DP62" s="80"/>
      <c r="DQ62" s="80"/>
      <c r="DR62" s="80"/>
      <c r="DS62" s="80"/>
      <c r="DT62" s="80"/>
      <c r="DU62" s="80"/>
      <c r="DV62" s="80"/>
      <c r="DW62" s="80"/>
      <c r="DX62" s="80"/>
      <c r="DY62" s="80"/>
      <c r="DZ62" s="80"/>
      <c r="EA62" s="80"/>
      <c r="EB62" s="80"/>
      <c r="EC62" s="80"/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0"/>
      <c r="EO62" s="80"/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0"/>
      <c r="FF62" s="80"/>
      <c r="FG62" s="80"/>
      <c r="FH62" s="80"/>
      <c r="FI62" s="80"/>
      <c r="FJ62" s="80"/>
      <c r="FK62" s="80"/>
      <c r="FL62" s="80"/>
      <c r="FM62" s="80"/>
      <c r="FN62" s="80"/>
      <c r="FO62" s="80"/>
      <c r="FP62" s="80"/>
      <c r="FQ62" s="80"/>
      <c r="FR62" s="80"/>
      <c r="FS62" s="80"/>
      <c r="FT62" s="80"/>
      <c r="FU62" s="80"/>
      <c r="FV62" s="80"/>
      <c r="FW62" s="80"/>
      <c r="FX62" s="80"/>
      <c r="FY62" s="80"/>
      <c r="FZ62" s="80"/>
      <c r="GA62" s="80"/>
      <c r="GB62" s="80"/>
      <c r="GC62" s="80"/>
      <c r="GD62" s="80"/>
      <c r="GE62" s="80"/>
      <c r="GF62" s="80"/>
      <c r="GG62" s="80"/>
      <c r="GH62" s="80"/>
      <c r="GI62" s="80"/>
      <c r="GJ62" s="80"/>
      <c r="GK62" s="80"/>
      <c r="GL62" s="80"/>
      <c r="GM62" s="80"/>
      <c r="GN62" s="80"/>
      <c r="GO62" s="80"/>
      <c r="GP62" s="80"/>
      <c r="GQ62" s="80"/>
      <c r="GR62" s="80"/>
      <c r="GS62" s="80"/>
      <c r="GT62" s="80"/>
      <c r="GU62" s="80"/>
      <c r="GV62" s="80"/>
      <c r="GW62" s="80"/>
      <c r="GX62" s="80"/>
      <c r="GY62" s="80"/>
      <c r="GZ62" s="80"/>
      <c r="HA62" s="80"/>
      <c r="HB62" s="80"/>
      <c r="HC62" s="80"/>
      <c r="HD62" s="80"/>
      <c r="HE62" s="80"/>
      <c r="HF62" s="80"/>
      <c r="HG62" s="80"/>
      <c r="HH62" s="80"/>
      <c r="HI62" s="80"/>
      <c r="HJ62" s="80"/>
      <c r="HK62" s="80"/>
      <c r="HL62" s="80"/>
      <c r="HM62" s="80"/>
      <c r="HN62" s="80"/>
      <c r="HO62" s="80"/>
      <c r="HP62" s="80"/>
      <c r="HQ62" s="80"/>
      <c r="HR62" s="80"/>
      <c r="HS62" s="80"/>
      <c r="HT62" s="80"/>
      <c r="HU62" s="80"/>
      <c r="HV62" s="80"/>
      <c r="HW62" s="80"/>
      <c r="HX62" s="80"/>
      <c r="HY62" s="80"/>
      <c r="HZ62" s="80"/>
      <c r="IA62" s="80"/>
      <c r="IB62" s="80"/>
      <c r="IC62" s="80"/>
      <c r="ID62" s="80"/>
      <c r="IE62" s="80"/>
      <c r="IF62" s="80"/>
      <c r="IG62" s="80"/>
      <c r="IH62" s="80"/>
      <c r="II62" s="80"/>
      <c r="IJ62" s="80"/>
      <c r="IK62" s="80"/>
      <c r="IL62" s="80"/>
      <c r="IM62" s="80"/>
      <c r="IN62" s="80"/>
      <c r="IO62" s="80"/>
      <c r="IP62" s="80"/>
      <c r="IQ62" s="80"/>
      <c r="IR62" s="80"/>
      <c r="IS62" s="80"/>
      <c r="IT62" s="80"/>
      <c r="IU62" s="80"/>
      <c r="IV62" s="80"/>
      <c r="IW62" s="80"/>
    </row>
    <row r="63" customFormat="false" ht="12.75" hidden="false" customHeight="false" outlineLevel="0" collapsed="false">
      <c r="A63" s="80"/>
      <c r="B63" s="81" t="s">
        <v>37</v>
      </c>
      <c r="C63" s="82" t="s">
        <v>204</v>
      </c>
      <c r="D63" s="82" t="s">
        <v>290</v>
      </c>
      <c r="E63" s="83" t="n">
        <v>36861</v>
      </c>
      <c r="F63" s="83" t="n">
        <v>37225</v>
      </c>
      <c r="G63" s="81" t="s">
        <v>235</v>
      </c>
      <c r="H63" s="81" t="s">
        <v>265</v>
      </c>
      <c r="I63" s="82" t="s">
        <v>81</v>
      </c>
      <c r="J63" s="84" t="n">
        <f aca="false">6.431/J$1</f>
        <v>0.207451612903226</v>
      </c>
      <c r="K63" s="85"/>
      <c r="L63" s="85"/>
      <c r="M63" s="85"/>
      <c r="N63" s="85"/>
      <c r="O63" s="86"/>
      <c r="P63" s="85"/>
      <c r="Q63" s="87" t="n">
        <v>69948</v>
      </c>
      <c r="R63" s="82" t="n">
        <v>1</v>
      </c>
      <c r="S63" s="81" t="s">
        <v>291</v>
      </c>
      <c r="T63" s="89" t="n">
        <f aca="false">J63*J$1*R63</f>
        <v>6.431</v>
      </c>
      <c r="U63" s="90" t="n">
        <v>490966</v>
      </c>
      <c r="V63" s="81"/>
      <c r="W63" s="91"/>
      <c r="X63" s="91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</row>
    <row r="64" customFormat="false" ht="12.75" hidden="false" customHeight="false" outlineLevel="0" collapsed="false">
      <c r="A64" s="80"/>
      <c r="B64" s="81" t="s">
        <v>37</v>
      </c>
      <c r="C64" s="82" t="s">
        <v>204</v>
      </c>
      <c r="D64" s="82" t="s">
        <v>290</v>
      </c>
      <c r="E64" s="83" t="n">
        <v>36861</v>
      </c>
      <c r="F64" s="83" t="n">
        <v>37225</v>
      </c>
      <c r="G64" s="81" t="s">
        <v>235</v>
      </c>
      <c r="H64" s="81" t="s">
        <v>262</v>
      </c>
      <c r="I64" s="82" t="s">
        <v>81</v>
      </c>
      <c r="J64" s="84" t="n">
        <f aca="false">6.431/J$1</f>
        <v>0.207451612903226</v>
      </c>
      <c r="K64" s="85"/>
      <c r="L64" s="85"/>
      <c r="M64" s="85"/>
      <c r="N64" s="85"/>
      <c r="O64" s="86"/>
      <c r="P64" s="85"/>
      <c r="Q64" s="87" t="n">
        <v>69948</v>
      </c>
      <c r="R64" s="82" t="n">
        <v>1</v>
      </c>
      <c r="S64" s="81" t="s">
        <v>291</v>
      </c>
      <c r="T64" s="89" t="n">
        <f aca="false">J64*J$1*R64</f>
        <v>6.431</v>
      </c>
      <c r="U64" s="90" t="n">
        <v>490966</v>
      </c>
      <c r="V64" s="81"/>
      <c r="W64" s="91"/>
      <c r="X64" s="91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  <c r="DL64" s="80"/>
      <c r="DM64" s="80"/>
      <c r="DN64" s="80"/>
      <c r="DO64" s="80"/>
      <c r="DP64" s="80"/>
      <c r="DQ64" s="80"/>
      <c r="DR64" s="80"/>
      <c r="DS64" s="80"/>
      <c r="DT64" s="80"/>
      <c r="DU64" s="80"/>
      <c r="DV64" s="80"/>
      <c r="DW64" s="80"/>
      <c r="DX64" s="80"/>
      <c r="DY64" s="80"/>
      <c r="DZ64" s="80"/>
      <c r="EA64" s="80"/>
      <c r="EB64" s="80"/>
      <c r="EC64" s="80"/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0"/>
      <c r="EO64" s="80"/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0"/>
      <c r="FF64" s="80"/>
      <c r="FG64" s="80"/>
      <c r="FH64" s="80"/>
      <c r="FI64" s="80"/>
      <c r="FJ64" s="80"/>
      <c r="FK64" s="80"/>
      <c r="FL64" s="80"/>
      <c r="FM64" s="80"/>
      <c r="FN64" s="80"/>
      <c r="FO64" s="80"/>
      <c r="FP64" s="80"/>
      <c r="FQ64" s="80"/>
      <c r="FR64" s="80"/>
      <c r="FS64" s="80"/>
      <c r="FT64" s="80"/>
      <c r="FU64" s="80"/>
      <c r="FV64" s="80"/>
      <c r="FW64" s="80"/>
      <c r="FX64" s="80"/>
      <c r="FY64" s="80"/>
      <c r="FZ64" s="80"/>
      <c r="GA64" s="80"/>
      <c r="GB64" s="80"/>
      <c r="GC64" s="80"/>
      <c r="GD64" s="80"/>
      <c r="GE64" s="80"/>
      <c r="GF64" s="80"/>
      <c r="GG64" s="80"/>
      <c r="GH64" s="80"/>
      <c r="GI64" s="80"/>
      <c r="GJ64" s="80"/>
      <c r="GK64" s="80"/>
      <c r="GL64" s="80"/>
      <c r="GM64" s="80"/>
      <c r="GN64" s="80"/>
      <c r="GO64" s="80"/>
      <c r="GP64" s="80"/>
      <c r="GQ64" s="80"/>
      <c r="GR64" s="80"/>
      <c r="GS64" s="80"/>
      <c r="GT64" s="80"/>
      <c r="GU64" s="80"/>
      <c r="GV64" s="80"/>
      <c r="GW64" s="80"/>
      <c r="GX64" s="80"/>
      <c r="GY64" s="80"/>
      <c r="GZ64" s="80"/>
      <c r="HA64" s="80"/>
      <c r="HB64" s="80"/>
      <c r="HC64" s="80"/>
      <c r="HD64" s="80"/>
      <c r="HE64" s="80"/>
      <c r="HF64" s="80"/>
      <c r="HG64" s="80"/>
      <c r="HH64" s="80"/>
      <c r="HI64" s="80"/>
      <c r="HJ64" s="80"/>
      <c r="HK64" s="80"/>
      <c r="HL64" s="80"/>
      <c r="HM64" s="80"/>
      <c r="HN64" s="80"/>
      <c r="HO64" s="80"/>
      <c r="HP64" s="80"/>
      <c r="HQ64" s="80"/>
      <c r="HR64" s="80"/>
      <c r="HS64" s="80"/>
      <c r="HT64" s="80"/>
      <c r="HU64" s="80"/>
      <c r="HV64" s="80"/>
      <c r="HW64" s="80"/>
      <c r="HX64" s="80"/>
      <c r="HY64" s="80"/>
      <c r="HZ64" s="80"/>
      <c r="IA64" s="80"/>
      <c r="IB64" s="80"/>
      <c r="IC64" s="80"/>
      <c r="ID64" s="80"/>
      <c r="IE64" s="80"/>
      <c r="IF64" s="80"/>
      <c r="IG64" s="80"/>
      <c r="IH64" s="80"/>
      <c r="II64" s="80"/>
      <c r="IJ64" s="80"/>
      <c r="IK64" s="80"/>
      <c r="IL64" s="80"/>
      <c r="IM64" s="80"/>
      <c r="IN64" s="80"/>
      <c r="IO64" s="80"/>
      <c r="IP64" s="80"/>
      <c r="IQ64" s="80"/>
      <c r="IR64" s="80"/>
      <c r="IS64" s="80"/>
      <c r="IT64" s="80"/>
      <c r="IU64" s="80"/>
      <c r="IV64" s="80"/>
      <c r="IW64" s="80"/>
    </row>
    <row r="65" customFormat="false" ht="12.75" hidden="false" customHeight="false" outlineLevel="0" collapsed="false">
      <c r="A65" s="80"/>
      <c r="B65" s="81" t="s">
        <v>37</v>
      </c>
      <c r="C65" s="82" t="s">
        <v>204</v>
      </c>
      <c r="D65" s="82" t="s">
        <v>292</v>
      </c>
      <c r="E65" s="83" t="n">
        <v>36894</v>
      </c>
      <c r="F65" s="83" t="n">
        <v>37287</v>
      </c>
      <c r="G65" s="81" t="s">
        <v>235</v>
      </c>
      <c r="H65" s="81" t="s">
        <v>262</v>
      </c>
      <c r="I65" s="82" t="s">
        <v>81</v>
      </c>
      <c r="J65" s="84" t="n">
        <f aca="false">6.431/J$1</f>
        <v>0.207451612903226</v>
      </c>
      <c r="K65" s="85"/>
      <c r="L65" s="85"/>
      <c r="M65" s="85"/>
      <c r="N65" s="85"/>
      <c r="O65" s="86"/>
      <c r="P65" s="85"/>
      <c r="Q65" s="87" t="n">
        <v>70285</v>
      </c>
      <c r="R65" s="82" t="n">
        <v>1</v>
      </c>
      <c r="S65" s="81" t="s">
        <v>293</v>
      </c>
      <c r="T65" s="89" t="n">
        <f aca="false">J65*J$1*R65</f>
        <v>6.431</v>
      </c>
      <c r="U65" s="90" t="n">
        <v>553660</v>
      </c>
      <c r="V65" s="81"/>
      <c r="W65" s="91"/>
      <c r="X65" s="91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  <c r="FF65" s="80"/>
      <c r="FG65" s="80"/>
      <c r="FH65" s="80"/>
      <c r="FI65" s="80"/>
      <c r="FJ65" s="80"/>
      <c r="FK65" s="80"/>
      <c r="FL65" s="80"/>
      <c r="FM65" s="80"/>
      <c r="FN65" s="80"/>
      <c r="FO65" s="80"/>
      <c r="FP65" s="80"/>
      <c r="FQ65" s="80"/>
      <c r="FR65" s="80"/>
      <c r="FS65" s="80"/>
      <c r="FT65" s="80"/>
      <c r="FU65" s="80"/>
      <c r="FV65" s="80"/>
      <c r="FW65" s="80"/>
      <c r="FX65" s="80"/>
      <c r="FY65" s="80"/>
      <c r="FZ65" s="80"/>
      <c r="GA65" s="80"/>
      <c r="GB65" s="80"/>
      <c r="GC65" s="80"/>
      <c r="GD65" s="80"/>
      <c r="GE65" s="80"/>
      <c r="GF65" s="80"/>
      <c r="GG65" s="80"/>
      <c r="GH65" s="80"/>
      <c r="GI65" s="80"/>
      <c r="GJ65" s="80"/>
      <c r="GK65" s="80"/>
      <c r="GL65" s="80"/>
      <c r="GM65" s="80"/>
      <c r="GN65" s="80"/>
      <c r="GO65" s="80"/>
      <c r="GP65" s="80"/>
      <c r="GQ65" s="80"/>
      <c r="GR65" s="80"/>
      <c r="GS65" s="80"/>
      <c r="GT65" s="80"/>
      <c r="GU65" s="80"/>
      <c r="GV65" s="80"/>
      <c r="GW65" s="80"/>
      <c r="GX65" s="80"/>
      <c r="GY65" s="80"/>
      <c r="GZ65" s="80"/>
      <c r="HA65" s="80"/>
      <c r="HB65" s="80"/>
      <c r="HC65" s="80"/>
      <c r="HD65" s="80"/>
      <c r="HE65" s="80"/>
      <c r="HF65" s="80"/>
      <c r="HG65" s="80"/>
      <c r="HH65" s="80"/>
      <c r="HI65" s="80"/>
      <c r="HJ65" s="80"/>
      <c r="HK65" s="80"/>
      <c r="HL65" s="80"/>
      <c r="HM65" s="80"/>
      <c r="HN65" s="80"/>
      <c r="HO65" s="80"/>
      <c r="HP65" s="80"/>
      <c r="HQ65" s="80"/>
      <c r="HR65" s="80"/>
      <c r="HS65" s="80"/>
      <c r="HT65" s="80"/>
      <c r="HU65" s="80"/>
      <c r="HV65" s="80"/>
      <c r="HW65" s="80"/>
      <c r="HX65" s="80"/>
      <c r="HY65" s="80"/>
      <c r="HZ65" s="80"/>
      <c r="IA65" s="80"/>
      <c r="IB65" s="80"/>
      <c r="IC65" s="80"/>
      <c r="ID65" s="80"/>
      <c r="IE65" s="80"/>
      <c r="IF65" s="80"/>
      <c r="IG65" s="80"/>
      <c r="IH65" s="80"/>
      <c r="II65" s="80"/>
      <c r="IJ65" s="80"/>
      <c r="IK65" s="80"/>
      <c r="IL65" s="80"/>
      <c r="IM65" s="80"/>
      <c r="IN65" s="80"/>
      <c r="IO65" s="80"/>
      <c r="IP65" s="80"/>
      <c r="IQ65" s="80"/>
      <c r="IR65" s="80"/>
      <c r="IS65" s="80"/>
      <c r="IT65" s="80"/>
      <c r="IU65" s="80"/>
      <c r="IV65" s="80"/>
      <c r="IW65" s="80"/>
    </row>
    <row r="66" customFormat="false" ht="12.75" hidden="false" customHeight="false" outlineLevel="0" collapsed="false">
      <c r="A66" s="80"/>
      <c r="B66" s="81" t="s">
        <v>37</v>
      </c>
      <c r="C66" s="82" t="s">
        <v>204</v>
      </c>
      <c r="D66" s="82" t="s">
        <v>290</v>
      </c>
      <c r="E66" s="83" t="n">
        <v>36861</v>
      </c>
      <c r="F66" s="83" t="n">
        <v>37225</v>
      </c>
      <c r="G66" s="81" t="s">
        <v>235</v>
      </c>
      <c r="H66" s="81" t="s">
        <v>268</v>
      </c>
      <c r="I66" s="82" t="s">
        <v>81</v>
      </c>
      <c r="J66" s="84" t="n">
        <f aca="false">6.431/J$1</f>
        <v>0.207451612903226</v>
      </c>
      <c r="K66" s="85"/>
      <c r="L66" s="85"/>
      <c r="M66" s="85"/>
      <c r="N66" s="85"/>
      <c r="O66" s="86"/>
      <c r="P66" s="85"/>
      <c r="Q66" s="87" t="n">
        <v>69948</v>
      </c>
      <c r="R66" s="82" t="n">
        <v>1</v>
      </c>
      <c r="S66" s="81" t="s">
        <v>291</v>
      </c>
      <c r="T66" s="89" t="n">
        <f aca="false">J66*J$1*R66</f>
        <v>6.431</v>
      </c>
      <c r="U66" s="90" t="n">
        <v>490966</v>
      </c>
      <c r="V66" s="81"/>
      <c r="W66" s="91"/>
      <c r="X66" s="91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  <c r="DL66" s="80"/>
      <c r="DM66" s="80"/>
      <c r="DN66" s="80"/>
      <c r="DO66" s="80"/>
      <c r="DP66" s="80"/>
      <c r="DQ66" s="80"/>
      <c r="DR66" s="80"/>
      <c r="DS66" s="80"/>
      <c r="DT66" s="80"/>
      <c r="DU66" s="80"/>
      <c r="DV66" s="80"/>
      <c r="DW66" s="80"/>
      <c r="DX66" s="80"/>
      <c r="DY66" s="80"/>
      <c r="DZ66" s="80"/>
      <c r="EA66" s="80"/>
      <c r="EB66" s="80"/>
      <c r="EC66" s="80"/>
      <c r="ED66" s="80"/>
      <c r="EE66" s="80"/>
      <c r="EF66" s="80"/>
      <c r="EG66" s="80"/>
      <c r="EH66" s="80"/>
      <c r="EI66" s="80"/>
      <c r="EJ66" s="80"/>
      <c r="EK66" s="80"/>
      <c r="EL66" s="80"/>
      <c r="EM66" s="80"/>
      <c r="EN66" s="80"/>
      <c r="EO66" s="80"/>
      <c r="EP66" s="80"/>
      <c r="EQ66" s="80"/>
      <c r="ER66" s="80"/>
      <c r="ES66" s="80"/>
      <c r="ET66" s="80"/>
      <c r="EU66" s="80"/>
      <c r="EV66" s="80"/>
      <c r="EW66" s="80"/>
      <c r="EX66" s="80"/>
      <c r="EY66" s="80"/>
      <c r="EZ66" s="80"/>
      <c r="FA66" s="80"/>
      <c r="FB66" s="80"/>
      <c r="FC66" s="80"/>
      <c r="FD66" s="80"/>
      <c r="FE66" s="80"/>
      <c r="FF66" s="80"/>
      <c r="FG66" s="80"/>
      <c r="FH66" s="80"/>
      <c r="FI66" s="80"/>
      <c r="FJ66" s="80"/>
      <c r="FK66" s="80"/>
      <c r="FL66" s="80"/>
      <c r="FM66" s="80"/>
      <c r="FN66" s="80"/>
      <c r="FO66" s="80"/>
      <c r="FP66" s="80"/>
      <c r="FQ66" s="80"/>
      <c r="FR66" s="80"/>
      <c r="FS66" s="80"/>
      <c r="FT66" s="80"/>
      <c r="FU66" s="80"/>
      <c r="FV66" s="80"/>
      <c r="FW66" s="80"/>
      <c r="FX66" s="80"/>
      <c r="FY66" s="80"/>
      <c r="FZ66" s="80"/>
      <c r="GA66" s="80"/>
      <c r="GB66" s="80"/>
      <c r="GC66" s="80"/>
      <c r="GD66" s="80"/>
      <c r="GE66" s="80"/>
      <c r="GF66" s="80"/>
      <c r="GG66" s="80"/>
      <c r="GH66" s="80"/>
      <c r="GI66" s="80"/>
      <c r="GJ66" s="80"/>
      <c r="GK66" s="80"/>
      <c r="GL66" s="80"/>
      <c r="GM66" s="80"/>
      <c r="GN66" s="80"/>
      <c r="GO66" s="80"/>
      <c r="GP66" s="80"/>
      <c r="GQ66" s="80"/>
      <c r="GR66" s="80"/>
      <c r="GS66" s="80"/>
      <c r="GT66" s="80"/>
      <c r="GU66" s="80"/>
      <c r="GV66" s="80"/>
      <c r="GW66" s="80"/>
      <c r="GX66" s="80"/>
      <c r="GY66" s="80"/>
      <c r="GZ66" s="80"/>
      <c r="HA66" s="80"/>
      <c r="HB66" s="80"/>
      <c r="HC66" s="80"/>
      <c r="HD66" s="80"/>
      <c r="HE66" s="80"/>
      <c r="HF66" s="80"/>
      <c r="HG66" s="80"/>
      <c r="HH66" s="80"/>
      <c r="HI66" s="80"/>
      <c r="HJ66" s="80"/>
      <c r="HK66" s="80"/>
      <c r="HL66" s="80"/>
      <c r="HM66" s="80"/>
      <c r="HN66" s="80"/>
      <c r="HO66" s="80"/>
      <c r="HP66" s="80"/>
      <c r="HQ66" s="80"/>
      <c r="HR66" s="80"/>
      <c r="HS66" s="80"/>
      <c r="HT66" s="80"/>
      <c r="HU66" s="80"/>
      <c r="HV66" s="80"/>
      <c r="HW66" s="80"/>
      <c r="HX66" s="80"/>
      <c r="HY66" s="80"/>
      <c r="HZ66" s="80"/>
      <c r="IA66" s="80"/>
      <c r="IB66" s="80"/>
      <c r="IC66" s="80"/>
      <c r="ID66" s="80"/>
      <c r="IE66" s="80"/>
      <c r="IF66" s="80"/>
      <c r="IG66" s="80"/>
      <c r="IH66" s="80"/>
      <c r="II66" s="80"/>
      <c r="IJ66" s="80"/>
      <c r="IK66" s="80"/>
      <c r="IL66" s="80"/>
      <c r="IM66" s="80"/>
      <c r="IN66" s="80"/>
      <c r="IO66" s="80"/>
      <c r="IP66" s="80"/>
      <c r="IQ66" s="80"/>
      <c r="IR66" s="80"/>
      <c r="IS66" s="80"/>
      <c r="IT66" s="80"/>
      <c r="IU66" s="80"/>
      <c r="IV66" s="80"/>
      <c r="IW66" s="80"/>
    </row>
    <row r="67" customFormat="false" ht="12.75" hidden="false" customHeight="false" outlineLevel="0" collapsed="false">
      <c r="T67" s="93"/>
    </row>
    <row r="68" customFormat="false" ht="12.75" hidden="false" customHeight="false" outlineLevel="0" collapsed="false">
      <c r="B68" s="132" t="s">
        <v>109</v>
      </c>
      <c r="C68" s="133" t="s">
        <v>109</v>
      </c>
      <c r="D68" s="133" t="s">
        <v>109</v>
      </c>
      <c r="E68" s="135" t="s">
        <v>109</v>
      </c>
      <c r="F68" s="135" t="s">
        <v>109</v>
      </c>
      <c r="G68" s="132" t="s">
        <v>109</v>
      </c>
      <c r="H68" s="136" t="s">
        <v>109</v>
      </c>
      <c r="I68" s="133" t="s">
        <v>109</v>
      </c>
      <c r="J68" s="137"/>
      <c r="K68" s="138"/>
      <c r="L68" s="138"/>
      <c r="M68" s="138"/>
      <c r="N68" s="138"/>
      <c r="O68" s="139"/>
      <c r="P68" s="138"/>
      <c r="Q68" s="140" t="s">
        <v>109</v>
      </c>
      <c r="R68" s="133"/>
      <c r="S68" s="132" t="s">
        <v>109</v>
      </c>
      <c r="T68" s="141" t="n">
        <f aca="false">SUM(T8:T66)</f>
        <v>1183848.4406</v>
      </c>
      <c r="U68" s="142"/>
      <c r="V68" s="136"/>
      <c r="W68" s="79"/>
      <c r="X68" s="79"/>
    </row>
    <row r="69" customFormat="false" ht="12.75" hidden="false" customHeight="false" outlineLevel="0" collapsed="false">
      <c r="B69" s="47"/>
      <c r="C69" s="51"/>
      <c r="D69" s="51"/>
      <c r="E69" s="52"/>
      <c r="F69" s="52"/>
      <c r="G69" s="53"/>
      <c r="H69" s="53"/>
      <c r="I69" s="51"/>
      <c r="J69" s="56"/>
      <c r="K69" s="56"/>
      <c r="L69" s="56"/>
      <c r="M69" s="56"/>
      <c r="N69" s="56"/>
      <c r="O69" s="57"/>
      <c r="P69" s="56"/>
      <c r="Q69" s="124"/>
      <c r="R69" s="125"/>
      <c r="S69" s="60"/>
      <c r="T69" s="60"/>
      <c r="U69" s="61"/>
      <c r="V69" s="62"/>
      <c r="W69" s="63"/>
      <c r="X69" s="63"/>
    </row>
    <row r="70" customFormat="false" ht="12.75" hidden="false" customHeight="false" outlineLevel="0" collapsed="false">
      <c r="B70" s="47"/>
      <c r="C70" s="51"/>
      <c r="D70" s="51"/>
      <c r="E70" s="52"/>
      <c r="F70" s="52"/>
      <c r="G70" s="53"/>
      <c r="H70" s="53"/>
      <c r="I70" s="51"/>
      <c r="J70" s="65"/>
      <c r="K70" s="56"/>
      <c r="L70" s="56"/>
      <c r="M70" s="56"/>
      <c r="N70" s="56"/>
      <c r="O70" s="57"/>
      <c r="P70" s="56"/>
      <c r="Q70" s="124"/>
      <c r="R70" s="125"/>
      <c r="S70" s="60"/>
      <c r="T70" s="60"/>
      <c r="U70" s="61"/>
      <c r="V70" s="62"/>
      <c r="W70" s="63"/>
      <c r="X70" s="63"/>
    </row>
    <row r="71" customFormat="false" ht="13.5" hidden="false" customHeight="false" outlineLevel="0" collapsed="false">
      <c r="B71" s="47"/>
      <c r="C71" s="51"/>
      <c r="D71" s="51"/>
      <c r="E71" s="52"/>
      <c r="F71" s="52"/>
      <c r="G71" s="53"/>
      <c r="H71" s="53"/>
      <c r="I71" s="51"/>
      <c r="J71" s="56"/>
      <c r="K71" s="56"/>
      <c r="L71" s="56"/>
      <c r="M71" s="56"/>
      <c r="N71" s="56"/>
      <c r="O71" s="57"/>
      <c r="P71" s="56"/>
      <c r="Q71" s="124"/>
      <c r="R71" s="125"/>
      <c r="S71" s="60"/>
      <c r="T71" s="126" t="n">
        <f aca="false">SUM(T68)</f>
        <v>1183848.4406</v>
      </c>
      <c r="U71" s="61" t="s">
        <v>294</v>
      </c>
      <c r="V71" s="62"/>
      <c r="W71" s="63"/>
      <c r="X71" s="63"/>
    </row>
    <row r="72" customFormat="false" ht="13.5" hidden="false" customHeight="false" outlineLevel="0" collapsed="false">
      <c r="B72" s="47"/>
      <c r="C72" s="51"/>
      <c r="D72" s="51"/>
      <c r="E72" s="52"/>
      <c r="F72" s="52"/>
      <c r="G72" s="53"/>
      <c r="H72" s="53"/>
      <c r="I72" s="51"/>
      <c r="J72" s="56"/>
      <c r="K72" s="56"/>
      <c r="L72" s="56"/>
      <c r="M72" s="56"/>
      <c r="N72" s="56"/>
      <c r="O72" s="57"/>
      <c r="P72" s="56"/>
      <c r="Q72" s="124"/>
      <c r="R72" s="125"/>
      <c r="S72" s="60"/>
      <c r="V72" s="62"/>
      <c r="W72" s="127"/>
      <c r="X72" s="63"/>
    </row>
    <row r="73" customFormat="false" ht="12.75" hidden="false" customHeight="false" outlineLevel="0" collapsed="false">
      <c r="B73" s="47"/>
      <c r="C73" s="51"/>
      <c r="D73" s="51"/>
      <c r="E73" s="52"/>
      <c r="F73" s="52"/>
      <c r="G73" s="53"/>
      <c r="H73" s="53"/>
      <c r="I73" s="51"/>
      <c r="J73" s="56"/>
      <c r="K73" s="56"/>
      <c r="L73" s="56"/>
      <c r="M73" s="56"/>
      <c r="N73" s="56"/>
      <c r="O73" s="57"/>
      <c r="P73" s="56"/>
      <c r="Q73" s="124"/>
      <c r="R73" s="125"/>
      <c r="S73" s="60"/>
      <c r="T73" s="60" t="n">
        <v>10000</v>
      </c>
      <c r="U73" s="148" t="s">
        <v>295</v>
      </c>
      <c r="V73" s="62"/>
      <c r="W73" s="63"/>
      <c r="X73" s="63"/>
    </row>
    <row r="74" customFormat="false" ht="12.75" hidden="false" customHeight="false" outlineLevel="0" collapsed="false">
      <c r="B74" s="47"/>
      <c r="C74" s="51"/>
      <c r="D74" s="51"/>
      <c r="E74" s="52"/>
      <c r="F74" s="52"/>
      <c r="G74" s="53"/>
      <c r="H74" s="53"/>
      <c r="I74" s="51"/>
      <c r="J74" s="56"/>
      <c r="K74" s="56"/>
      <c r="L74" s="56"/>
      <c r="M74" s="56"/>
      <c r="N74" s="56"/>
      <c r="O74" s="57"/>
      <c r="P74" s="56"/>
      <c r="Q74" s="124"/>
      <c r="R74" s="125"/>
      <c r="S74" s="60"/>
      <c r="T74" s="60"/>
      <c r="U74" s="61"/>
      <c r="V74" s="62"/>
      <c r="W74" s="63"/>
      <c r="X74" s="63"/>
    </row>
    <row r="75" customFormat="false" ht="12.75" hidden="false" customHeight="false" outlineLevel="0" collapsed="false">
      <c r="B75" s="47"/>
      <c r="C75" s="51"/>
      <c r="D75" s="51"/>
      <c r="E75" s="52"/>
      <c r="F75" s="52"/>
      <c r="G75" s="53"/>
      <c r="H75" s="53"/>
      <c r="I75" s="51"/>
      <c r="J75" s="65"/>
      <c r="K75" s="56"/>
      <c r="L75" s="56"/>
      <c r="M75" s="56"/>
      <c r="N75" s="56"/>
      <c r="O75" s="57"/>
      <c r="P75" s="56"/>
      <c r="Q75" s="124"/>
      <c r="R75" s="125"/>
      <c r="S75" s="127"/>
      <c r="T75" s="60"/>
      <c r="U75" s="61"/>
      <c r="V75" s="62"/>
      <c r="W75" s="63"/>
      <c r="X75" s="63"/>
    </row>
    <row r="76" customFormat="false" ht="12.75" hidden="false" customHeight="false" outlineLevel="0" collapsed="false">
      <c r="B76" s="47"/>
      <c r="C76" s="51"/>
      <c r="D76" s="51"/>
      <c r="E76" s="52"/>
      <c r="F76" s="52"/>
      <c r="G76" s="53"/>
      <c r="H76" s="53"/>
      <c r="I76" s="51"/>
      <c r="J76" s="65"/>
      <c r="K76" s="56"/>
      <c r="L76" s="56"/>
      <c r="M76" s="56"/>
      <c r="N76" s="56"/>
      <c r="O76" s="57"/>
      <c r="P76" s="56"/>
      <c r="Q76" s="124"/>
      <c r="R76" s="125"/>
      <c r="S76" s="127"/>
      <c r="T76" s="60"/>
      <c r="U76" s="61"/>
      <c r="V76" s="62"/>
      <c r="W76" s="63"/>
      <c r="X76" s="63"/>
    </row>
    <row r="77" customFormat="false" ht="12.75" hidden="false" customHeight="false" outlineLevel="0" collapsed="false">
      <c r="Q77" s="129"/>
      <c r="R77" s="129"/>
      <c r="S77" s="129"/>
      <c r="T77" s="129"/>
      <c r="U77" s="130"/>
      <c r="V77" s="131"/>
      <c r="W77" s="130"/>
    </row>
    <row r="78" customFormat="false" ht="12.75" hidden="false" customHeight="false" outlineLevel="0" collapsed="false">
      <c r="Q78" s="129"/>
      <c r="R78" s="129"/>
      <c r="S78" s="129"/>
      <c r="T78" s="129"/>
      <c r="U78" s="130"/>
      <c r="V78" s="131"/>
      <c r="W78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