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ternal legal billout" sheetId="1" state="visible" r:id="rId3"/>
    <sheet name="Internal legal billout" sheetId="2" state="visible" r:id="rId4"/>
    <sheet name="Allocations" sheetId="3" state="visible" r:id="rId5"/>
    <sheet name="legal - rev" sheetId="4" state="visible" r:id="rId6"/>
  </sheets>
  <externalReferences>
    <externalReference r:id="rId7"/>
  </externalReferences>
  <definedNames>
    <definedName function="false" hidden="false" localSheetId="3" name="_xlnm.Print_Area" vbProcedure="false">'legal - rev'!$B$1:$O$59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7" authorId="0">
      <text>
        <r>
          <rPr>
            <b val="true"/>
            <sz val="8"/>
            <color rgb="FF000000"/>
            <rFont val="Tahoma"/>
            <family val="0"/>
          </rPr>
          <t xml:space="preserve">Hide columns D through G for presentation purposes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</xdr:col>
                <xdr:colOff>3</xdr:colOff>
                <xdr:row>5</xdr:row>
                <xdr:rowOff>7</xdr:rowOff>
              </xdr:from>
              <xdr:to>
                <xdr:col>12</xdr:col>
                <xdr:colOff>22</xdr:colOff>
                <xdr:row>9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<sst xmlns="http://schemas.openxmlformats.org/spreadsheetml/2006/main" count="187" uniqueCount="158">
  <si>
    <t xml:space="preserve">2002 external legal billout to other BUs and commercial teams</t>
  </si>
  <si>
    <t xml:space="preserve">Cost Center</t>
  </si>
  <si>
    <t xml:space="preserve">BUs and Commercial Teams</t>
  </si>
  <si>
    <t xml:space="preserve">Old Name</t>
  </si>
  <si>
    <t xml:space="preserve">Total</t>
  </si>
  <si>
    <t xml:space="preserve">RAC - Investment Underwriting</t>
  </si>
  <si>
    <t xml:space="preserve">I/C - EEL-ECT NA G&amp;A ALLOCATIONS</t>
  </si>
  <si>
    <t xml:space="preserve">I/C</t>
  </si>
  <si>
    <t xml:space="preserve">I/C - ES-HOU - Corp. Allocations (EI - So. Am)</t>
  </si>
  <si>
    <t xml:space="preserve">I/C - EIM</t>
  </si>
  <si>
    <t xml:space="preserve">I/C - EES - Commodity Risk Management</t>
  </si>
  <si>
    <t xml:space="preserve">NA-Company 413 Group Non Controllable</t>
  </si>
  <si>
    <t xml:space="preserve">NA-Treasury</t>
  </si>
  <si>
    <t xml:space="preserve">Group</t>
  </si>
  <si>
    <t xml:space="preserve">I/C - EEDC</t>
  </si>
  <si>
    <t xml:space="preserve">I/C - ECM(EGF)</t>
  </si>
  <si>
    <t xml:space="preserve">NA-Generation Investments</t>
  </si>
  <si>
    <t xml:space="preserve">NA-Office of the Chair G&amp;A</t>
  </si>
  <si>
    <t xml:space="preserve">NBD</t>
  </si>
  <si>
    <t xml:space="preserve">NA-Natural Gas Derivatives</t>
  </si>
  <si>
    <t xml:space="preserve">Office of the Chairman</t>
  </si>
  <si>
    <t xml:space="preserve">NA-HPL</t>
  </si>
  <si>
    <t xml:space="preserve">NA-Energy Capital Resources</t>
  </si>
  <si>
    <t xml:space="preserve">Risk Management - New York</t>
  </si>
  <si>
    <t xml:space="preserve">NA-Upstream Originations Prod E-Commerce</t>
  </si>
  <si>
    <t xml:space="preserve">SA: perf &amp; nonperf</t>
  </si>
  <si>
    <t xml:space="preserve">NA-TAC</t>
  </si>
  <si>
    <t xml:space="preserve">Upstream Origination</t>
  </si>
  <si>
    <t xml:space="preserve">NA-Mexico G&amp;A</t>
  </si>
  <si>
    <t xml:space="preserve">Assets</t>
  </si>
  <si>
    <t xml:space="preserve">NA-West Power Originations </t>
  </si>
  <si>
    <t xml:space="preserve">Canada</t>
  </si>
  <si>
    <t xml:space="preserve">NA-West Origination Development</t>
  </si>
  <si>
    <t xml:space="preserve">NA-West Power Trading G&amp;A</t>
  </si>
  <si>
    <t xml:space="preserve">Mexico</t>
  </si>
  <si>
    <t xml:space="preserve">NA-East Power Northeast Trading</t>
  </si>
  <si>
    <t xml:space="preserve">NA-Natural Gas Midwest Originations</t>
  </si>
  <si>
    <t xml:space="preserve">West Originations</t>
  </si>
  <si>
    <t xml:space="preserve">NA-East Power Generation Development</t>
  </si>
  <si>
    <t xml:space="preserve">NA-East Power Mgmt Book Trading</t>
  </si>
  <si>
    <t xml:space="preserve">NA-East Power Northeast Origination</t>
  </si>
  <si>
    <t xml:space="preserve">NA-East Power Southeast Origination</t>
  </si>
  <si>
    <t xml:space="preserve">NA-East Power Southeast Trading</t>
  </si>
  <si>
    <t xml:space="preserve">NA-East Power ERCOT Trading</t>
  </si>
  <si>
    <t xml:space="preserve">I/C - Enron Global Markets</t>
  </si>
  <si>
    <t xml:space="preserve">ENRON FREIGHT MARKETS</t>
  </si>
  <si>
    <t xml:space="preserve">I/C - AP/A/CHI </t>
  </si>
  <si>
    <t xml:space="preserve">I/C - ENW</t>
  </si>
  <si>
    <t xml:space="preserve">I/C - EPI (old NA-Principal Investing)</t>
  </si>
  <si>
    <t xml:space="preserve">I/C - EPI (old NA-Restructuring)</t>
  </si>
  <si>
    <t xml:space="preserve">I/C,Coal,Weather, SO2,Currency, Insurance and Equity Trdg</t>
  </si>
  <si>
    <t xml:space="preserve">NA-North Carolina Coal Plants (Alamac)</t>
  </si>
  <si>
    <t xml:space="preserve">Corp Development</t>
  </si>
  <si>
    <t xml:space="preserve">External legal billout other business units</t>
  </si>
  <si>
    <t xml:space="preserve">External legal billout to ENA commercial teams</t>
  </si>
  <si>
    <t xml:space="preserve">2002 Plan total billout for outside legal</t>
  </si>
  <si>
    <t xml:space="preserve">2002 Internal legal billout to other business units (nonENA)</t>
  </si>
  <si>
    <t xml:space="preserve">L. Schuler - 105653</t>
  </si>
  <si>
    <t xml:space="preserve">L. Schuler (EBS) - 140567</t>
  </si>
  <si>
    <t xml:space="preserve">M. Haedicke - 105655</t>
  </si>
  <si>
    <t xml:space="preserve">M. Taylor - 105657</t>
  </si>
  <si>
    <t xml:space="preserve">A. Aronowitz - 105658</t>
  </si>
  <si>
    <t xml:space="preserve">Total/month</t>
  </si>
  <si>
    <t xml:space="preserve">Total/year</t>
  </si>
  <si>
    <t xml:space="preserve">Enron Capital Management - CC 106196</t>
  </si>
  <si>
    <t xml:space="preserve">Enron Global Markets - CC 120484</t>
  </si>
  <si>
    <t xml:space="preserve">Enron Industrial Markets - CC 103478</t>
  </si>
  <si>
    <t xml:space="preserve">Enron South America - CC 102564</t>
  </si>
  <si>
    <t xml:space="preserve">Enron Networks - CC 140167</t>
  </si>
  <si>
    <t xml:space="preserve">EEL - CC 100663</t>
  </si>
  <si>
    <t xml:space="preserve">Enron Principal Investments - CC 140399</t>
  </si>
  <si>
    <t xml:space="preserve">Enron Broadband Services</t>
  </si>
  <si>
    <t xml:space="preserve">Xcelerator</t>
  </si>
  <si>
    <t xml:space="preserve">Total Direct Expenses for 2002 Plan</t>
  </si>
  <si>
    <t xml:space="preserve">Flat amount of $8M/yr</t>
  </si>
  <si>
    <t xml:space="preserve">Note:  These amounts are being billed to the above business units monthly.</t>
  </si>
  <si>
    <t xml:space="preserve">            Legal</t>
  </si>
  <si>
    <t xml:space="preserve">              Analysis of I/C Billings</t>
  </si>
  <si>
    <t xml:space="preserve">2001 Forecast</t>
  </si>
  <si>
    <t xml:space="preserve">2002 Plan</t>
  </si>
  <si>
    <t xml:space="preserve">$</t>
  </si>
  <si>
    <t xml:space="preserve">%</t>
  </si>
  <si>
    <t xml:space="preserve">Total Direct Expenses</t>
  </si>
  <si>
    <t xml:space="preserve">  Allocation to other business units</t>
  </si>
  <si>
    <t xml:space="preserve">     EGM</t>
  </si>
  <si>
    <t xml:space="preserve">     RAC - Investment Underwriting</t>
  </si>
  <si>
    <t xml:space="preserve">     Corp</t>
  </si>
  <si>
    <t xml:space="preserve">     APACHI</t>
  </si>
  <si>
    <t xml:space="preserve">     ENW</t>
  </si>
  <si>
    <t xml:space="preserve">     EEDC</t>
  </si>
  <si>
    <t xml:space="preserve">     ECM(EGF)</t>
  </si>
  <si>
    <t xml:space="preserve">     EEL</t>
  </si>
  <si>
    <t xml:space="preserve">     EI - S.A.</t>
  </si>
  <si>
    <t xml:space="preserve">     EIM</t>
  </si>
  <si>
    <t xml:space="preserve">     EBS</t>
  </si>
  <si>
    <t xml:space="preserve">     EES</t>
  </si>
  <si>
    <t xml:space="preserve">     Xcelerator</t>
  </si>
  <si>
    <t xml:space="preserve">     EPI</t>
  </si>
  <si>
    <t xml:space="preserve">Sub total</t>
  </si>
  <si>
    <t xml:space="preserve">  Allocation to ENA Commercial Teams</t>
  </si>
  <si>
    <t xml:space="preserve">     Total</t>
  </si>
  <si>
    <t xml:space="preserve">Net to ENA</t>
  </si>
  <si>
    <t xml:space="preserve">2002 Plan Summary - Legal</t>
  </si>
  <si>
    <t xml:space="preserve">'01 Fcst vs '02 Plan</t>
  </si>
  <si>
    <t xml:space="preserve">Actuals</t>
  </si>
  <si>
    <t xml:space="preserve">Forecast</t>
  </si>
  <si>
    <t xml:space="preserve">Plan</t>
  </si>
  <si>
    <t xml:space="preserve">Fav/(Unfav)</t>
  </si>
  <si>
    <t xml:space="preserve">Jan-July</t>
  </si>
  <si>
    <t xml:space="preserve">Aug-Dec</t>
  </si>
  <si>
    <t xml:space="preserve">  Direct Expenses (000s)</t>
  </si>
  <si>
    <t xml:space="preserve">Compensation/Taxes and Benefits</t>
  </si>
  <si>
    <t xml:space="preserve">Merits/Promotions increase</t>
  </si>
  <si>
    <t xml:space="preserve">Employee Expenses</t>
  </si>
  <si>
    <t xml:space="preserve">     Recruiting and Relocations</t>
  </si>
  <si>
    <t xml:space="preserve">     Communications (Cell Phones, Pagers, etc.)</t>
  </si>
  <si>
    <t xml:space="preserve">     Conferences and Training</t>
  </si>
  <si>
    <t xml:space="preserve">     Club Dues</t>
  </si>
  <si>
    <t xml:space="preserve">     Employee Memberships &amp; Dues</t>
  </si>
  <si>
    <t xml:space="preserve">     Tuition Reimbursement</t>
  </si>
  <si>
    <t xml:space="preserve">     Employee Entertainment</t>
  </si>
  <si>
    <t xml:space="preserve">     Overtime/Working Meals</t>
  </si>
  <si>
    <t xml:space="preserve">     Other Employee Expenses</t>
  </si>
  <si>
    <t xml:space="preserve">Travel/Entertainment</t>
  </si>
  <si>
    <t xml:space="preserve">     Travel - Air</t>
  </si>
  <si>
    <t xml:space="preserve">     Travel - Lodging</t>
  </si>
  <si>
    <t xml:space="preserve">     Travel - Meals</t>
  </si>
  <si>
    <t xml:space="preserve">     Travel - Other</t>
  </si>
  <si>
    <t xml:space="preserve">     Client Entertainment</t>
  </si>
  <si>
    <t xml:space="preserve">     Customer Meetings</t>
  </si>
  <si>
    <t xml:space="preserve">Consulting</t>
  </si>
  <si>
    <t xml:space="preserve">All O/S planned as O/S legal</t>
  </si>
  <si>
    <t xml:space="preserve">     Advertising &amp; Promotions</t>
  </si>
  <si>
    <t xml:space="preserve">     Outside Services Excluding Legal and Tax</t>
  </si>
  <si>
    <t xml:space="preserve">Office</t>
  </si>
  <si>
    <t xml:space="preserve">     3rd Party Rent</t>
  </si>
  <si>
    <t xml:space="preserve">     Supplies</t>
  </si>
  <si>
    <t xml:space="preserve">     Subscriptions and Periodicals</t>
  </si>
  <si>
    <t xml:space="preserve">     Postage and Freight</t>
  </si>
  <si>
    <t xml:space="preserve">     Corporate Rent</t>
  </si>
  <si>
    <t xml:space="preserve">     Technology</t>
  </si>
  <si>
    <t xml:space="preserve">Controllable Infrastructure</t>
  </si>
  <si>
    <t xml:space="preserve">System Development</t>
  </si>
  <si>
    <t xml:space="preserve">Insurance</t>
  </si>
  <si>
    <r>
      <rPr>
        <b val="true"/>
        <sz val="8"/>
        <rFont val="Arial"/>
        <family val="2"/>
      </rPr>
      <t xml:space="preserve">Analyst Associates </t>
    </r>
    <r>
      <rPr>
        <sz val="8"/>
        <rFont val="Arial"/>
        <family val="2"/>
      </rPr>
      <t xml:space="preserve">(Includes Comp, Taxes and Benefits and allocation)</t>
    </r>
  </si>
  <si>
    <t xml:space="preserve">Other Expense</t>
  </si>
  <si>
    <t xml:space="preserve">     Taxes Other than Income</t>
  </si>
  <si>
    <t xml:space="preserve">     Charitable Contributions</t>
  </si>
  <si>
    <t xml:space="preserve">     Company Membership &amp; Dues</t>
  </si>
  <si>
    <t xml:space="preserve">     Other Expenses (Transportation, Fees &amp; Permits, etc.)</t>
  </si>
  <si>
    <t xml:space="preserve">Outside Legal</t>
  </si>
  <si>
    <t xml:space="preserve">Per M. Haedicke, flat yr on yr</t>
  </si>
  <si>
    <t xml:space="preserve">Outside Tax</t>
  </si>
  <si>
    <t xml:space="preserve">Depreciation and Amortization</t>
  </si>
  <si>
    <t xml:space="preserve">Amounts Billed to Other Business Units</t>
  </si>
  <si>
    <t xml:space="preserve">Amounts Directed to ENA Commercial Teams</t>
  </si>
  <si>
    <t xml:space="preserve">Expenses Net of Intercompany Billings</t>
  </si>
  <si>
    <t xml:space="preserve">  Headcount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</si>
</sst>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0%"/>
    <numFmt numFmtId="167" formatCode="0.00%"/>
    <numFmt numFmtId="168" formatCode="0.0%"/>
    <numFmt numFmtId="169" formatCode="_(* #,##0_);_(* \(#,##0\);_(* \-??_);_(@_)"/>
    <numFmt numFmtId="170" formatCode="_(\$* #,##0.00_);_(\$* \(#,##0.00\);_(\$* \-??_);_(@_)"/>
    <numFmt numFmtId="171" formatCode="_(\$* #,##0_);_(\$* \(#,##0\);_(\$* \-??_);_(@_)"/>
    <numFmt numFmtId="172" formatCode="[$-409]#,##0_);[RED]\(#,##0\)"/>
    <numFmt numFmtId="173" formatCode="[$-409]#,##0_);\(#,##0\)"/>
    <numFmt numFmtId="174" formatCode="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1"/>
      <name val="Arial"/>
      <family val="2"/>
    </font>
    <font>
      <b val="true"/>
      <sz val="8"/>
      <color rgb="FF0000FF"/>
      <name val="Arial"/>
      <family val="2"/>
    </font>
    <font>
      <b val="true"/>
      <sz val="11"/>
      <name val="Arial"/>
      <family val="2"/>
    </font>
    <font>
      <sz val="8"/>
      <color rgb="FF0000FF"/>
      <name val="Arial"/>
      <family val="2"/>
    </font>
    <font>
      <sz val="9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000000"/>
      <name val="Tahoma"/>
      <family val="0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5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5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6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9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9" fillId="0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9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9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1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%20legal%20billou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Summary ($)"/>
      <sheetName val="2002 Ext billout"/>
      <sheetName val="YTD Summary (%) - 105659"/>
      <sheetName val="Teams"/>
      <sheetName val="Teams (2)"/>
      <sheetName val="teams (plan $)"/>
      <sheetName val="teams (plan $-2)"/>
      <sheetName val="YTD Summary ($) - 105659"/>
      <sheetName val="2002 Plan int legal billout"/>
      <sheetName val="2001 Int Legal billout"/>
      <sheetName val="YTD billout"/>
      <sheetName val="Jan ext legal"/>
      <sheetName val="Feb ext legal"/>
      <sheetName val="Mar ext legal"/>
      <sheetName val="Apr ext legal"/>
      <sheetName val="May ext legal"/>
      <sheetName val="Jun ext legal"/>
      <sheetName val="Jul ext legal"/>
      <sheetName val="Sheet5"/>
    </sheetNames>
    <sheetDataSet>
      <sheetData sheetId="0">
        <row r="3">
          <cell r="A3" t="str">
            <v>Prepared by: Vivian Nguyen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40.56"/>
    <col collapsed="false" customWidth="false" hidden="true" outlineLevel="0" max="3" min="3" style="0" width="9.06"/>
    <col collapsed="false" customWidth="true" hidden="false" outlineLevel="0" max="4" min="4" style="0" width="13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/>
    </row>
    <row r="4" customFormat="false" ht="13.5" hidden="false" customHeight="false" outlineLevel="0" collapsed="false"/>
    <row r="5" customFormat="false" ht="12.75" hidden="false" customHeight="false" outlineLevel="0" collapsed="false">
      <c r="A5" s="2" t="s">
        <v>1</v>
      </c>
      <c r="B5" s="3" t="s">
        <v>2</v>
      </c>
      <c r="C5" s="4" t="s">
        <v>3</v>
      </c>
      <c r="D5" s="5" t="s">
        <v>4</v>
      </c>
    </row>
    <row r="6" customFormat="false" ht="12.75" hidden="false" customHeight="false" outlineLevel="0" collapsed="false">
      <c r="A6" s="6" t="n">
        <v>100055</v>
      </c>
      <c r="B6" s="7" t="s">
        <v>5</v>
      </c>
      <c r="C6" s="8"/>
      <c r="D6" s="9" t="n">
        <v>1328654.74248882</v>
      </c>
    </row>
    <row r="7" customFormat="false" ht="12.75" hidden="false" customHeight="false" outlineLevel="0" collapsed="false">
      <c r="A7" s="6" t="n">
        <v>100663</v>
      </c>
      <c r="B7" s="7" t="s">
        <v>6</v>
      </c>
      <c r="C7" s="10" t="s">
        <v>7</v>
      </c>
      <c r="D7" s="9" t="n">
        <v>955569.960120175</v>
      </c>
    </row>
    <row r="8" customFormat="false" ht="12.75" hidden="false" customHeight="false" outlineLevel="0" collapsed="false">
      <c r="A8" s="6" t="n">
        <v>102564</v>
      </c>
      <c r="B8" s="7" t="s">
        <v>8</v>
      </c>
      <c r="C8" s="10" t="s">
        <v>7</v>
      </c>
      <c r="D8" s="9" t="n">
        <v>8402.18503901532</v>
      </c>
    </row>
    <row r="9" customFormat="false" ht="12.75" hidden="false" customHeight="false" outlineLevel="0" collapsed="false">
      <c r="A9" s="6" t="n">
        <v>103478</v>
      </c>
      <c r="B9" s="7" t="s">
        <v>9</v>
      </c>
      <c r="C9" s="10" t="s">
        <v>7</v>
      </c>
      <c r="D9" s="9" t="n">
        <v>55378.4741706684</v>
      </c>
    </row>
    <row r="10" customFormat="false" ht="12.75" hidden="false" customHeight="false" outlineLevel="0" collapsed="false">
      <c r="A10" s="6" t="n">
        <v>105168</v>
      </c>
      <c r="B10" s="7" t="s">
        <v>10</v>
      </c>
      <c r="C10" s="10" t="s">
        <v>7</v>
      </c>
      <c r="D10" s="9" t="n">
        <v>63123.9791344549</v>
      </c>
    </row>
    <row r="11" customFormat="false" ht="12.75" hidden="false" customHeight="false" outlineLevel="0" collapsed="false">
      <c r="A11" s="11" t="n">
        <v>105713</v>
      </c>
      <c r="B11" s="12" t="s">
        <v>11</v>
      </c>
      <c r="C11" s="13" t="s">
        <v>7</v>
      </c>
      <c r="D11" s="14" t="n">
        <v>24526.6268262717</v>
      </c>
    </row>
    <row r="12" customFormat="false" ht="12.75" hidden="false" customHeight="false" outlineLevel="0" collapsed="false">
      <c r="A12" s="11" t="n">
        <v>105751</v>
      </c>
      <c r="B12" s="12" t="s">
        <v>12</v>
      </c>
      <c r="C12" s="13" t="s">
        <v>13</v>
      </c>
      <c r="D12" s="14" t="n">
        <v>223827.323768454</v>
      </c>
    </row>
    <row r="13" customFormat="false" ht="12.75" hidden="false" customHeight="false" outlineLevel="0" collapsed="false">
      <c r="A13" s="6" t="n">
        <v>106042</v>
      </c>
      <c r="B13" s="7" t="s">
        <v>14</v>
      </c>
      <c r="C13" s="10" t="s">
        <v>7</v>
      </c>
      <c r="D13" s="9" t="n">
        <v>252662.175178061</v>
      </c>
    </row>
    <row r="14" customFormat="false" ht="12.75" hidden="false" customHeight="false" outlineLevel="0" collapsed="false">
      <c r="A14" s="6" t="n">
        <v>106196</v>
      </c>
      <c r="B14" s="7" t="s">
        <v>15</v>
      </c>
      <c r="C14" s="10" t="s">
        <v>7</v>
      </c>
      <c r="D14" s="9" t="n">
        <v>45494.6363954736</v>
      </c>
    </row>
    <row r="15" customFormat="false" ht="12.75" hidden="false" customHeight="false" outlineLevel="0" collapsed="false">
      <c r="A15" s="11" t="n">
        <v>106230</v>
      </c>
      <c r="B15" s="12" t="s">
        <v>16</v>
      </c>
      <c r="C15" s="13"/>
      <c r="D15" s="15" t="n">
        <v>2327557.22954553</v>
      </c>
    </row>
    <row r="16" customFormat="false" ht="12.75" hidden="false" customHeight="false" outlineLevel="0" collapsed="false">
      <c r="A16" s="11" t="n">
        <v>106298</v>
      </c>
      <c r="B16" s="12" t="s">
        <v>17</v>
      </c>
      <c r="C16" s="13" t="s">
        <v>18</v>
      </c>
      <c r="D16" s="14" t="n">
        <v>271882.631912681</v>
      </c>
    </row>
    <row r="17" customFormat="false" ht="12.75" hidden="false" customHeight="false" outlineLevel="0" collapsed="false">
      <c r="A17" s="11" t="n">
        <v>106303</v>
      </c>
      <c r="B17" s="12" t="s">
        <v>19</v>
      </c>
      <c r="C17" s="13" t="s">
        <v>20</v>
      </c>
      <c r="D17" s="14" t="n">
        <v>112309.133057887</v>
      </c>
    </row>
    <row r="18" customFormat="false" ht="12.75" hidden="false" customHeight="false" outlineLevel="0" collapsed="false">
      <c r="A18" s="11" t="n">
        <v>106331</v>
      </c>
      <c r="B18" s="12" t="s">
        <v>21</v>
      </c>
      <c r="C18" s="13"/>
      <c r="D18" s="14" t="n">
        <v>1081964.53742673</v>
      </c>
    </row>
    <row r="19" customFormat="false" ht="12.75" hidden="false" customHeight="false" outlineLevel="0" collapsed="false">
      <c r="A19" s="16" t="n">
        <v>106790</v>
      </c>
      <c r="B19" s="17" t="s">
        <v>22</v>
      </c>
      <c r="C19" s="13" t="s">
        <v>23</v>
      </c>
      <c r="D19" s="14" t="n">
        <v>831402.881170446</v>
      </c>
    </row>
    <row r="20" customFormat="false" ht="12.75" hidden="false" customHeight="false" outlineLevel="0" collapsed="false">
      <c r="A20" s="11" t="n">
        <v>106802</v>
      </c>
      <c r="B20" s="12" t="s">
        <v>24</v>
      </c>
      <c r="C20" s="13" t="s">
        <v>25</v>
      </c>
      <c r="D20" s="14" t="n">
        <v>2252.25562869553</v>
      </c>
    </row>
    <row r="21" customFormat="false" ht="12.75" hidden="false" customHeight="false" outlineLevel="0" collapsed="false">
      <c r="A21" s="11" t="n">
        <v>106860</v>
      </c>
      <c r="B21" s="12" t="s">
        <v>26</v>
      </c>
      <c r="C21" s="18" t="s">
        <v>27</v>
      </c>
      <c r="D21" s="14" t="n">
        <v>103060.2361987</v>
      </c>
    </row>
    <row r="22" customFormat="false" ht="12.75" hidden="false" customHeight="false" outlineLevel="0" collapsed="false">
      <c r="A22" s="11" t="n">
        <v>107040</v>
      </c>
      <c r="B22" s="12" t="s">
        <v>28</v>
      </c>
      <c r="C22" s="13" t="s">
        <v>29</v>
      </c>
      <c r="D22" s="14" t="n">
        <v>334283.729327076</v>
      </c>
    </row>
    <row r="23" customFormat="false" ht="12.75" hidden="false" customHeight="false" outlineLevel="0" collapsed="false">
      <c r="A23" s="11" t="n">
        <v>107295</v>
      </c>
      <c r="B23" s="12" t="s">
        <v>30</v>
      </c>
      <c r="C23" s="13" t="s">
        <v>31</v>
      </c>
      <c r="D23" s="14" t="n">
        <v>3346891.20905789</v>
      </c>
    </row>
    <row r="24" customFormat="false" ht="12.75" hidden="false" customHeight="false" outlineLevel="0" collapsed="false">
      <c r="A24" s="11" t="n">
        <v>107297</v>
      </c>
      <c r="B24" s="12" t="s">
        <v>32</v>
      </c>
      <c r="C24" s="13" t="s">
        <v>31</v>
      </c>
      <c r="D24" s="14" t="n">
        <v>340488.400302316</v>
      </c>
    </row>
    <row r="25" customFormat="false" ht="12.75" hidden="false" customHeight="false" outlineLevel="0" collapsed="false">
      <c r="A25" s="11" t="n">
        <v>107300</v>
      </c>
      <c r="B25" s="12" t="s">
        <v>33</v>
      </c>
      <c r="C25" s="13" t="s">
        <v>34</v>
      </c>
      <c r="D25" s="14" t="n">
        <v>7736952.13555967</v>
      </c>
    </row>
    <row r="26" customFormat="false" ht="12.75" hidden="false" customHeight="false" outlineLevel="0" collapsed="false">
      <c r="A26" s="11" t="n">
        <v>107310</v>
      </c>
      <c r="B26" s="12" t="s">
        <v>35</v>
      </c>
      <c r="C26" s="13"/>
      <c r="D26" s="14" t="n">
        <v>235627.925519976</v>
      </c>
    </row>
    <row r="27" customFormat="false" ht="12.75" hidden="false" customHeight="false" outlineLevel="0" collapsed="false">
      <c r="A27" s="11" t="n">
        <v>107312</v>
      </c>
      <c r="B27" s="12" t="s">
        <v>36</v>
      </c>
      <c r="C27" s="13" t="s">
        <v>37</v>
      </c>
      <c r="D27" s="14" t="n">
        <v>17392.6614702767</v>
      </c>
    </row>
    <row r="28" customFormat="false" ht="12.75" hidden="false" customHeight="false" outlineLevel="0" collapsed="false">
      <c r="A28" s="11" t="n">
        <v>107319</v>
      </c>
      <c r="B28" s="12" t="s">
        <v>38</v>
      </c>
      <c r="C28" s="13"/>
      <c r="D28" s="14" t="n">
        <v>105871.848704903</v>
      </c>
    </row>
    <row r="29" customFormat="false" ht="12.75" hidden="false" customHeight="false" outlineLevel="0" collapsed="false">
      <c r="A29" s="11" t="n">
        <v>107443</v>
      </c>
      <c r="B29" s="12" t="s">
        <v>39</v>
      </c>
      <c r="C29" s="13"/>
      <c r="D29" s="14" t="n">
        <v>116187.189107297</v>
      </c>
    </row>
    <row r="30" customFormat="false" ht="12.75" hidden="false" customHeight="false" outlineLevel="0" collapsed="false">
      <c r="A30" s="11" t="n">
        <v>107444</v>
      </c>
      <c r="B30" s="12" t="s">
        <v>40</v>
      </c>
      <c r="C30" s="13"/>
      <c r="D30" s="14" t="n">
        <v>142319.123806807</v>
      </c>
    </row>
    <row r="31" customFormat="false" ht="12.75" hidden="false" customHeight="false" outlineLevel="0" collapsed="false">
      <c r="A31" s="11" t="n">
        <v>107446</v>
      </c>
      <c r="B31" s="12" t="s">
        <v>41</v>
      </c>
      <c r="C31" s="13"/>
      <c r="D31" s="14" t="n">
        <v>1650622.86632057</v>
      </c>
    </row>
    <row r="32" customFormat="false" ht="12.75" hidden="false" customHeight="false" outlineLevel="0" collapsed="false">
      <c r="A32" s="11" t="n">
        <v>107447</v>
      </c>
      <c r="B32" s="12" t="s">
        <v>42</v>
      </c>
      <c r="C32" s="13"/>
      <c r="D32" s="14" t="n">
        <v>69421.6648422584</v>
      </c>
    </row>
    <row r="33" customFormat="false" ht="12.75" hidden="false" customHeight="false" outlineLevel="0" collapsed="false">
      <c r="A33" s="11" t="n">
        <v>107449</v>
      </c>
      <c r="B33" s="12" t="s">
        <v>43</v>
      </c>
      <c r="C33" s="13"/>
      <c r="D33" s="14" t="n">
        <v>8386.37275318337</v>
      </c>
    </row>
    <row r="34" customFormat="false" ht="12.75" hidden="false" customHeight="false" outlineLevel="0" collapsed="false">
      <c r="A34" s="6" t="n">
        <v>120484</v>
      </c>
      <c r="B34" s="7" t="s">
        <v>44</v>
      </c>
      <c r="C34" s="10"/>
      <c r="D34" s="9" t="n">
        <v>3188502.77869561</v>
      </c>
    </row>
    <row r="35" customFormat="false" ht="12.75" hidden="false" customHeight="false" outlineLevel="0" collapsed="false">
      <c r="A35" s="6" t="n">
        <v>121125</v>
      </c>
      <c r="B35" s="7" t="s">
        <v>45</v>
      </c>
      <c r="C35" s="10"/>
      <c r="D35" s="9" t="n">
        <v>237674.883877434</v>
      </c>
    </row>
    <row r="36" customFormat="false" ht="12.75" hidden="false" customHeight="false" outlineLevel="0" collapsed="false">
      <c r="A36" s="6" t="n">
        <v>140052</v>
      </c>
      <c r="B36" s="7" t="s">
        <v>46</v>
      </c>
      <c r="C36" s="10"/>
      <c r="D36" s="9" t="n">
        <v>9020.11079820784</v>
      </c>
    </row>
    <row r="37" customFormat="false" ht="12.75" hidden="false" customHeight="false" outlineLevel="0" collapsed="false">
      <c r="A37" s="6" t="n">
        <v>140167</v>
      </c>
      <c r="B37" s="7" t="s">
        <v>47</v>
      </c>
      <c r="C37" s="10"/>
      <c r="D37" s="9" t="n">
        <v>442237.288425657</v>
      </c>
    </row>
    <row r="38" customFormat="false" ht="12.75" hidden="false" customHeight="false" outlineLevel="0" collapsed="false">
      <c r="A38" s="6" t="n">
        <v>140399</v>
      </c>
      <c r="B38" s="7" t="s">
        <v>48</v>
      </c>
      <c r="C38" s="10"/>
      <c r="D38" s="9" t="n">
        <v>343995.775255507</v>
      </c>
    </row>
    <row r="39" customFormat="false" ht="12.75" hidden="false" customHeight="false" outlineLevel="0" collapsed="false">
      <c r="A39" s="6" t="n">
        <v>140402</v>
      </c>
      <c r="B39" s="7" t="s">
        <v>49</v>
      </c>
      <c r="C39" s="10" t="s">
        <v>50</v>
      </c>
      <c r="D39" s="9" t="n">
        <v>4773660.57276334</v>
      </c>
    </row>
    <row r="40" customFormat="false" ht="12.75" hidden="false" customHeight="false" outlineLevel="0" collapsed="false">
      <c r="A40" s="11" t="n">
        <v>150164</v>
      </c>
      <c r="B40" s="12" t="s">
        <v>51</v>
      </c>
      <c r="C40" s="10"/>
      <c r="D40" s="14" t="n">
        <v>733.204540133397</v>
      </c>
    </row>
    <row r="41" customFormat="false" ht="13.5" hidden="false" customHeight="false" outlineLevel="0" collapsed="false">
      <c r="A41" s="19" t="n">
        <v>150249</v>
      </c>
      <c r="B41" s="20" t="s">
        <v>52</v>
      </c>
      <c r="C41" s="10" t="s">
        <v>7</v>
      </c>
      <c r="D41" s="9" t="n">
        <v>311661.247267</v>
      </c>
    </row>
    <row r="42" customFormat="false" ht="13.5" hidden="false" customHeight="false" outlineLevel="0" collapsed="false">
      <c r="A42" s="21"/>
      <c r="B42" s="13"/>
      <c r="C42" s="13"/>
      <c r="D42" s="22" t="n">
        <f aca="false">SUM(D6:D41)</f>
        <v>31099999.9964572</v>
      </c>
    </row>
    <row r="43" customFormat="false" ht="12.75" hidden="false" customHeight="false" outlineLevel="0" collapsed="false">
      <c r="A43" s="21"/>
      <c r="B43" s="13"/>
      <c r="C43" s="13"/>
      <c r="D43" s="13"/>
    </row>
    <row r="44" customFormat="false" ht="12.75" hidden="false" customHeight="false" outlineLevel="0" collapsed="false">
      <c r="A44" s="13"/>
      <c r="B44" s="13"/>
      <c r="C44" s="13"/>
      <c r="D44" s="13"/>
    </row>
    <row r="45" customFormat="false" ht="12.75" hidden="false" customHeight="false" outlineLevel="0" collapsed="false">
      <c r="A45" s="13"/>
      <c r="B45" s="23" t="s">
        <v>53</v>
      </c>
      <c r="C45" s="13"/>
      <c r="D45" s="24" t="n">
        <f aca="false">+D6+D7+D8+D9:E9+D10+D13+D14+D34+D35:E35+D36+D37:E37+D38:E38+D39:E39+D41</f>
        <v>12016038.8096094</v>
      </c>
    </row>
    <row r="46" customFormat="false" ht="12.75" hidden="false" customHeight="false" outlineLevel="0" collapsed="false">
      <c r="A46" s="13"/>
      <c r="B46" s="23" t="s">
        <v>54</v>
      </c>
      <c r="C46" s="18"/>
      <c r="D46" s="25" t="n">
        <f aca="false">+D42-D45</f>
        <v>19083961.1868477</v>
      </c>
    </row>
    <row r="47" customFormat="false" ht="13.5" hidden="false" customHeight="false" outlineLevel="0" collapsed="false">
      <c r="A47" s="13"/>
      <c r="B47" s="23" t="s">
        <v>55</v>
      </c>
      <c r="C47" s="13"/>
      <c r="D47" s="26" t="n">
        <f aca="false">SUM(D45:D46)</f>
        <v>31099999.9964572</v>
      </c>
    </row>
    <row r="48" customFormat="false" ht="13.5" hidden="false" customHeight="false" outlineLevel="0" collapsed="false">
      <c r="A48" s="13"/>
      <c r="B4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7"/>
    <col collapsed="false" customWidth="true" hidden="false" outlineLevel="0" max="2" min="2" style="0" width="3.7"/>
    <col collapsed="false" customWidth="true" hidden="false" outlineLevel="0" max="3" min="3" style="0" width="17.42"/>
    <col collapsed="false" customWidth="true" hidden="false" outlineLevel="0" max="4" min="4" style="0" width="24.13"/>
    <col collapsed="false" customWidth="true" hidden="false" outlineLevel="0" max="5" min="5" style="0" width="19.99"/>
    <col collapsed="false" customWidth="true" hidden="false" outlineLevel="0" max="6" min="6" style="0" width="17.85"/>
    <col collapsed="false" customWidth="true" hidden="false" outlineLevel="0" max="7" min="7" style="0" width="25.85"/>
    <col collapsed="false" customWidth="true" hidden="false" outlineLevel="0" max="8" min="8" style="0" width="1.99"/>
    <col collapsed="false" customWidth="true" hidden="false" outlineLevel="0" max="9" min="9" style="0" width="17.7"/>
    <col collapsed="false" customWidth="true" hidden="false" outlineLevel="0" max="10" min="10" style="0" width="1.99"/>
    <col collapsed="false" customWidth="true" hidden="false" outlineLevel="0" max="11" min="11" style="0" width="17.99"/>
  </cols>
  <sheetData>
    <row r="1" customFormat="false" ht="12.75" hidden="false" customHeight="false" outlineLevel="0" collapsed="false">
      <c r="A1" s="1" t="s">
        <v>56</v>
      </c>
    </row>
    <row r="2" customFormat="false" ht="12.75" hidden="false" customHeight="false" outlineLevel="0" collapsed="false">
      <c r="A2" s="1" t="str">
        <f aca="false">+'[1]YTD Summary ($)'!A3</f>
        <v>Prepared by: Vivian Nguyen</v>
      </c>
    </row>
    <row r="4" customFormat="false" ht="13.5" hidden="false" customHeight="false" outlineLevel="0" collapsed="false"/>
    <row r="5" customFormat="false" ht="13.5" hidden="false" customHeight="false" outlineLevel="0" collapsed="false">
      <c r="C5" s="27" t="s">
        <v>57</v>
      </c>
      <c r="D5" s="27" t="s">
        <v>58</v>
      </c>
      <c r="E5" s="27" t="s">
        <v>59</v>
      </c>
      <c r="F5" s="28" t="s">
        <v>60</v>
      </c>
      <c r="G5" s="27" t="s">
        <v>61</v>
      </c>
      <c r="H5" s="28"/>
      <c r="I5" s="27" t="s">
        <v>62</v>
      </c>
      <c r="J5" s="27"/>
      <c r="K5" s="27" t="s">
        <v>63</v>
      </c>
    </row>
    <row r="6" customFormat="false" ht="12.75" hidden="false" customHeight="false" outlineLevel="0" collapsed="false">
      <c r="C6" s="29"/>
      <c r="D6" s="29"/>
      <c r="E6" s="29"/>
      <c r="G6" s="29"/>
      <c r="I6" s="30"/>
      <c r="J6" s="30"/>
      <c r="K6" s="29"/>
    </row>
    <row r="7" customFormat="false" ht="12.75" hidden="false" customHeight="false" outlineLevel="0" collapsed="false">
      <c r="A7" s="31" t="s">
        <v>64</v>
      </c>
      <c r="B7" s="31"/>
      <c r="C7" s="32" t="n">
        <f aca="false">+C28*C35</f>
        <v>81464.0081852361</v>
      </c>
      <c r="D7" s="32"/>
      <c r="E7" s="32"/>
      <c r="F7" s="33" t="n">
        <f aca="false">+F28*F35</f>
        <v>30315.219033968</v>
      </c>
      <c r="G7" s="32"/>
      <c r="H7" s="31"/>
      <c r="I7" s="30" t="n">
        <f aca="false">SUM(C7:G7)</f>
        <v>111779.227219204</v>
      </c>
      <c r="J7" s="30"/>
      <c r="K7" s="32" t="n">
        <f aca="false">+I7*12</f>
        <v>1341350.72663045</v>
      </c>
    </row>
    <row r="8" customFormat="false" ht="12.75" hidden="false" customHeight="false" outlineLevel="0" collapsed="false">
      <c r="A8" s="31"/>
      <c r="B8" s="31"/>
      <c r="C8" s="32"/>
      <c r="D8" s="32"/>
      <c r="E8" s="32"/>
      <c r="F8" s="33"/>
      <c r="G8" s="32"/>
      <c r="H8" s="31"/>
      <c r="I8" s="30"/>
      <c r="J8" s="30"/>
      <c r="K8" s="32"/>
    </row>
    <row r="9" customFormat="false" ht="12.75" hidden="false" customHeight="false" outlineLevel="0" collapsed="false">
      <c r="A9" s="31" t="s">
        <v>65</v>
      </c>
      <c r="B9" s="31"/>
      <c r="C9" s="32"/>
      <c r="D9" s="32"/>
      <c r="E9" s="32" t="n">
        <f aca="false">+E28*E37</f>
        <v>3881.89269003514</v>
      </c>
      <c r="F9" s="33" t="n">
        <f aca="false">+F28*F37</f>
        <v>60630.438067936</v>
      </c>
      <c r="G9" s="32" t="n">
        <f aca="false">+G28*G37</f>
        <v>188886.128898697</v>
      </c>
      <c r="H9" s="31"/>
      <c r="I9" s="30" t="n">
        <f aca="false">SUM(C9:G9)</f>
        <v>253398.459656668</v>
      </c>
      <c r="J9" s="30"/>
      <c r="K9" s="32" t="n">
        <f aca="false">+I9*12</f>
        <v>3040781.51588001</v>
      </c>
    </row>
    <row r="10" customFormat="false" ht="12.75" hidden="false" customHeight="false" outlineLevel="0" collapsed="false">
      <c r="A10" s="31"/>
      <c r="B10" s="31"/>
      <c r="C10" s="32"/>
      <c r="D10" s="32"/>
      <c r="E10" s="32"/>
      <c r="F10" s="33"/>
      <c r="G10" s="32"/>
      <c r="H10" s="31"/>
      <c r="I10" s="30"/>
      <c r="J10" s="30"/>
      <c r="K10" s="32"/>
    </row>
    <row r="11" customFormat="false" ht="12.75" hidden="false" customHeight="false" outlineLevel="0" collapsed="false">
      <c r="A11" s="31" t="s">
        <v>66</v>
      </c>
      <c r="B11" s="31"/>
      <c r="C11" s="32"/>
      <c r="D11" s="32"/>
      <c r="E11" s="32" t="n">
        <f aca="false">+E39*E28</f>
        <v>1940.93948880302</v>
      </c>
      <c r="F11" s="33" t="n">
        <f aca="false">+F28*F39</f>
        <v>12126.0918970177</v>
      </c>
      <c r="G11" s="32" t="n">
        <f aca="false">+G28*G39</f>
        <v>44820.4308488185</v>
      </c>
      <c r="H11" s="31"/>
      <c r="I11" s="30" t="n">
        <f aca="false">SUM(C11:G11)</f>
        <v>58887.4622346392</v>
      </c>
      <c r="J11" s="30"/>
      <c r="K11" s="32" t="n">
        <f aca="false">+I11*12</f>
        <v>706649.54681567</v>
      </c>
    </row>
    <row r="12" customFormat="false" ht="12.75" hidden="false" customHeight="false" outlineLevel="0" collapsed="false">
      <c r="A12" s="31"/>
      <c r="B12" s="31"/>
      <c r="C12" s="32"/>
      <c r="D12" s="32"/>
      <c r="E12" s="32"/>
      <c r="F12" s="33"/>
      <c r="G12" s="32"/>
      <c r="H12" s="31"/>
      <c r="I12" s="30"/>
      <c r="J12" s="30"/>
      <c r="K12" s="32"/>
    </row>
    <row r="13" customFormat="false" ht="12.75" hidden="false" customHeight="false" outlineLevel="0" collapsed="false">
      <c r="A13" s="31" t="s">
        <v>67</v>
      </c>
      <c r="B13" s="31"/>
      <c r="C13" s="32"/>
      <c r="D13" s="32"/>
      <c r="E13" s="32"/>
      <c r="F13" s="33" t="n">
        <f aca="false">+F28*F41</f>
        <v>9094.56892276327</v>
      </c>
      <c r="G13" s="32"/>
      <c r="H13" s="31"/>
      <c r="I13" s="30" t="n">
        <f aca="false">SUM(C13:G13)</f>
        <v>9094.56892276327</v>
      </c>
      <c r="J13" s="30"/>
      <c r="K13" s="32" t="n">
        <f aca="false">+I13*12</f>
        <v>109134.827073159</v>
      </c>
    </row>
    <row r="14" customFormat="false" ht="12.75" hidden="false" customHeight="false" outlineLevel="0" collapsed="false">
      <c r="A14" s="31"/>
      <c r="B14" s="31"/>
      <c r="C14" s="32"/>
      <c r="D14" s="32"/>
      <c r="E14" s="32"/>
      <c r="F14" s="33"/>
      <c r="G14" s="32"/>
      <c r="H14" s="31"/>
      <c r="I14" s="30"/>
      <c r="J14" s="30"/>
      <c r="K14" s="32"/>
    </row>
    <row r="15" customFormat="false" ht="12.75" hidden="false" customHeight="false" outlineLevel="0" collapsed="false">
      <c r="A15" s="31" t="s">
        <v>68</v>
      </c>
      <c r="B15" s="31"/>
      <c r="C15" s="32"/>
      <c r="D15" s="32"/>
      <c r="E15" s="32" t="n">
        <f aca="false">+E28*E43</f>
        <v>3881.89269003514</v>
      </c>
      <c r="F15" s="33" t="n">
        <f aca="false">+F28*F43</f>
        <v>39409.7879567313</v>
      </c>
      <c r="G15" s="32" t="n">
        <f aca="false">+G28*G43</f>
        <v>3201.46096189654</v>
      </c>
      <c r="H15" s="31"/>
      <c r="I15" s="30" t="n">
        <f aca="false">SUM(C15:G15)</f>
        <v>46493.1416086629</v>
      </c>
      <c r="J15" s="30"/>
      <c r="K15" s="32" t="n">
        <f aca="false">+I15*12</f>
        <v>557917.699303955</v>
      </c>
    </row>
    <row r="16" customFormat="false" ht="12.75" hidden="false" customHeight="false" outlineLevel="0" collapsed="false">
      <c r="A16" s="31"/>
      <c r="B16" s="31"/>
      <c r="C16" s="32"/>
      <c r="D16" s="32"/>
      <c r="E16" s="32"/>
      <c r="F16" s="33"/>
      <c r="G16" s="32"/>
      <c r="H16" s="31"/>
      <c r="I16" s="30"/>
      <c r="J16" s="30"/>
      <c r="K16" s="32"/>
    </row>
    <row r="17" customFormat="false" ht="12.75" hidden="false" customHeight="false" outlineLevel="0" collapsed="false">
      <c r="A17" s="31" t="s">
        <v>69</v>
      </c>
      <c r="B17" s="31"/>
      <c r="C17" s="32"/>
      <c r="D17" s="32"/>
      <c r="E17" s="32" t="n">
        <f aca="false">+E28*E45</f>
        <v>1940.93948880302</v>
      </c>
      <c r="F17" s="33" t="n">
        <f aca="false">+F28*F45</f>
        <v>3031.52297425442</v>
      </c>
      <c r="G17" s="32" t="n">
        <f aca="false">+G28*G45</f>
        <v>17608.0296359977</v>
      </c>
      <c r="H17" s="31"/>
      <c r="I17" s="30" t="n">
        <f aca="false">SUM(C17:G17)</f>
        <v>22580.4920990552</v>
      </c>
      <c r="J17" s="30"/>
      <c r="K17" s="32" t="n">
        <f aca="false">+I17*12</f>
        <v>270965.905188662</v>
      </c>
    </row>
    <row r="18" customFormat="false" ht="12.75" hidden="false" customHeight="false" outlineLevel="0" collapsed="false">
      <c r="A18" s="31"/>
      <c r="B18" s="31"/>
      <c r="C18" s="32"/>
      <c r="D18" s="32"/>
      <c r="E18" s="32"/>
      <c r="F18" s="33"/>
      <c r="G18" s="32"/>
      <c r="H18" s="31"/>
      <c r="I18" s="30"/>
      <c r="J18" s="30"/>
      <c r="K18" s="32"/>
    </row>
    <row r="19" customFormat="false" ht="12.75" hidden="false" customHeight="false" outlineLevel="0" collapsed="false">
      <c r="A19" s="31" t="s">
        <v>70</v>
      </c>
      <c r="B19" s="31"/>
      <c r="C19" s="32" t="n">
        <f aca="false">+C47*C28</f>
        <v>122566.24760911</v>
      </c>
      <c r="D19" s="32"/>
      <c r="E19" s="32"/>
      <c r="F19" s="33"/>
      <c r="G19" s="32"/>
      <c r="H19" s="31"/>
      <c r="I19" s="30" t="n">
        <f aca="false">SUM(C19:G19)</f>
        <v>122566.24760911</v>
      </c>
      <c r="J19" s="30"/>
      <c r="K19" s="32" t="n">
        <f aca="false">+I19*12</f>
        <v>1470794.97130932</v>
      </c>
    </row>
    <row r="20" customFormat="false" ht="12.75" hidden="false" customHeight="false" outlineLevel="0" collapsed="false">
      <c r="A20" s="31"/>
      <c r="B20" s="31"/>
      <c r="C20" s="32"/>
      <c r="D20" s="32"/>
      <c r="E20" s="32"/>
      <c r="F20" s="33"/>
      <c r="G20" s="32"/>
      <c r="H20" s="31"/>
      <c r="I20" s="30"/>
      <c r="J20" s="30"/>
      <c r="K20" s="29"/>
    </row>
    <row r="21" customFormat="false" ht="12.75" hidden="false" customHeight="false" outlineLevel="0" collapsed="false">
      <c r="A21" s="31" t="s">
        <v>71</v>
      </c>
      <c r="B21" s="31"/>
      <c r="C21" s="32"/>
      <c r="D21" s="32" t="n">
        <f aca="false">8000000/12</f>
        <v>666666.666666667</v>
      </c>
      <c r="E21" s="32"/>
      <c r="F21" s="33"/>
      <c r="G21" s="32"/>
      <c r="H21" s="31"/>
      <c r="I21" s="30" t="n">
        <f aca="false">SUM(C21:G21)</f>
        <v>666666.666666667</v>
      </c>
      <c r="J21" s="30"/>
      <c r="K21" s="32" t="n">
        <f aca="false">+I21*12</f>
        <v>8000000</v>
      </c>
    </row>
    <row r="22" customFormat="false" ht="12.75" hidden="false" customHeight="false" outlineLevel="0" collapsed="false">
      <c r="A22" s="31"/>
      <c r="B22" s="31"/>
      <c r="C22" s="32"/>
      <c r="D22" s="32"/>
      <c r="E22" s="32"/>
      <c r="F22" s="33"/>
      <c r="G22" s="32"/>
      <c r="H22" s="31"/>
      <c r="I22" s="30"/>
      <c r="J22" s="30"/>
      <c r="K22" s="29"/>
    </row>
    <row r="23" customFormat="false" ht="12.75" hidden="false" customHeight="false" outlineLevel="0" collapsed="false">
      <c r="A23" s="31" t="s">
        <v>72</v>
      </c>
      <c r="B23" s="31"/>
      <c r="C23" s="32" t="n">
        <f aca="false">+C28*C49</f>
        <v>294990.1</v>
      </c>
      <c r="D23" s="32"/>
      <c r="E23" s="32"/>
      <c r="F23" s="33"/>
      <c r="G23" s="32"/>
      <c r="H23" s="31"/>
      <c r="I23" s="30" t="n">
        <f aca="false">SUM(C23:G23)</f>
        <v>294990.1</v>
      </c>
      <c r="J23" s="30"/>
      <c r="K23" s="32" t="n">
        <f aca="false">+I23*12</f>
        <v>3539881.2</v>
      </c>
    </row>
    <row r="24" customFormat="false" ht="13.5" hidden="false" customHeight="false" outlineLevel="0" collapsed="false">
      <c r="A24" s="31"/>
      <c r="B24" s="31"/>
      <c r="C24" s="32"/>
      <c r="D24" s="32"/>
      <c r="E24" s="32"/>
      <c r="F24" s="33"/>
      <c r="G24" s="32"/>
      <c r="H24" s="31"/>
      <c r="I24" s="29"/>
      <c r="J24" s="29"/>
      <c r="K24" s="29"/>
    </row>
    <row r="25" customFormat="false" ht="13.5" hidden="false" customHeight="false" outlineLevel="0" collapsed="false">
      <c r="A25" s="34" t="s">
        <v>4</v>
      </c>
      <c r="C25" s="35" t="n">
        <f aca="false">SUM(C7:C24)</f>
        <v>499020.355794346</v>
      </c>
      <c r="D25" s="35" t="n">
        <f aca="false">SUM(D7:D24)</f>
        <v>666666.666666667</v>
      </c>
      <c r="E25" s="35" t="n">
        <f aca="false">SUM(E9:E17)</f>
        <v>11645.6643576763</v>
      </c>
      <c r="F25" s="36" t="n">
        <f aca="false">SUM(F7:F17)</f>
        <v>154607.628852671</v>
      </c>
      <c r="G25" s="35" t="n">
        <f aca="false">SUM(G9:G17)</f>
        <v>254516.050345409</v>
      </c>
      <c r="H25" s="37"/>
      <c r="I25" s="38" t="n">
        <f aca="false">SUM(I7:I23)</f>
        <v>1586456.36601677</v>
      </c>
      <c r="J25" s="38"/>
      <c r="K25" s="38" t="n">
        <f aca="false">SUM(K7:K23)</f>
        <v>19037476.3922012</v>
      </c>
    </row>
    <row r="26" customFormat="false" ht="12.75" hidden="false" customHeight="false" outlineLevel="0" collapsed="false">
      <c r="C26" s="33"/>
      <c r="D26" s="33"/>
      <c r="E26" s="33"/>
      <c r="F26" s="33"/>
      <c r="G26" s="33"/>
    </row>
    <row r="27" customFormat="false" ht="12.75" hidden="false" customHeight="false" outlineLevel="0" collapsed="false">
      <c r="C27" s="33"/>
      <c r="D27" s="33"/>
      <c r="E27" s="33"/>
      <c r="F27" s="33"/>
      <c r="G27" s="33"/>
    </row>
    <row r="28" customFormat="false" ht="12.75" hidden="false" customHeight="false" outlineLevel="0" collapsed="false">
      <c r="A28" s="0" t="s">
        <v>73</v>
      </c>
      <c r="C28" s="33" t="n">
        <v>5899802</v>
      </c>
      <c r="D28" s="33" t="n">
        <v>7297279</v>
      </c>
      <c r="E28" s="33" t="n">
        <v>1137398</v>
      </c>
      <c r="F28" s="33" t="n">
        <v>4131101</v>
      </c>
      <c r="G28" s="33" t="n">
        <v>5376804</v>
      </c>
      <c r="K28" s="25"/>
    </row>
    <row r="29" customFormat="false" ht="12.75" hidden="false" customHeight="false" outlineLevel="0" collapsed="false">
      <c r="C29" s="33"/>
      <c r="D29" s="33"/>
      <c r="E29" s="33"/>
      <c r="F29" s="33"/>
      <c r="G29" s="33"/>
    </row>
    <row r="30" customFormat="false" ht="12.75" hidden="false" customHeight="false" outlineLevel="0" collapsed="false">
      <c r="C30" s="33"/>
      <c r="D30" s="33"/>
      <c r="E30" s="33"/>
      <c r="F30" s="33"/>
      <c r="G30" s="33"/>
      <c r="I30" s="33"/>
      <c r="J30" s="33"/>
    </row>
    <row r="31" customFormat="false" ht="12.75" hidden="false" customHeight="false" outlineLevel="0" collapsed="false">
      <c r="C31" s="33"/>
      <c r="D31" s="33"/>
      <c r="E31" s="33"/>
      <c r="F31" s="33"/>
      <c r="G31" s="33"/>
    </row>
    <row r="32" customFormat="false" ht="13.5" hidden="false" customHeight="false" outlineLevel="0" collapsed="false">
      <c r="C32" s="33"/>
      <c r="D32" s="33"/>
      <c r="E32" s="33"/>
      <c r="F32" s="33"/>
      <c r="G32" s="33"/>
    </row>
    <row r="33" customFormat="false" ht="13.5" hidden="false" customHeight="false" outlineLevel="0" collapsed="false">
      <c r="C33" s="27" t="s">
        <v>57</v>
      </c>
      <c r="D33" s="27" t="s">
        <v>58</v>
      </c>
      <c r="E33" s="27" t="s">
        <v>59</v>
      </c>
      <c r="F33" s="28" t="s">
        <v>60</v>
      </c>
      <c r="G33" s="27" t="s">
        <v>61</v>
      </c>
      <c r="H33" s="28"/>
      <c r="I33" s="27" t="s">
        <v>4</v>
      </c>
      <c r="J33" s="39"/>
    </row>
    <row r="34" customFormat="false" ht="12.75" hidden="false" customHeight="false" outlineLevel="0" collapsed="false">
      <c r="C34" s="29"/>
      <c r="D34" s="29"/>
      <c r="E34" s="29"/>
      <c r="G34" s="29"/>
      <c r="I34" s="30"/>
      <c r="J34" s="40"/>
    </row>
    <row r="35" customFormat="false" ht="12.75" hidden="false" customHeight="false" outlineLevel="0" collapsed="false">
      <c r="A35" s="31" t="s">
        <v>64</v>
      </c>
      <c r="B35" s="31"/>
      <c r="C35" s="41" t="n">
        <v>0.0138079223989612</v>
      </c>
      <c r="D35" s="41"/>
      <c r="E35" s="32"/>
      <c r="F35" s="42" t="n">
        <v>0.00733829045428035</v>
      </c>
      <c r="G35" s="32"/>
      <c r="H35" s="31"/>
      <c r="I35" s="41" t="n">
        <v>0.0211462128532415</v>
      </c>
      <c r="J35" s="43"/>
    </row>
    <row r="36" customFormat="false" ht="12.75" hidden="false" customHeight="false" outlineLevel="0" collapsed="false">
      <c r="A36" s="31"/>
      <c r="B36" s="31"/>
      <c r="C36" s="32"/>
      <c r="D36" s="32"/>
      <c r="E36" s="32"/>
      <c r="F36" s="42"/>
      <c r="G36" s="32"/>
      <c r="H36" s="31"/>
      <c r="I36" s="41"/>
      <c r="J36" s="43"/>
    </row>
    <row r="37" customFormat="false" ht="12.75" hidden="false" customHeight="false" outlineLevel="0" collapsed="false">
      <c r="A37" s="31" t="s">
        <v>65</v>
      </c>
      <c r="B37" s="31"/>
      <c r="C37" s="32"/>
      <c r="D37" s="32"/>
      <c r="E37" s="41" t="n">
        <v>0.0034129589554713</v>
      </c>
      <c r="F37" s="42" t="n">
        <v>0.0146765809085607</v>
      </c>
      <c r="G37" s="41" t="n">
        <v>0.0351298148302777</v>
      </c>
      <c r="H37" s="31"/>
      <c r="I37" s="41" t="n">
        <v>0.0532193546943097</v>
      </c>
      <c r="J37" s="43"/>
    </row>
    <row r="38" customFormat="false" ht="12.75" hidden="false" customHeight="false" outlineLevel="0" collapsed="false">
      <c r="A38" s="31"/>
      <c r="B38" s="31"/>
      <c r="C38" s="32"/>
      <c r="D38" s="32"/>
      <c r="E38" s="32"/>
      <c r="F38" s="42"/>
      <c r="G38" s="41"/>
      <c r="H38" s="31"/>
      <c r="I38" s="41"/>
      <c r="J38" s="43"/>
    </row>
    <row r="39" customFormat="false" ht="12.75" hidden="false" customHeight="false" outlineLevel="0" collapsed="false">
      <c r="A39" s="31" t="s">
        <v>66</v>
      </c>
      <c r="B39" s="31"/>
      <c r="C39" s="32"/>
      <c r="D39" s="32"/>
      <c r="E39" s="41" t="n">
        <v>0.00170647344975376</v>
      </c>
      <c r="F39" s="42" t="n">
        <v>0.00293531721858596</v>
      </c>
      <c r="G39" s="41" t="n">
        <v>0.0083358870527582</v>
      </c>
      <c r="H39" s="31"/>
      <c r="I39" s="41" t="n">
        <v>0.0129776777210979</v>
      </c>
      <c r="J39" s="43"/>
    </row>
    <row r="40" customFormat="false" ht="12.75" hidden="false" customHeight="false" outlineLevel="0" collapsed="false">
      <c r="A40" s="31"/>
      <c r="B40" s="31"/>
      <c r="C40" s="32"/>
      <c r="D40" s="32"/>
      <c r="E40" s="32"/>
      <c r="F40" s="42"/>
      <c r="G40" s="41"/>
      <c r="H40" s="31"/>
      <c r="I40" s="41"/>
      <c r="J40" s="43"/>
    </row>
    <row r="41" customFormat="false" ht="12.75" hidden="false" customHeight="false" outlineLevel="0" collapsed="false">
      <c r="A41" s="31" t="s">
        <v>67</v>
      </c>
      <c r="B41" s="31"/>
      <c r="C41" s="32"/>
      <c r="D41" s="32"/>
      <c r="E41" s="32"/>
      <c r="F41" s="42" t="n">
        <v>0.00220148791393947</v>
      </c>
      <c r="G41" s="41"/>
      <c r="H41" s="31"/>
      <c r="I41" s="41" t="n">
        <v>0.00220148791393947</v>
      </c>
      <c r="J41" s="43"/>
    </row>
    <row r="42" customFormat="false" ht="12.75" hidden="false" customHeight="false" outlineLevel="0" collapsed="false">
      <c r="A42" s="31"/>
      <c r="B42" s="31"/>
      <c r="C42" s="32"/>
      <c r="D42" s="32"/>
      <c r="E42" s="32"/>
      <c r="F42" s="42"/>
      <c r="G42" s="41"/>
      <c r="H42" s="31"/>
      <c r="I42" s="41"/>
      <c r="J42" s="43"/>
    </row>
    <row r="43" customFormat="false" ht="12.75" hidden="false" customHeight="false" outlineLevel="0" collapsed="false">
      <c r="A43" s="31" t="s">
        <v>68</v>
      </c>
      <c r="B43" s="31"/>
      <c r="C43" s="32"/>
      <c r="D43" s="32"/>
      <c r="E43" s="41" t="n">
        <v>0.0034129589554713</v>
      </c>
      <c r="F43" s="42" t="n">
        <v>0.00953977836821982</v>
      </c>
      <c r="G43" s="41" t="n">
        <v>0.00059542080423548</v>
      </c>
      <c r="H43" s="31"/>
      <c r="I43" s="41" t="n">
        <v>0.0135481581279266</v>
      </c>
      <c r="J43" s="43"/>
    </row>
    <row r="44" customFormat="false" ht="12.75" hidden="false" customHeight="false" outlineLevel="0" collapsed="false">
      <c r="A44" s="31"/>
      <c r="B44" s="31"/>
      <c r="C44" s="32"/>
      <c r="D44" s="32"/>
      <c r="E44" s="41"/>
      <c r="F44" s="42"/>
      <c r="G44" s="41"/>
      <c r="H44" s="31"/>
      <c r="I44" s="41"/>
      <c r="J44" s="43"/>
    </row>
    <row r="45" customFormat="false" ht="12.75" hidden="false" customHeight="false" outlineLevel="0" collapsed="false">
      <c r="A45" s="31" t="s">
        <v>69</v>
      </c>
      <c r="B45" s="31"/>
      <c r="C45" s="32"/>
      <c r="D45" s="32"/>
      <c r="E45" s="41" t="n">
        <v>0.00170647344975376</v>
      </c>
      <c r="F45" s="42" t="n">
        <v>0.000733829304646491</v>
      </c>
      <c r="G45" s="41" t="n">
        <v>0.00327481337166051</v>
      </c>
      <c r="H45" s="31"/>
      <c r="I45" s="41" t="n">
        <v>0.00571511612606076</v>
      </c>
      <c r="J45" s="43"/>
    </row>
    <row r="46" customFormat="false" ht="12.75" hidden="false" customHeight="false" outlineLevel="0" collapsed="false">
      <c r="A46" s="31"/>
      <c r="B46" s="31"/>
      <c r="C46" s="32"/>
      <c r="D46" s="32"/>
      <c r="E46" s="41"/>
      <c r="F46" s="42"/>
      <c r="G46" s="41"/>
      <c r="H46" s="31"/>
      <c r="I46" s="41"/>
      <c r="J46" s="43"/>
    </row>
    <row r="47" customFormat="false" ht="12.75" hidden="false" customHeight="false" outlineLevel="0" collapsed="false">
      <c r="A47" s="31" t="s">
        <v>70</v>
      </c>
      <c r="B47" s="31"/>
      <c r="C47" s="41" t="n">
        <v>0.0207746374554791</v>
      </c>
      <c r="D47" s="41"/>
      <c r="E47" s="41"/>
      <c r="F47" s="42"/>
      <c r="G47" s="41"/>
      <c r="H47" s="31"/>
      <c r="I47" s="41" t="n">
        <v>0.0207746374554791</v>
      </c>
      <c r="J47" s="43"/>
    </row>
    <row r="48" customFormat="false" ht="12.75" hidden="false" customHeight="false" outlineLevel="0" collapsed="false">
      <c r="A48" s="31"/>
      <c r="B48" s="31"/>
      <c r="C48" s="41"/>
      <c r="D48" s="41"/>
      <c r="E48" s="41"/>
      <c r="F48" s="42"/>
      <c r="G48" s="41"/>
      <c r="H48" s="31"/>
      <c r="I48" s="41"/>
      <c r="J48" s="43"/>
    </row>
    <row r="49" customFormat="false" ht="12.75" hidden="false" customHeight="false" outlineLevel="0" collapsed="false">
      <c r="A49" s="31" t="s">
        <v>72</v>
      </c>
      <c r="B49" s="31"/>
      <c r="C49" s="44" t="n">
        <v>0.05</v>
      </c>
      <c r="D49" s="44"/>
      <c r="E49" s="41"/>
      <c r="F49" s="42"/>
      <c r="G49" s="41"/>
      <c r="H49" s="31"/>
      <c r="I49" s="41" t="n">
        <v>0.05</v>
      </c>
      <c r="J49" s="43"/>
    </row>
    <row r="50" customFormat="false" ht="12.75" hidden="false" customHeight="false" outlineLevel="0" collapsed="false">
      <c r="A50" s="31"/>
      <c r="B50" s="31"/>
      <c r="C50" s="44"/>
      <c r="D50" s="44"/>
      <c r="E50" s="41"/>
      <c r="F50" s="42"/>
      <c r="G50" s="41"/>
      <c r="H50" s="31"/>
      <c r="I50" s="45"/>
      <c r="J50" s="43"/>
    </row>
    <row r="51" customFormat="false" ht="12.75" hidden="false" customHeight="false" outlineLevel="0" collapsed="false">
      <c r="A51" s="31" t="s">
        <v>71</v>
      </c>
      <c r="B51" s="31"/>
      <c r="C51" s="41"/>
      <c r="D51" s="46" t="s">
        <v>74</v>
      </c>
      <c r="E51" s="44"/>
      <c r="F51" s="42"/>
      <c r="G51" s="41"/>
      <c r="H51" s="31"/>
      <c r="I51" s="45"/>
      <c r="J51" s="43"/>
    </row>
    <row r="52" customFormat="false" ht="12.75" hidden="false" customHeight="false" outlineLevel="0" collapsed="false">
      <c r="A52" s="31"/>
      <c r="B52" s="31"/>
      <c r="C52" s="41"/>
      <c r="D52" s="41"/>
      <c r="E52" s="41"/>
      <c r="F52" s="42"/>
      <c r="G52" s="41"/>
      <c r="H52" s="31"/>
      <c r="I52" s="45"/>
      <c r="J52" s="43"/>
    </row>
    <row r="53" customFormat="false" ht="13.5" hidden="false" customHeight="false" outlineLevel="0" collapsed="false">
      <c r="A53" s="31"/>
      <c r="B53" s="31"/>
      <c r="C53" s="32"/>
      <c r="D53" s="32"/>
      <c r="E53" s="41"/>
      <c r="F53" s="42"/>
      <c r="G53" s="41"/>
      <c r="H53" s="31"/>
      <c r="I53" s="45"/>
      <c r="J53" s="43"/>
    </row>
    <row r="54" customFormat="false" ht="13.5" hidden="false" customHeight="false" outlineLevel="0" collapsed="false">
      <c r="A54" s="34" t="s">
        <v>4</v>
      </c>
      <c r="C54" s="47" t="n">
        <f aca="false">SUM(C35:C49)</f>
        <v>0.0845825598544402</v>
      </c>
      <c r="D54" s="47"/>
      <c r="E54" s="47" t="n">
        <v>0.0102388648104501</v>
      </c>
      <c r="F54" s="48" t="n">
        <v>0.0374252841682328</v>
      </c>
      <c r="G54" s="47" t="n">
        <v>0.0473359360589319</v>
      </c>
      <c r="H54" s="37"/>
      <c r="I54" s="47" t="n">
        <f aca="false">SUM(I35:I49)</f>
        <v>0.179582644892055</v>
      </c>
      <c r="J54" s="43"/>
    </row>
    <row r="55" customFormat="false" ht="12.75" hidden="false" customHeight="false" outlineLevel="0" collapsed="false">
      <c r="C55" s="33"/>
      <c r="D55" s="33"/>
      <c r="E55" s="33"/>
      <c r="F55" s="33"/>
      <c r="G55" s="33"/>
    </row>
    <row r="56" customFormat="false" ht="12.75" hidden="false" customHeight="false" outlineLevel="0" collapsed="false">
      <c r="C56" s="33"/>
      <c r="D56" s="33"/>
      <c r="E56" s="33"/>
      <c r="F56" s="33"/>
      <c r="G56" s="33"/>
    </row>
    <row r="57" customFormat="false" ht="12.75" hidden="false" customHeight="false" outlineLevel="0" collapsed="false">
      <c r="A57" s="0" t="s">
        <v>75</v>
      </c>
      <c r="C57" s="33"/>
      <c r="D57" s="33"/>
      <c r="E57" s="33"/>
      <c r="F57" s="33"/>
      <c r="G57" s="33"/>
    </row>
    <row r="58" customFormat="false" ht="12.75" hidden="false" customHeight="false" outlineLevel="0" collapsed="false">
      <c r="C58" s="33"/>
      <c r="D58" s="33"/>
      <c r="E58" s="33"/>
      <c r="F58" s="33"/>
      <c r="G58" s="33"/>
    </row>
    <row r="59" customFormat="false" ht="12.75" hidden="false" customHeight="false" outlineLevel="0" collapsed="false">
      <c r="C59" s="33"/>
      <c r="D59" s="33"/>
      <c r="E59" s="33"/>
      <c r="F59" s="33"/>
      <c r="G59" s="33"/>
    </row>
    <row r="60" customFormat="false" ht="12.75" hidden="false" customHeight="false" outlineLevel="0" collapsed="false">
      <c r="C60" s="33"/>
      <c r="D60" s="33"/>
      <c r="E60" s="33"/>
      <c r="F60" s="33"/>
      <c r="G60" s="33"/>
    </row>
    <row r="61" customFormat="false" ht="12.75" hidden="false" customHeight="false" outlineLevel="0" collapsed="false">
      <c r="C61" s="33"/>
      <c r="D61" s="33"/>
      <c r="E61" s="33"/>
      <c r="F61" s="33"/>
      <c r="G61" s="33"/>
    </row>
    <row r="62" customFormat="false" ht="12.75" hidden="false" customHeight="false" outlineLevel="0" collapsed="false">
      <c r="A62" s="49"/>
      <c r="B62" s="31"/>
      <c r="C62" s="33"/>
      <c r="D62" s="33"/>
      <c r="E62" s="33"/>
      <c r="F62" s="33"/>
      <c r="G62" s="33"/>
    </row>
    <row r="63" customFormat="false" ht="12.75" hidden="false" customHeight="false" outlineLevel="0" collapsed="false">
      <c r="A63" s="49"/>
      <c r="B63" s="31"/>
      <c r="C63" s="33"/>
      <c r="D63" s="33"/>
      <c r="E63" s="33"/>
      <c r="F63" s="33"/>
      <c r="G63" s="33"/>
    </row>
    <row r="64" customFormat="false" ht="12.75" hidden="false" customHeight="false" outlineLevel="0" collapsed="false">
      <c r="A64" s="49"/>
      <c r="B64" s="31"/>
      <c r="C64" s="33"/>
      <c r="D64" s="33"/>
      <c r="E64" s="33"/>
      <c r="F64" s="33"/>
      <c r="G64" s="33"/>
    </row>
    <row r="65" customFormat="false" ht="12.75" hidden="false" customHeight="false" outlineLevel="0" collapsed="false">
      <c r="A65" s="31"/>
      <c r="B65" s="31"/>
      <c r="C65" s="33"/>
      <c r="D65" s="33"/>
      <c r="E65" s="33"/>
      <c r="F65" s="33"/>
      <c r="G65" s="33"/>
    </row>
    <row r="66" customFormat="false" ht="12.75" hidden="false" customHeight="false" outlineLevel="0" collapsed="false">
      <c r="C66" s="33"/>
      <c r="D66" s="33"/>
      <c r="E66" s="33"/>
      <c r="F66" s="33"/>
      <c r="G66" s="33"/>
    </row>
    <row r="67" customFormat="false" ht="12.75" hidden="false" customHeight="false" outlineLevel="0" collapsed="false">
      <c r="C67" s="33"/>
      <c r="D67" s="33"/>
      <c r="E67" s="33"/>
      <c r="F67" s="33"/>
      <c r="G67" s="33"/>
    </row>
    <row r="68" customFormat="false" ht="12.75" hidden="false" customHeight="false" outlineLevel="0" collapsed="false">
      <c r="C68" s="33"/>
      <c r="D68" s="33"/>
      <c r="E68" s="33"/>
      <c r="F68" s="33"/>
      <c r="G68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1" activeCellId="0" sqref="G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0" width="3.7"/>
    <col collapsed="false" customWidth="true" hidden="false" outlineLevel="0" max="3" min="3" style="0" width="12.56"/>
    <col collapsed="false" customWidth="true" hidden="false" outlineLevel="0" max="4" min="4" style="0" width="1.56"/>
    <col collapsed="false" customWidth="true" hidden="false" outlineLevel="0" max="5" min="5" style="0" width="8.28"/>
    <col collapsed="false" customWidth="true" hidden="false" outlineLevel="0" max="6" min="6" style="0" width="1.7"/>
    <col collapsed="false" customWidth="true" hidden="false" outlineLevel="0" max="7" min="7" style="0" width="11.28"/>
    <col collapsed="false" customWidth="true" hidden="false" outlineLevel="0" max="8" min="8" style="0" width="1.7"/>
  </cols>
  <sheetData>
    <row r="1" customFormat="false" ht="15.75" hidden="false" customHeight="false" outlineLevel="0" collapsed="false">
      <c r="A1" s="50" t="s">
        <v>76</v>
      </c>
      <c r="B1" s="50"/>
      <c r="C1" s="50"/>
      <c r="D1" s="50"/>
      <c r="E1" s="50"/>
      <c r="F1" s="50"/>
      <c r="G1" s="50"/>
      <c r="H1" s="50"/>
      <c r="I1" s="50"/>
    </row>
    <row r="2" customFormat="false" ht="12.75" hidden="false" customHeight="false" outlineLevel="0" collapsed="false">
      <c r="A2" s="51" t="s">
        <v>77</v>
      </c>
      <c r="B2" s="51"/>
      <c r="C2" s="51"/>
      <c r="D2" s="51"/>
      <c r="E2" s="51"/>
      <c r="F2" s="51"/>
      <c r="G2" s="51"/>
      <c r="H2" s="51"/>
      <c r="I2" s="51"/>
    </row>
    <row r="4" customFormat="false" ht="12.75" hidden="false" customHeight="false" outlineLevel="0" collapsed="false">
      <c r="C4" s="52" t="s">
        <v>78</v>
      </c>
      <c r="D4" s="52"/>
      <c r="E4" s="52"/>
      <c r="G4" s="52" t="s">
        <v>79</v>
      </c>
      <c r="H4" s="52"/>
      <c r="I4" s="52"/>
    </row>
    <row r="5" customFormat="false" ht="12.75" hidden="false" customHeight="false" outlineLevel="0" collapsed="false">
      <c r="C5" s="53" t="s">
        <v>80</v>
      </c>
      <c r="D5" s="54"/>
      <c r="E5" s="53" t="s">
        <v>81</v>
      </c>
      <c r="G5" s="53" t="s">
        <v>80</v>
      </c>
      <c r="H5" s="54"/>
      <c r="I5" s="53" t="s">
        <v>81</v>
      </c>
    </row>
    <row r="7" customFormat="false" ht="12.75" hidden="false" customHeight="false" outlineLevel="0" collapsed="false">
      <c r="A7" s="0" t="s">
        <v>82</v>
      </c>
      <c r="C7" s="55" t="n">
        <v>52651420</v>
      </c>
      <c r="E7" s="42" t="n">
        <f aca="false">+E28+E31</f>
        <v>0.99999998100716</v>
      </c>
      <c r="G7" s="55" t="n">
        <v>53825780</v>
      </c>
      <c r="I7" s="42" t="n">
        <f aca="false">+I28+I31</f>
        <v>1</v>
      </c>
    </row>
    <row r="8" customFormat="false" ht="12.75" hidden="false" customHeight="false" outlineLevel="0" collapsed="false">
      <c r="A8" s="0" t="s">
        <v>83</v>
      </c>
      <c r="C8" s="55"/>
      <c r="E8" s="42"/>
      <c r="G8" s="55"/>
      <c r="I8" s="42"/>
    </row>
    <row r="9" customFormat="false" ht="12.75" hidden="false" customHeight="false" outlineLevel="0" collapsed="false">
      <c r="A9" s="0" t="s">
        <v>84</v>
      </c>
      <c r="C9" s="56" t="n">
        <v>6323435.54</v>
      </c>
      <c r="E9" s="42" t="n">
        <f aca="false">+C9/$C$7</f>
        <v>0.120099999962014</v>
      </c>
      <c r="G9" s="56" t="n">
        <f aca="false">3188502.78+237674.88+3040781.52</f>
        <v>6466959.18</v>
      </c>
      <c r="I9" s="42" t="n">
        <f aca="false">+G9/$G$7</f>
        <v>0.120146130348692</v>
      </c>
    </row>
    <row r="10" customFormat="false" ht="12.75" hidden="false" customHeight="false" outlineLevel="0" collapsed="false">
      <c r="A10" s="0" t="s">
        <v>85</v>
      </c>
      <c r="C10" s="56" t="n">
        <v>1300490.07</v>
      </c>
      <c r="E10" s="42" t="n">
        <f aca="false">+C10/$C$7</f>
        <v>0.0246999999240286</v>
      </c>
      <c r="G10" s="56" t="n">
        <v>1328654.74</v>
      </c>
      <c r="I10" s="42" t="n">
        <f aca="false">+G10/$G$7</f>
        <v>0.0246843564552153</v>
      </c>
    </row>
    <row r="11" customFormat="false" ht="12.75" hidden="false" customHeight="false" outlineLevel="0" collapsed="false">
      <c r="A11" s="0" t="s">
        <v>86</v>
      </c>
      <c r="C11" s="56" t="n">
        <v>305378.24</v>
      </c>
      <c r="E11" s="42" t="n">
        <f aca="false">+C11/$C$7</f>
        <v>0.00580000007597136</v>
      </c>
      <c r="G11" s="56" t="n">
        <v>311661.25</v>
      </c>
      <c r="I11" s="42" t="n">
        <f aca="false">+G11/$G$7</f>
        <v>0.00579018548361027</v>
      </c>
    </row>
    <row r="12" customFormat="false" ht="12.75" hidden="false" customHeight="false" outlineLevel="0" collapsed="false">
      <c r="A12" s="0" t="s">
        <v>87</v>
      </c>
      <c r="C12" s="56" t="n">
        <v>9020.11079820784</v>
      </c>
      <c r="E12" s="42" t="n">
        <f aca="false">+C12/$C$7</f>
        <v>0.000171317521886548</v>
      </c>
      <c r="G12" s="56" t="n">
        <f aca="false">9020.11</f>
        <v>9020.11</v>
      </c>
      <c r="I12" s="42" t="n">
        <f aca="false">+G12/$G$7</f>
        <v>0.000167579735955522</v>
      </c>
    </row>
    <row r="13" customFormat="false" ht="12.75" hidden="false" customHeight="false" outlineLevel="0" collapsed="false">
      <c r="A13" s="0" t="s">
        <v>88</v>
      </c>
      <c r="C13" s="56" t="n">
        <v>979316.41</v>
      </c>
      <c r="E13" s="42" t="n">
        <f aca="false">+C13/$C$7</f>
        <v>0.0185999999620143</v>
      </c>
      <c r="G13" s="56" t="n">
        <f aca="false">442237.29+557917.7</f>
        <v>1000154.99</v>
      </c>
      <c r="I13" s="42" t="n">
        <f aca="false">+G13/$G$7</f>
        <v>0.018581337604397</v>
      </c>
    </row>
    <row r="14" customFormat="false" ht="12.75" hidden="false" customHeight="false" outlineLevel="0" collapsed="false">
      <c r="A14" s="0" t="s">
        <v>89</v>
      </c>
      <c r="C14" s="56" t="n">
        <v>247461.67</v>
      </c>
      <c r="D14" s="31"/>
      <c r="E14" s="42" t="n">
        <f aca="false">+C14/$C$7</f>
        <v>0.00469999992402864</v>
      </c>
      <c r="F14" s="31"/>
      <c r="G14" s="56" t="n">
        <f aca="false">252662.18</f>
        <v>252662.18</v>
      </c>
      <c r="H14" s="31"/>
      <c r="I14" s="42" t="n">
        <f aca="false">+G14/$G$7</f>
        <v>0.00469407373195521</v>
      </c>
    </row>
    <row r="15" customFormat="false" ht="12.75" hidden="false" customHeight="false" outlineLevel="0" collapsed="false">
      <c r="A15" s="0" t="s">
        <v>90</v>
      </c>
      <c r="C15" s="56" t="n">
        <v>1358406.63</v>
      </c>
      <c r="E15" s="42" t="n">
        <f aca="false">+C15/$C$7</f>
        <v>0.025799999886043</v>
      </c>
      <c r="G15" s="56" t="n">
        <f aca="false">45494.64+1341350.73</f>
        <v>1386845.37</v>
      </c>
      <c r="I15" s="42" t="n">
        <f aca="false">+G15/$G$7</f>
        <v>0.0257654486381804</v>
      </c>
    </row>
    <row r="16" customFormat="false" ht="12.75" hidden="false" customHeight="false" outlineLevel="0" collapsed="false">
      <c r="A16" s="0" t="s">
        <v>91</v>
      </c>
      <c r="C16" s="56" t="n">
        <v>1200452.37</v>
      </c>
      <c r="E16" s="42" t="n">
        <f aca="false">+C16/$C$7</f>
        <v>0.022799999886043</v>
      </c>
      <c r="G16" s="56" t="n">
        <f aca="false">955569.96+270965.91</f>
        <v>1226535.87</v>
      </c>
      <c r="I16" s="42" t="n">
        <f aca="false">+G16/$G$7</f>
        <v>0.022787145304722</v>
      </c>
    </row>
    <row r="17" customFormat="false" ht="12.75" hidden="false" customHeight="false" outlineLevel="0" collapsed="false">
      <c r="A17" s="0" t="s">
        <v>92</v>
      </c>
      <c r="C17" s="56" t="n">
        <v>117047</v>
      </c>
      <c r="E17" s="42" t="n">
        <f aca="false">+C17/$C$7</f>
        <v>0.00222305495274391</v>
      </c>
      <c r="G17" s="56" t="n">
        <f aca="false">8402.19+109134.83</f>
        <v>117537.02</v>
      </c>
      <c r="I17" s="42" t="n">
        <f aca="false">+G17/$G$7</f>
        <v>0.0021836566046976</v>
      </c>
    </row>
    <row r="18" customFormat="false" ht="12.75" hidden="false" customHeight="false" outlineLevel="0" collapsed="false">
      <c r="A18" s="0" t="s">
        <v>93</v>
      </c>
      <c r="C18" s="56" t="n">
        <v>747650.16</v>
      </c>
      <c r="E18" s="42" t="n">
        <f aca="false">+C18/$C$7</f>
        <v>0.0141999999240286</v>
      </c>
      <c r="G18" s="56" t="n">
        <f aca="false">55378.47+706649.55</f>
        <v>762028.02</v>
      </c>
      <c r="I18" s="42" t="n">
        <f aca="false">+G18/$G$7</f>
        <v>0.0141573056628255</v>
      </c>
    </row>
    <row r="19" customFormat="false" ht="12.75" hidden="false" customHeight="false" outlineLevel="0" collapsed="false">
      <c r="A19" s="0" t="s">
        <v>94</v>
      </c>
      <c r="C19" s="56" t="n">
        <v>7824001.01</v>
      </c>
      <c r="E19" s="42" t="n">
        <f aca="false">+C19/$C$7</f>
        <v>0.148599999962014</v>
      </c>
      <c r="G19" s="56" t="n">
        <v>8000000</v>
      </c>
      <c r="I19" s="42" t="n">
        <f aca="false">+G19/$G$7</f>
        <v>0.148627665033373</v>
      </c>
    </row>
    <row r="20" customFormat="false" ht="12.75" hidden="false" customHeight="false" outlineLevel="0" collapsed="false">
      <c r="A20" s="0" t="s">
        <v>95</v>
      </c>
      <c r="C20" s="56" t="n">
        <v>63123.9791344549</v>
      </c>
      <c r="E20" s="42" t="n">
        <f aca="false">+C20/$C$7</f>
        <v>0.00119890364086011</v>
      </c>
      <c r="G20" s="56" t="n">
        <f aca="false">63123.98</f>
        <v>63123.98</v>
      </c>
      <c r="I20" s="42" t="n">
        <f aca="false">+G20/$G$7</f>
        <v>0.00117274621937666</v>
      </c>
    </row>
    <row r="21" customFormat="false" ht="12.75" hidden="false" customHeight="false" outlineLevel="0" collapsed="false">
      <c r="A21" s="0" t="s">
        <v>96</v>
      </c>
      <c r="C21" s="56" t="n">
        <v>0</v>
      </c>
      <c r="E21" s="42" t="n">
        <f aca="false">+C21/$C$7</f>
        <v>0</v>
      </c>
      <c r="G21" s="56" t="n">
        <f aca="false">3539881.2</f>
        <v>3539881.2</v>
      </c>
      <c r="I21" s="42" t="n">
        <f aca="false">+G21/$G$7</f>
        <v>0.0657655346564416</v>
      </c>
    </row>
    <row r="22" customFormat="false" ht="12.75" hidden="false" customHeight="false" outlineLevel="0" collapsed="false">
      <c r="A22" s="0" t="s">
        <v>97</v>
      </c>
      <c r="C22" s="57" t="n">
        <f aca="false">345000+5007150.04</f>
        <v>5352150.04</v>
      </c>
      <c r="E22" s="42" t="n">
        <f aca="false">+C22/$C$7</f>
        <v>0.10165252978932</v>
      </c>
      <c r="G22" s="57" t="n">
        <f aca="false">1470794.97+343995.78+4773660.57</f>
        <v>6588451.32</v>
      </c>
      <c r="I22" s="42" t="n">
        <f aca="false">+G22/$G$7</f>
        <v>0.122403266984705</v>
      </c>
    </row>
    <row r="23" customFormat="false" ht="12.75" hidden="false" customHeight="false" outlineLevel="0" collapsed="false">
      <c r="C23" s="56"/>
      <c r="E23" s="42"/>
      <c r="G23" s="56"/>
      <c r="I23" s="42"/>
    </row>
    <row r="24" customFormat="false" ht="12.75" hidden="false" customHeight="false" outlineLevel="0" collapsed="false">
      <c r="A24" s="58" t="s">
        <v>98</v>
      </c>
      <c r="C24" s="56" t="n">
        <f aca="false">SUM(C9:C22)</f>
        <v>25827933.2299327</v>
      </c>
      <c r="E24" s="42" t="n">
        <f aca="false">SUM(E9:E22)</f>
        <v>0.490545805410997</v>
      </c>
      <c r="G24" s="56" t="n">
        <f aca="false">SUM(G9:G22)</f>
        <v>31053515.23</v>
      </c>
      <c r="I24" s="42" t="n">
        <f aca="false">SUM(I9:I22)</f>
        <v>0.576926432464146</v>
      </c>
    </row>
    <row r="25" customFormat="false" ht="12.75" hidden="false" customHeight="false" outlineLevel="0" collapsed="false">
      <c r="C25" s="56"/>
      <c r="E25" s="42"/>
      <c r="G25" s="56"/>
      <c r="I25" s="42"/>
    </row>
    <row r="26" customFormat="false" ht="12.75" hidden="false" customHeight="false" outlineLevel="0" collapsed="false">
      <c r="A26" s="0" t="s">
        <v>99</v>
      </c>
      <c r="C26" s="56" t="n">
        <v>18670193.53</v>
      </c>
      <c r="E26" s="42" t="n">
        <f aca="false">+C26/$C$7</f>
        <v>0.354599999962014</v>
      </c>
      <c r="G26" s="56" t="n">
        <v>19083961.19</v>
      </c>
      <c r="I26" s="42" t="n">
        <f aca="false">+G26/$G$7</f>
        <v>0.35455057390715</v>
      </c>
    </row>
    <row r="27" customFormat="false" ht="12.75" hidden="false" customHeight="false" outlineLevel="0" collapsed="false">
      <c r="C27" s="56"/>
      <c r="E27" s="42"/>
      <c r="G27" s="56"/>
      <c r="I27" s="42"/>
    </row>
    <row r="28" customFormat="false" ht="12.75" hidden="false" customHeight="false" outlineLevel="0" collapsed="false">
      <c r="A28" s="58" t="s">
        <v>100</v>
      </c>
      <c r="C28" s="56" t="n">
        <f aca="false">+C24+C26</f>
        <v>44498126.7599327</v>
      </c>
      <c r="E28" s="42" t="n">
        <f aca="false">+E26+E24</f>
        <v>0.845145805373011</v>
      </c>
      <c r="G28" s="56" t="n">
        <f aca="false">+G24+G26</f>
        <v>50137476.42</v>
      </c>
      <c r="I28" s="42" t="n">
        <f aca="false">+I24+I26</f>
        <v>0.931477006371297</v>
      </c>
    </row>
    <row r="29" customFormat="false" ht="12.75" hidden="false" customHeight="false" outlineLevel="0" collapsed="false">
      <c r="C29" s="56"/>
      <c r="E29" s="42"/>
      <c r="G29" s="56"/>
      <c r="I29" s="42"/>
    </row>
    <row r="30" customFormat="false" ht="12.75" hidden="false" customHeight="false" outlineLevel="0" collapsed="false">
      <c r="C30" s="56"/>
      <c r="E30" s="42"/>
      <c r="G30" s="56"/>
      <c r="I30" s="59"/>
    </row>
    <row r="31" customFormat="false" ht="12.75" hidden="false" customHeight="false" outlineLevel="0" collapsed="false">
      <c r="A31" s="58" t="s">
        <v>101</v>
      </c>
      <c r="C31" s="60" t="n">
        <f aca="false">+C7-C28-1</f>
        <v>8153292.24006733</v>
      </c>
      <c r="E31" s="42" t="n">
        <f aca="false">+C31/$C$7</f>
        <v>0.154854175634149</v>
      </c>
      <c r="G31" s="56" t="n">
        <f aca="false">G7-G28</f>
        <v>3688303.58</v>
      </c>
      <c r="I31" s="42" t="n">
        <f aca="false">+G31/$G$7</f>
        <v>0.0685229936287035</v>
      </c>
    </row>
    <row r="34" customFormat="false" ht="12.75" hidden="false" customHeight="false" outlineLevel="0" collapsed="false">
      <c r="D34" s="33"/>
    </row>
    <row r="35" customFormat="false" ht="12.75" hidden="false" customHeight="false" outlineLevel="0" collapsed="false">
      <c r="D35" s="33"/>
    </row>
    <row r="36" customFormat="false" ht="12.75" hidden="false" customHeight="false" outlineLevel="0" collapsed="false">
      <c r="D36" s="33"/>
    </row>
    <row r="37" customFormat="false" ht="12.75" hidden="false" customHeight="false" outlineLevel="0" collapsed="false">
      <c r="C37" s="31"/>
      <c r="D37" s="33"/>
    </row>
    <row r="38" customFormat="false" ht="12.75" hidden="false" customHeight="false" outlineLevel="0" collapsed="false">
      <c r="A38" s="33"/>
      <c r="C38" s="61"/>
      <c r="D38" s="33"/>
    </row>
    <row r="39" customFormat="false" ht="12.75" hidden="false" customHeight="false" outlineLevel="0" collapsed="false">
      <c r="A39" s="33"/>
      <c r="C39" s="31"/>
      <c r="D39" s="33"/>
    </row>
    <row r="40" customFormat="false" ht="12.75" hidden="false" customHeight="false" outlineLevel="0" collapsed="false">
      <c r="A40" s="33"/>
      <c r="C40" s="61"/>
      <c r="D40" s="33"/>
    </row>
    <row r="41" customFormat="false" ht="12.75" hidden="false" customHeight="false" outlineLevel="0" collapsed="false">
      <c r="A41" s="33"/>
      <c r="C41" s="31"/>
      <c r="D41" s="33"/>
    </row>
    <row r="42" customFormat="false" ht="12.75" hidden="false" customHeight="false" outlineLevel="0" collapsed="false">
      <c r="A42" s="33"/>
      <c r="C42" s="31"/>
      <c r="D42" s="33"/>
    </row>
    <row r="43" customFormat="false" ht="12.75" hidden="false" customHeight="false" outlineLevel="0" collapsed="false">
      <c r="A43" s="33"/>
      <c r="C43" s="31"/>
      <c r="D43" s="33"/>
    </row>
    <row r="44" customFormat="false" ht="12.75" hidden="false" customHeight="false" outlineLevel="0" collapsed="false">
      <c r="A44" s="33"/>
      <c r="C44" s="31"/>
      <c r="D44" s="33"/>
    </row>
    <row r="45" customFormat="false" ht="12.75" hidden="false" customHeight="false" outlineLevel="0" collapsed="false">
      <c r="A45" s="33"/>
      <c r="C45" s="31"/>
      <c r="D45" s="33"/>
    </row>
    <row r="46" customFormat="false" ht="12.75" hidden="false" customHeight="false" outlineLevel="0" collapsed="false">
      <c r="A46" s="33"/>
      <c r="C46" s="31"/>
      <c r="D46" s="31"/>
    </row>
    <row r="47" customFormat="false" ht="12.75" hidden="false" customHeight="false" outlineLevel="0" collapsed="false">
      <c r="A47" s="33"/>
    </row>
    <row r="48" customFormat="false" ht="12.75" hidden="false" customHeight="false" outlineLevel="0" collapsed="false">
      <c r="A48" s="33"/>
    </row>
    <row r="49" customFormat="false" ht="12.75" hidden="false" customHeight="false" outlineLevel="0" collapsed="false">
      <c r="A49" s="33"/>
    </row>
    <row r="50" customFormat="false" ht="12.75" hidden="false" customHeight="false" outlineLevel="0" collapsed="false">
      <c r="A50" s="33"/>
    </row>
  </sheetData>
  <mergeCells count="4">
    <mergeCell ref="A1:I1"/>
    <mergeCell ref="A2:I2"/>
    <mergeCell ref="C4:E4"/>
    <mergeCell ref="G4:I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4"/>
  <sheetViews>
    <sheetView showFormulas="false" showGridLines="true" showRowColHeaders="true" showZeros="true" rightToLeft="false" tabSelected="true" showOutlineSymbols="true" defaultGridColor="true" view="normal" topLeftCell="A33" colorId="64" zoomScale="100" zoomScaleNormal="100" zoomScalePageLayoutView="100" workbookViewId="0">
      <selection pane="topLeft" activeCell="K59" activeCellId="0" sqref="K59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62" width="3.7"/>
    <col collapsed="false" customWidth="true" hidden="false" outlineLevel="0" max="2" min="2" style="62" width="2.56"/>
    <col collapsed="false" customWidth="true" hidden="false" outlineLevel="0" max="3" min="3" style="62" width="51.99"/>
    <col collapsed="false" customWidth="true" hidden="true" outlineLevel="0" max="4" min="4" style="62" width="2.56"/>
    <col collapsed="false" customWidth="true" hidden="true" outlineLevel="0" max="5" min="5" style="62" width="12.56"/>
    <col collapsed="false" customWidth="true" hidden="true" outlineLevel="0" max="6" min="6" style="62" width="2.56"/>
    <col collapsed="false" customWidth="true" hidden="true" outlineLevel="0" max="7" min="7" style="62" width="12.56"/>
    <col collapsed="false" customWidth="true" hidden="false" outlineLevel="0" max="8" min="8" style="62" width="2.56"/>
    <col collapsed="false" customWidth="true" hidden="false" outlineLevel="0" max="9" min="9" style="62" width="14.28"/>
    <col collapsed="false" customWidth="true" hidden="false" outlineLevel="0" max="10" min="10" style="62" width="2.56"/>
    <col collapsed="false" customWidth="true" hidden="false" outlineLevel="0" max="11" min="11" style="62" width="12.99"/>
    <col collapsed="false" customWidth="true" hidden="false" outlineLevel="0" max="12" min="12" style="62" width="2.56"/>
    <col collapsed="false" customWidth="true" hidden="false" outlineLevel="0" max="13" min="13" style="62" width="15.85"/>
    <col collapsed="false" customWidth="true" hidden="false" outlineLevel="0" max="14" min="14" style="62" width="7.42"/>
    <col collapsed="false" customWidth="true" hidden="false" outlineLevel="0" max="15" min="15" style="62" width="23.41"/>
    <col collapsed="false" customWidth="false" hidden="false" outlineLevel="0" max="257" min="16" style="62" width="9.14"/>
  </cols>
  <sheetData>
    <row r="1" customFormat="false" ht="9.75" hidden="false" customHeight="true" outlineLevel="0" collapsed="false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</row>
    <row r="2" customFormat="false" ht="9" hidden="false" customHeight="true" outlineLevel="0" collapsed="false">
      <c r="A2" s="63"/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customFormat="false" ht="28.5" hidden="false" customHeight="true" outlineLevel="0" collapsed="false">
      <c r="A3" s="68"/>
      <c r="B3" s="69" t="s">
        <v>102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9" hidden="false" customHeight="true" outlineLevel="0" collapsed="false">
      <c r="A4" s="68"/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2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5" hidden="false" customHeight="true" outlineLevel="0" collapsed="false">
      <c r="A5" s="68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63"/>
      <c r="B6" s="74"/>
      <c r="C6" s="75"/>
      <c r="D6" s="74"/>
      <c r="E6" s="76" t="n">
        <v>2001</v>
      </c>
      <c r="F6" s="77"/>
      <c r="G6" s="76" t="n">
        <v>2001</v>
      </c>
      <c r="H6" s="74"/>
      <c r="I6" s="76" t="n">
        <v>2001</v>
      </c>
      <c r="J6" s="77"/>
      <c r="K6" s="76" t="n">
        <v>2002</v>
      </c>
      <c r="L6" s="75"/>
      <c r="M6" s="78" t="s">
        <v>103</v>
      </c>
    </row>
    <row r="7" customFormat="false" ht="13.5" hidden="false" customHeight="false" outlineLevel="0" collapsed="false">
      <c r="A7" s="63"/>
      <c r="B7" s="79"/>
      <c r="C7" s="80"/>
      <c r="D7" s="79"/>
      <c r="E7" s="81" t="s">
        <v>104</v>
      </c>
      <c r="F7" s="82"/>
      <c r="G7" s="81" t="s">
        <v>105</v>
      </c>
      <c r="H7" s="79"/>
      <c r="I7" s="81" t="s">
        <v>105</v>
      </c>
      <c r="J7" s="82"/>
      <c r="K7" s="81" t="s">
        <v>106</v>
      </c>
      <c r="L7" s="80"/>
      <c r="M7" s="83" t="s">
        <v>107</v>
      </c>
    </row>
    <row r="8" customFormat="false" ht="16.5" hidden="false" customHeight="true" outlineLevel="0" collapsed="false">
      <c r="A8" s="63"/>
      <c r="B8" s="84"/>
      <c r="C8" s="85"/>
      <c r="D8" s="86"/>
      <c r="E8" s="87" t="s">
        <v>108</v>
      </c>
      <c r="F8" s="88"/>
      <c r="G8" s="89" t="s">
        <v>109</v>
      </c>
      <c r="H8" s="86"/>
      <c r="I8" s="90"/>
      <c r="J8" s="88"/>
      <c r="K8" s="91"/>
      <c r="L8" s="92"/>
      <c r="M8" s="93"/>
    </row>
    <row r="9" customFormat="false" ht="15.75" hidden="false" customHeight="true" outlineLevel="0" collapsed="false">
      <c r="A9" s="63"/>
      <c r="B9" s="94" t="s">
        <v>110</v>
      </c>
      <c r="C9" s="95"/>
      <c r="D9" s="84"/>
      <c r="E9" s="96"/>
      <c r="F9" s="64"/>
      <c r="G9" s="97"/>
      <c r="H9" s="84"/>
      <c r="I9" s="98"/>
      <c r="J9" s="64"/>
      <c r="K9" s="96"/>
      <c r="L9" s="99"/>
      <c r="M9" s="100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</row>
    <row r="10" customFormat="false" ht="12.75" hidden="false" customHeight="false" outlineLevel="0" collapsed="false">
      <c r="A10" s="63"/>
      <c r="B10" s="84"/>
      <c r="C10" s="99"/>
      <c r="D10" s="84"/>
      <c r="E10" s="96"/>
      <c r="F10" s="64"/>
      <c r="G10" s="102"/>
      <c r="H10" s="84"/>
      <c r="I10" s="96"/>
      <c r="J10" s="64"/>
      <c r="K10" s="96"/>
      <c r="L10" s="99"/>
      <c r="M10" s="103"/>
    </row>
    <row r="11" customFormat="false" ht="15" hidden="false" customHeight="false" outlineLevel="0" collapsed="false">
      <c r="A11" s="104"/>
      <c r="B11" s="105"/>
      <c r="C11" s="106" t="s">
        <v>111</v>
      </c>
      <c r="D11" s="105"/>
      <c r="E11" s="107" t="n">
        <f aca="false">9726378+308479+32071</f>
        <v>10066928</v>
      </c>
      <c r="F11" s="108"/>
      <c r="G11" s="107" t="n">
        <f aca="false">+E11/7*5</f>
        <v>7190662.85714286</v>
      </c>
      <c r="H11" s="109"/>
      <c r="I11" s="108" t="n">
        <f aca="false">+E11+G11</f>
        <v>17257590.8571429</v>
      </c>
      <c r="J11" s="108"/>
      <c r="K11" s="107" t="n">
        <f aca="false">15579658+2820671</f>
        <v>18400329</v>
      </c>
      <c r="L11" s="106"/>
      <c r="M11" s="110" t="n">
        <f aca="false">(-K11+I11)</f>
        <v>-1142738.14285714</v>
      </c>
      <c r="N11" s="111" t="n">
        <f aca="false">+M11/K11</f>
        <v>-0.0621042234004154</v>
      </c>
      <c r="O11" s="63" t="s">
        <v>112</v>
      </c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  <c r="HU11" s="112"/>
      <c r="HV11" s="112"/>
      <c r="HW11" s="112"/>
      <c r="HX11" s="112"/>
      <c r="HY11" s="112"/>
      <c r="HZ11" s="112"/>
      <c r="IA11" s="112"/>
      <c r="IB11" s="112"/>
      <c r="IC11" s="112"/>
      <c r="ID11" s="112"/>
      <c r="IE11" s="112"/>
      <c r="IF11" s="112"/>
      <c r="IG11" s="112"/>
      <c r="IH11" s="112"/>
      <c r="II11" s="112"/>
      <c r="IJ11" s="112"/>
      <c r="IK11" s="112"/>
      <c r="IL11" s="112"/>
      <c r="IM11" s="112"/>
      <c r="IN11" s="112"/>
      <c r="IO11" s="112"/>
      <c r="IP11" s="112"/>
      <c r="IQ11" s="112"/>
      <c r="IR11" s="112"/>
      <c r="IS11" s="112"/>
      <c r="IT11" s="112"/>
      <c r="IU11" s="112"/>
      <c r="IV11" s="112"/>
      <c r="IW11" s="112"/>
    </row>
    <row r="12" customFormat="false" ht="15" hidden="false" customHeight="false" outlineLevel="0" collapsed="false">
      <c r="A12" s="104"/>
      <c r="B12" s="105"/>
      <c r="C12" s="106" t="s">
        <v>113</v>
      </c>
      <c r="D12" s="105"/>
      <c r="E12" s="108" t="n">
        <f aca="false">SUM(E13:E21)</f>
        <v>375559</v>
      </c>
      <c r="F12" s="108"/>
      <c r="G12" s="108" t="n">
        <f aca="false">SUM(G13:G21)</f>
        <v>337130.428571429</v>
      </c>
      <c r="H12" s="109"/>
      <c r="I12" s="108" t="n">
        <f aca="false">+E12+G12</f>
        <v>712689.428571429</v>
      </c>
      <c r="J12" s="108"/>
      <c r="K12" s="108" t="n">
        <f aca="false">SUM(K13:K21)</f>
        <v>802644</v>
      </c>
      <c r="L12" s="106"/>
      <c r="M12" s="110" t="n">
        <f aca="false">(-K12+I12)</f>
        <v>-89954.5714285715</v>
      </c>
      <c r="N12" s="111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112"/>
      <c r="GF12" s="112"/>
      <c r="GG12" s="112"/>
      <c r="GH12" s="112"/>
      <c r="GI12" s="112"/>
      <c r="GJ12" s="112"/>
      <c r="GK12" s="112"/>
      <c r="GL12" s="112"/>
      <c r="GM12" s="112"/>
      <c r="GN12" s="112"/>
      <c r="GO12" s="112"/>
      <c r="GP12" s="112"/>
      <c r="GQ12" s="112"/>
      <c r="GR12" s="112"/>
      <c r="GS12" s="112"/>
      <c r="GT12" s="112"/>
      <c r="GU12" s="112"/>
      <c r="GV12" s="112"/>
      <c r="GW12" s="112"/>
      <c r="GX12" s="112"/>
      <c r="GY12" s="112"/>
      <c r="GZ12" s="112"/>
      <c r="HA12" s="112"/>
      <c r="HB12" s="112"/>
      <c r="HC12" s="112"/>
      <c r="HD12" s="112"/>
      <c r="HE12" s="112"/>
      <c r="HF12" s="112"/>
      <c r="HG12" s="112"/>
      <c r="HH12" s="112"/>
      <c r="HI12" s="112"/>
      <c r="HJ12" s="112"/>
      <c r="HK12" s="112"/>
      <c r="HL12" s="112"/>
      <c r="HM12" s="112"/>
      <c r="HN12" s="112"/>
      <c r="HO12" s="112"/>
      <c r="HP12" s="112"/>
      <c r="HQ12" s="112"/>
      <c r="HR12" s="112"/>
      <c r="HS12" s="112"/>
      <c r="HT12" s="112"/>
      <c r="HU12" s="112"/>
      <c r="HV12" s="112"/>
      <c r="HW12" s="112"/>
      <c r="HX12" s="112"/>
      <c r="HY12" s="112"/>
      <c r="HZ12" s="112"/>
      <c r="IA12" s="112"/>
      <c r="IB12" s="112"/>
      <c r="IC12" s="112"/>
      <c r="ID12" s="112"/>
      <c r="IE12" s="112"/>
      <c r="IF12" s="112"/>
      <c r="IG12" s="112"/>
      <c r="IH12" s="112"/>
      <c r="II12" s="112"/>
      <c r="IJ12" s="112"/>
      <c r="IK12" s="112"/>
      <c r="IL12" s="112"/>
      <c r="IM12" s="112"/>
      <c r="IN12" s="112"/>
      <c r="IO12" s="112"/>
      <c r="IP12" s="112"/>
      <c r="IQ12" s="112"/>
      <c r="IR12" s="112"/>
      <c r="IS12" s="112"/>
      <c r="IT12" s="112"/>
      <c r="IU12" s="112"/>
      <c r="IV12" s="112"/>
      <c r="IW12" s="112"/>
    </row>
    <row r="13" customFormat="false" ht="12" hidden="false" customHeight="false" outlineLevel="1" collapsed="false">
      <c r="A13" s="63"/>
      <c r="B13" s="84"/>
      <c r="C13" s="99" t="s">
        <v>114</v>
      </c>
      <c r="D13" s="84"/>
      <c r="E13" s="113" t="n">
        <v>0</v>
      </c>
      <c r="F13" s="96"/>
      <c r="G13" s="107" t="n">
        <f aca="false">+E13/7*5</f>
        <v>0</v>
      </c>
      <c r="H13" s="114"/>
      <c r="I13" s="96" t="n">
        <f aca="false">+E13+G13</f>
        <v>0</v>
      </c>
      <c r="J13" s="96"/>
      <c r="K13" s="113" t="n">
        <v>0</v>
      </c>
      <c r="L13" s="99"/>
      <c r="M13" s="115" t="n">
        <f aca="false">(-K13+I13)</f>
        <v>0</v>
      </c>
      <c r="N13" s="111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  <c r="IW13" s="116"/>
    </row>
    <row r="14" customFormat="false" ht="12" hidden="false" customHeight="false" outlineLevel="1" collapsed="false">
      <c r="A14" s="63"/>
      <c r="B14" s="84"/>
      <c r="C14" s="99" t="s">
        <v>115</v>
      </c>
      <c r="D14" s="84"/>
      <c r="E14" s="113" t="n">
        <v>84636</v>
      </c>
      <c r="F14" s="64"/>
      <c r="G14" s="107" t="n">
        <f aca="false">+E14/7*5+19706+20000</f>
        <v>100160.285714286</v>
      </c>
      <c r="H14" s="84"/>
      <c r="I14" s="96" t="n">
        <f aca="false">+E14+G14</f>
        <v>184796.285714286</v>
      </c>
      <c r="J14" s="64"/>
      <c r="K14" s="113" t="n">
        <v>220404</v>
      </c>
      <c r="L14" s="99"/>
      <c r="M14" s="115" t="n">
        <f aca="false">(-K14+I14)</f>
        <v>-35607.7142857143</v>
      </c>
      <c r="N14" s="111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  <c r="IW14" s="116"/>
    </row>
    <row r="15" customFormat="false" ht="12" hidden="false" customHeight="false" outlineLevel="1" collapsed="false">
      <c r="A15" s="63"/>
      <c r="B15" s="84"/>
      <c r="C15" s="99" t="s">
        <v>116</v>
      </c>
      <c r="D15" s="84"/>
      <c r="E15" s="113" t="n">
        <v>0</v>
      </c>
      <c r="F15" s="64"/>
      <c r="G15" s="107" t="n">
        <f aca="false">+E15/7*5</f>
        <v>0</v>
      </c>
      <c r="H15" s="84"/>
      <c r="I15" s="96" t="n">
        <f aca="false">+E15+G15</f>
        <v>0</v>
      </c>
      <c r="J15" s="64"/>
      <c r="K15" s="113" t="n">
        <v>0</v>
      </c>
      <c r="L15" s="99"/>
      <c r="M15" s="115" t="n">
        <f aca="false">(-K15+I15)</f>
        <v>0</v>
      </c>
      <c r="N15" s="111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  <c r="IW15" s="116"/>
    </row>
    <row r="16" customFormat="false" ht="12" hidden="false" customHeight="false" outlineLevel="1" collapsed="false">
      <c r="A16" s="63"/>
      <c r="B16" s="84"/>
      <c r="C16" s="99" t="s">
        <v>117</v>
      </c>
      <c r="D16" s="84"/>
      <c r="E16" s="113" t="n">
        <v>0</v>
      </c>
      <c r="F16" s="64"/>
      <c r="G16" s="107" t="n">
        <f aca="false">+E16/7*5</f>
        <v>0</v>
      </c>
      <c r="H16" s="84"/>
      <c r="I16" s="96" t="n">
        <f aca="false">+E16+G16</f>
        <v>0</v>
      </c>
      <c r="J16" s="64"/>
      <c r="K16" s="113" t="n">
        <v>0</v>
      </c>
      <c r="L16" s="99"/>
      <c r="M16" s="115" t="n">
        <f aca="false">(-K16+I16)</f>
        <v>0</v>
      </c>
      <c r="N16" s="111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  <c r="IW16" s="116"/>
    </row>
    <row r="17" customFormat="false" ht="12" hidden="false" customHeight="false" outlineLevel="1" collapsed="false">
      <c r="A17" s="63"/>
      <c r="B17" s="84"/>
      <c r="C17" s="99" t="s">
        <v>118</v>
      </c>
      <c r="D17" s="84"/>
      <c r="E17" s="113" t="n">
        <f aca="false">126073+865</f>
        <v>126938</v>
      </c>
      <c r="F17" s="96"/>
      <c r="G17" s="107" t="n">
        <f aca="false">+E17/7*5+9896+880</f>
        <v>101446</v>
      </c>
      <c r="H17" s="114"/>
      <c r="I17" s="96" t="n">
        <f aca="false">+E17+G17</f>
        <v>228384</v>
      </c>
      <c r="J17" s="96"/>
      <c r="K17" s="113" t="n">
        <v>261072</v>
      </c>
      <c r="L17" s="99"/>
      <c r="M17" s="115" t="n">
        <f aca="false">(-K17+I17)</f>
        <v>-32688</v>
      </c>
      <c r="N17" s="111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  <c r="IW17" s="116"/>
    </row>
    <row r="18" customFormat="false" ht="12" hidden="false" customHeight="false" outlineLevel="1" collapsed="false">
      <c r="A18" s="63"/>
      <c r="B18" s="84"/>
      <c r="C18" s="99" t="s">
        <v>119</v>
      </c>
      <c r="D18" s="84"/>
      <c r="E18" s="113" t="n">
        <f aca="false">97688+8144</f>
        <v>105832</v>
      </c>
      <c r="F18" s="96"/>
      <c r="G18" s="107" t="n">
        <f aca="false">+E18/7*5+6796+5000</f>
        <v>87390.2857142857</v>
      </c>
      <c r="H18" s="114"/>
      <c r="I18" s="96" t="n">
        <f aca="false">+E18+G18</f>
        <v>193222.285714286</v>
      </c>
      <c r="J18" s="96"/>
      <c r="K18" s="113" t="n">
        <f aca="false">190068+14400</f>
        <v>204468</v>
      </c>
      <c r="L18" s="99"/>
      <c r="M18" s="115" t="n">
        <f aca="false">(-K18+I18)</f>
        <v>-11245.7142857143</v>
      </c>
      <c r="N18" s="111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  <c r="IW18" s="116"/>
    </row>
    <row r="19" customFormat="false" ht="12" hidden="false" customHeight="false" outlineLevel="1" collapsed="false">
      <c r="A19" s="63"/>
      <c r="B19" s="84"/>
      <c r="C19" s="99" t="s">
        <v>120</v>
      </c>
      <c r="D19" s="84"/>
      <c r="E19" s="113" t="n">
        <v>0</v>
      </c>
      <c r="F19" s="96"/>
      <c r="G19" s="107" t="n">
        <f aca="false">+E19/7*5</f>
        <v>0</v>
      </c>
      <c r="H19" s="114"/>
      <c r="I19" s="96" t="n">
        <f aca="false">+E19+G19</f>
        <v>0</v>
      </c>
      <c r="J19" s="96"/>
      <c r="K19" s="113" t="n">
        <v>0</v>
      </c>
      <c r="L19" s="99"/>
      <c r="M19" s="115" t="n">
        <f aca="false">(-K19+I19)</f>
        <v>0</v>
      </c>
      <c r="N19" s="111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  <c r="IW19" s="116"/>
    </row>
    <row r="20" customFormat="false" ht="12" hidden="false" customHeight="false" outlineLevel="1" collapsed="false">
      <c r="A20" s="63"/>
      <c r="B20" s="84"/>
      <c r="C20" s="99" t="s">
        <v>121</v>
      </c>
      <c r="D20" s="84"/>
      <c r="E20" s="113" t="n">
        <f aca="false">48663+226</f>
        <v>48889</v>
      </c>
      <c r="F20" s="96"/>
      <c r="G20" s="107" t="n">
        <f aca="false">+E20/7*5+5074+1028</f>
        <v>41022.7142857143</v>
      </c>
      <c r="H20" s="114"/>
      <c r="I20" s="96" t="n">
        <f aca="false">+E20+G20</f>
        <v>89911.7142857143</v>
      </c>
      <c r="J20" s="96"/>
      <c r="K20" s="113" t="n">
        <v>101232</v>
      </c>
      <c r="L20" s="99"/>
      <c r="M20" s="115" t="n">
        <f aca="false">(-K20+I20)</f>
        <v>-11320.2857142857</v>
      </c>
      <c r="N20" s="111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  <c r="IW20" s="116"/>
    </row>
    <row r="21" customFormat="false" ht="12" hidden="false" customHeight="false" outlineLevel="1" collapsed="false">
      <c r="A21" s="63"/>
      <c r="B21" s="84"/>
      <c r="C21" s="99" t="s">
        <v>122</v>
      </c>
      <c r="D21" s="84"/>
      <c r="E21" s="113" t="n">
        <v>9264</v>
      </c>
      <c r="F21" s="96"/>
      <c r="G21" s="107" t="n">
        <f aca="false">+E21/7*5+224+270</f>
        <v>7111.14285714286</v>
      </c>
      <c r="H21" s="114"/>
      <c r="I21" s="96" t="n">
        <f aca="false">+E21+G21</f>
        <v>16375.1428571429</v>
      </c>
      <c r="J21" s="96"/>
      <c r="K21" s="113" t="n">
        <f aca="false">15468</f>
        <v>15468</v>
      </c>
      <c r="L21" s="99"/>
      <c r="M21" s="115" t="n">
        <f aca="false">(-K21+I21)</f>
        <v>907.142857142857</v>
      </c>
      <c r="N21" s="111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  <c r="IW21" s="116"/>
    </row>
    <row r="22" customFormat="false" ht="15" hidden="false" customHeight="false" outlineLevel="0" collapsed="false">
      <c r="A22" s="104"/>
      <c r="B22" s="105"/>
      <c r="C22" s="106" t="s">
        <v>123</v>
      </c>
      <c r="D22" s="105"/>
      <c r="E22" s="108" t="n">
        <v>617813</v>
      </c>
      <c r="F22" s="108"/>
      <c r="G22" s="108" t="n">
        <f aca="false">SUM(G23:G26)</f>
        <v>453535</v>
      </c>
      <c r="H22" s="105"/>
      <c r="I22" s="108" t="n">
        <f aca="false">+E22+G22</f>
        <v>1071348</v>
      </c>
      <c r="J22" s="117"/>
      <c r="K22" s="108" t="n">
        <f aca="false">SUM(K23:K26)</f>
        <v>1097316</v>
      </c>
      <c r="L22" s="106"/>
      <c r="M22" s="110" t="n">
        <f aca="false">(-K22+I22)</f>
        <v>-25968</v>
      </c>
      <c r="N22" s="111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2"/>
      <c r="IP22" s="112"/>
      <c r="IQ22" s="112"/>
      <c r="IR22" s="112"/>
      <c r="IS22" s="112"/>
      <c r="IT22" s="112"/>
      <c r="IU22" s="112"/>
      <c r="IV22" s="112"/>
      <c r="IW22" s="112"/>
    </row>
    <row r="23" customFormat="false" ht="12" hidden="false" customHeight="false" outlineLevel="1" collapsed="false">
      <c r="A23" s="63"/>
      <c r="B23" s="84"/>
      <c r="C23" s="99" t="s">
        <v>124</v>
      </c>
      <c r="D23" s="84"/>
      <c r="E23" s="113" t="n">
        <v>308906.5</v>
      </c>
      <c r="F23" s="96"/>
      <c r="G23" s="107" t="n">
        <f aca="false">+E23/7*5+8126+4114</f>
        <v>232887.5</v>
      </c>
      <c r="H23" s="114"/>
      <c r="I23" s="96" t="n">
        <f aca="false">+E23+G23</f>
        <v>541794</v>
      </c>
      <c r="J23" s="96"/>
      <c r="K23" s="113" t="n">
        <v>558924</v>
      </c>
      <c r="L23" s="99"/>
      <c r="M23" s="115" t="n">
        <f aca="false">(-K23+I23)</f>
        <v>-17130</v>
      </c>
      <c r="N23" s="111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  <c r="IW23" s="116"/>
    </row>
    <row r="24" customFormat="false" ht="12" hidden="false" customHeight="false" outlineLevel="1" collapsed="false">
      <c r="A24" s="63"/>
      <c r="B24" s="84"/>
      <c r="C24" s="99" t="s">
        <v>125</v>
      </c>
      <c r="D24" s="84"/>
      <c r="E24" s="113" t="n">
        <v>185343.9</v>
      </c>
      <c r="F24" s="96"/>
      <c r="G24" s="107" t="n">
        <f aca="false">+E24/7*5</f>
        <v>132388.5</v>
      </c>
      <c r="H24" s="114"/>
      <c r="I24" s="96" t="n">
        <f aca="false">+E24+G24</f>
        <v>317732.4</v>
      </c>
      <c r="J24" s="96"/>
      <c r="K24" s="113" t="n">
        <v>322716</v>
      </c>
      <c r="L24" s="99"/>
      <c r="M24" s="115" t="n">
        <f aca="false">(-K24+I24)</f>
        <v>-4983.59999999998</v>
      </c>
      <c r="N24" s="111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  <c r="IW24" s="116"/>
    </row>
    <row r="25" customFormat="false" ht="12" hidden="false" customHeight="false" outlineLevel="1" collapsed="false">
      <c r="A25" s="63"/>
      <c r="B25" s="84"/>
      <c r="C25" s="99" t="s">
        <v>126</v>
      </c>
      <c r="D25" s="84"/>
      <c r="E25" s="113" t="n">
        <v>92671.95</v>
      </c>
      <c r="F25" s="96"/>
      <c r="G25" s="107" t="n">
        <f aca="false">+E25/7*5</f>
        <v>66194.25</v>
      </c>
      <c r="H25" s="114"/>
      <c r="I25" s="96" t="n">
        <f aca="false">+E25+G25</f>
        <v>158866.2</v>
      </c>
      <c r="J25" s="96"/>
      <c r="K25" s="113" t="n">
        <v>161388</v>
      </c>
      <c r="L25" s="99"/>
      <c r="M25" s="115" t="n">
        <f aca="false">(-K25+I25)</f>
        <v>-2521.79999999999</v>
      </c>
      <c r="N25" s="111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  <c r="IW25" s="116"/>
    </row>
    <row r="26" customFormat="false" ht="12" hidden="false" customHeight="false" outlineLevel="1" collapsed="false">
      <c r="A26" s="63"/>
      <c r="B26" s="84"/>
      <c r="C26" s="99" t="s">
        <v>127</v>
      </c>
      <c r="D26" s="84"/>
      <c r="E26" s="113" t="n">
        <v>30890.65</v>
      </c>
      <c r="F26" s="64"/>
      <c r="G26" s="107" t="n">
        <f aca="false">+E26/7*5</f>
        <v>22064.75</v>
      </c>
      <c r="H26" s="84"/>
      <c r="I26" s="96" t="n">
        <f aca="false">+E26+G26</f>
        <v>52955.4</v>
      </c>
      <c r="J26" s="64"/>
      <c r="K26" s="113" t="n">
        <v>54288</v>
      </c>
      <c r="L26" s="99"/>
      <c r="M26" s="115" t="n">
        <f aca="false">(-K26+I26)</f>
        <v>-1332.6</v>
      </c>
      <c r="N26" s="111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</row>
    <row r="27" customFormat="false" ht="12" hidden="false" customHeight="false" outlineLevel="1" collapsed="false">
      <c r="A27" s="63"/>
      <c r="B27" s="84"/>
      <c r="C27" s="99" t="s">
        <v>128</v>
      </c>
      <c r="D27" s="84"/>
      <c r="E27" s="113" t="n">
        <v>28774.8</v>
      </c>
      <c r="F27" s="64"/>
      <c r="G27" s="107" t="n">
        <f aca="false">+E27/7*5</f>
        <v>20553.4285714286</v>
      </c>
      <c r="H27" s="84"/>
      <c r="I27" s="96" t="n">
        <f aca="false">+E27+G27</f>
        <v>49328.2285714286</v>
      </c>
      <c r="J27" s="64"/>
      <c r="K27" s="113" t="n">
        <f aca="false">52812</f>
        <v>52812</v>
      </c>
      <c r="L27" s="99"/>
      <c r="M27" s="115" t="n">
        <f aca="false">(-K27+I27)</f>
        <v>-3483.77142857143</v>
      </c>
      <c r="N27" s="111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  <c r="IW27" s="116"/>
    </row>
    <row r="28" customFormat="false" ht="12" hidden="false" customHeight="false" outlineLevel="1" collapsed="false">
      <c r="A28" s="63"/>
      <c r="B28" s="84"/>
      <c r="C28" s="99" t="s">
        <v>129</v>
      </c>
      <c r="D28" s="84"/>
      <c r="E28" s="113" t="n">
        <v>0</v>
      </c>
      <c r="F28" s="96"/>
      <c r="G28" s="107" t="n">
        <f aca="false">+E28/7*5</f>
        <v>0</v>
      </c>
      <c r="H28" s="114"/>
      <c r="I28" s="96" t="n">
        <f aca="false">+E28+G28</f>
        <v>0</v>
      </c>
      <c r="J28" s="96"/>
      <c r="K28" s="113" t="n">
        <v>0</v>
      </c>
      <c r="L28" s="99"/>
      <c r="M28" s="115" t="n">
        <f aca="false">(-K28+I28)</f>
        <v>0</v>
      </c>
      <c r="N28" s="111"/>
      <c r="O28" s="63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  <c r="IW28" s="116"/>
    </row>
    <row r="29" customFormat="false" ht="15" hidden="false" customHeight="false" outlineLevel="0" collapsed="false">
      <c r="A29" s="104"/>
      <c r="B29" s="105"/>
      <c r="C29" s="106" t="s">
        <v>130</v>
      </c>
      <c r="D29" s="105"/>
      <c r="E29" s="108" t="n">
        <v>209400</v>
      </c>
      <c r="F29" s="117"/>
      <c r="G29" s="108" t="n">
        <f aca="false">SUM(G30:G31)</f>
        <v>149571.428571429</v>
      </c>
      <c r="H29" s="105"/>
      <c r="I29" s="108" t="n">
        <f aca="false">+E29+G29</f>
        <v>358971.428571429</v>
      </c>
      <c r="J29" s="117"/>
      <c r="K29" s="108" t="n">
        <f aca="false">SUM(K30:K31)</f>
        <v>0</v>
      </c>
      <c r="L29" s="106"/>
      <c r="M29" s="110" t="n">
        <f aca="false">(-K29+I29)</f>
        <v>358971.428571429</v>
      </c>
      <c r="N29" s="111"/>
      <c r="O29" s="63" t="s">
        <v>131</v>
      </c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2"/>
      <c r="CT29" s="112"/>
      <c r="CU29" s="112"/>
      <c r="CV29" s="112"/>
      <c r="CW29" s="112"/>
      <c r="CX29" s="112"/>
      <c r="CY29" s="112"/>
      <c r="CZ29" s="112"/>
      <c r="DA29" s="112"/>
      <c r="DB29" s="112"/>
      <c r="DC29" s="112"/>
      <c r="DD29" s="112"/>
      <c r="DE29" s="112"/>
      <c r="DF29" s="112"/>
      <c r="DG29" s="112"/>
      <c r="DH29" s="112"/>
      <c r="DI29" s="112"/>
      <c r="DJ29" s="112"/>
      <c r="DK29" s="112"/>
      <c r="DL29" s="112"/>
      <c r="DM29" s="112"/>
      <c r="DN29" s="112"/>
      <c r="DO29" s="112"/>
      <c r="DP29" s="112"/>
      <c r="DQ29" s="112"/>
      <c r="DR29" s="112"/>
      <c r="DS29" s="112"/>
      <c r="DT29" s="112"/>
      <c r="DU29" s="112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2"/>
      <c r="EG29" s="112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2"/>
      <c r="ES29" s="112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2"/>
      <c r="FE29" s="112"/>
      <c r="FF29" s="112"/>
      <c r="FG29" s="112"/>
      <c r="FH29" s="112"/>
      <c r="FI29" s="112"/>
      <c r="FJ29" s="112"/>
      <c r="FK29" s="112"/>
      <c r="FL29" s="112"/>
      <c r="FM29" s="112"/>
      <c r="FN29" s="112"/>
      <c r="FO29" s="112"/>
      <c r="FP29" s="112"/>
      <c r="FQ29" s="112"/>
      <c r="FR29" s="112"/>
      <c r="FS29" s="112"/>
      <c r="FT29" s="112"/>
      <c r="FU29" s="112"/>
      <c r="FV29" s="112"/>
      <c r="FW29" s="112"/>
      <c r="FX29" s="112"/>
      <c r="FY29" s="112"/>
      <c r="FZ29" s="112"/>
      <c r="GA29" s="112"/>
      <c r="GB29" s="112"/>
      <c r="GC29" s="112"/>
      <c r="GD29" s="112"/>
      <c r="GE29" s="112"/>
      <c r="GF29" s="112"/>
      <c r="GG29" s="112"/>
      <c r="GH29" s="112"/>
      <c r="GI29" s="112"/>
      <c r="GJ29" s="112"/>
      <c r="GK29" s="112"/>
      <c r="GL29" s="112"/>
      <c r="GM29" s="112"/>
      <c r="GN29" s="112"/>
      <c r="GO29" s="112"/>
      <c r="GP29" s="112"/>
      <c r="GQ29" s="112"/>
      <c r="GR29" s="112"/>
      <c r="GS29" s="112"/>
      <c r="GT29" s="112"/>
      <c r="GU29" s="112"/>
      <c r="GV29" s="112"/>
      <c r="GW29" s="112"/>
      <c r="GX29" s="112"/>
      <c r="GY29" s="112"/>
      <c r="GZ29" s="112"/>
      <c r="HA29" s="112"/>
      <c r="HB29" s="112"/>
      <c r="HC29" s="112"/>
      <c r="HD29" s="112"/>
      <c r="HE29" s="112"/>
      <c r="HF29" s="112"/>
      <c r="HG29" s="112"/>
      <c r="HH29" s="112"/>
      <c r="HI29" s="112"/>
      <c r="HJ29" s="112"/>
      <c r="HK29" s="112"/>
      <c r="HL29" s="112"/>
      <c r="HM29" s="112"/>
      <c r="HN29" s="112"/>
      <c r="HO29" s="112"/>
      <c r="HP29" s="112"/>
      <c r="HQ29" s="112"/>
      <c r="HR29" s="112"/>
      <c r="HS29" s="112"/>
      <c r="HT29" s="112"/>
      <c r="HU29" s="112"/>
      <c r="HV29" s="112"/>
      <c r="HW29" s="112"/>
      <c r="HX29" s="112"/>
      <c r="HY29" s="112"/>
      <c r="HZ29" s="112"/>
      <c r="IA29" s="112"/>
      <c r="IB29" s="112"/>
      <c r="IC29" s="112"/>
      <c r="ID29" s="112"/>
      <c r="IE29" s="112"/>
      <c r="IF29" s="112"/>
      <c r="IG29" s="112"/>
      <c r="IH29" s="112"/>
      <c r="II29" s="112"/>
      <c r="IJ29" s="112"/>
      <c r="IK29" s="112"/>
      <c r="IL29" s="112"/>
      <c r="IM29" s="112"/>
      <c r="IN29" s="112"/>
      <c r="IO29" s="112"/>
      <c r="IP29" s="112"/>
      <c r="IQ29" s="112"/>
      <c r="IR29" s="112"/>
      <c r="IS29" s="112"/>
      <c r="IT29" s="112"/>
      <c r="IU29" s="112"/>
      <c r="IV29" s="112"/>
      <c r="IW29" s="112"/>
    </row>
    <row r="30" customFormat="false" ht="12" hidden="false" customHeight="false" outlineLevel="1" collapsed="false">
      <c r="A30" s="63"/>
      <c r="B30" s="84"/>
      <c r="C30" s="99" t="s">
        <v>132</v>
      </c>
      <c r="D30" s="84"/>
      <c r="E30" s="113" t="n">
        <v>102</v>
      </c>
      <c r="F30" s="64"/>
      <c r="G30" s="107" t="n">
        <f aca="false">+E30/7*5</f>
        <v>72.8571428571429</v>
      </c>
      <c r="H30" s="84"/>
      <c r="I30" s="96" t="n">
        <f aca="false">+E30+G30</f>
        <v>174.857142857143</v>
      </c>
      <c r="J30" s="64"/>
      <c r="K30" s="113" t="n">
        <v>0</v>
      </c>
      <c r="L30" s="99"/>
      <c r="M30" s="115" t="n">
        <f aca="false">(-K30+I30)</f>
        <v>174.857142857143</v>
      </c>
      <c r="N30" s="111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  <c r="IW30" s="116"/>
    </row>
    <row r="31" customFormat="false" ht="12" hidden="false" customHeight="false" outlineLevel="1" collapsed="false">
      <c r="A31" s="63"/>
      <c r="B31" s="84"/>
      <c r="C31" s="99" t="s">
        <v>133</v>
      </c>
      <c r="D31" s="84"/>
      <c r="E31" s="113" t="n">
        <v>209298</v>
      </c>
      <c r="F31" s="96"/>
      <c r="G31" s="107" t="n">
        <f aca="false">+E31/7*5</f>
        <v>149498.571428571</v>
      </c>
      <c r="H31" s="114"/>
      <c r="I31" s="96" t="n">
        <f aca="false">+E31+G31</f>
        <v>358796.571428571</v>
      </c>
      <c r="J31" s="96"/>
      <c r="K31" s="113" t="n">
        <v>0</v>
      </c>
      <c r="L31" s="99"/>
      <c r="M31" s="115" t="n">
        <f aca="false">(-K31+I31)</f>
        <v>358796.571428571</v>
      </c>
      <c r="N31" s="111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  <c r="IW31" s="116"/>
    </row>
    <row r="32" customFormat="false" ht="15" hidden="false" customHeight="false" outlineLevel="0" collapsed="false">
      <c r="A32" s="104"/>
      <c r="B32" s="105"/>
      <c r="C32" s="106" t="s">
        <v>134</v>
      </c>
      <c r="D32" s="105"/>
      <c r="E32" s="108" t="n">
        <v>909330</v>
      </c>
      <c r="F32" s="117"/>
      <c r="G32" s="108" t="n">
        <f aca="false">SUM(G33:G38)</f>
        <v>769792.428571429</v>
      </c>
      <c r="H32" s="105"/>
      <c r="I32" s="108" t="n">
        <f aca="false">+E32+G32</f>
        <v>1679122.42857143</v>
      </c>
      <c r="J32" s="117"/>
      <c r="K32" s="108" t="n">
        <f aca="false">SUM(K33:K38)</f>
        <v>1871612</v>
      </c>
      <c r="L32" s="106"/>
      <c r="M32" s="110" t="n">
        <f aca="false">(-K32+I32)</f>
        <v>-192489.571428571</v>
      </c>
      <c r="N32" s="111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12"/>
      <c r="CL32" s="112"/>
      <c r="CM32" s="112"/>
      <c r="CN32" s="112"/>
      <c r="CO32" s="112"/>
      <c r="CP32" s="112"/>
      <c r="CQ32" s="112"/>
      <c r="CR32" s="112"/>
      <c r="CS32" s="112"/>
      <c r="CT32" s="112"/>
      <c r="CU32" s="112"/>
      <c r="CV32" s="112"/>
      <c r="CW32" s="112"/>
      <c r="CX32" s="112"/>
      <c r="CY32" s="112"/>
      <c r="CZ32" s="112"/>
      <c r="DA32" s="112"/>
      <c r="DB32" s="112"/>
      <c r="DC32" s="112"/>
      <c r="DD32" s="112"/>
      <c r="DE32" s="112"/>
      <c r="DF32" s="112"/>
      <c r="DG32" s="112"/>
      <c r="DH32" s="112"/>
      <c r="DI32" s="112"/>
      <c r="DJ32" s="112"/>
      <c r="DK32" s="112"/>
      <c r="DL32" s="112"/>
      <c r="DM32" s="112"/>
      <c r="DN32" s="112"/>
      <c r="DO32" s="112"/>
      <c r="DP32" s="112"/>
      <c r="DQ32" s="112"/>
      <c r="DR32" s="112"/>
      <c r="DS32" s="112"/>
      <c r="DT32" s="112"/>
      <c r="DU32" s="112"/>
      <c r="DV32" s="112"/>
      <c r="DW32" s="112"/>
      <c r="DX32" s="112"/>
      <c r="DY32" s="112"/>
      <c r="DZ32" s="112"/>
      <c r="EA32" s="112"/>
      <c r="EB32" s="112"/>
      <c r="EC32" s="112"/>
      <c r="ED32" s="112"/>
      <c r="EE32" s="112"/>
      <c r="EF32" s="112"/>
      <c r="EG32" s="112"/>
      <c r="EH32" s="112"/>
      <c r="EI32" s="112"/>
      <c r="EJ32" s="112"/>
      <c r="EK32" s="112"/>
      <c r="EL32" s="112"/>
      <c r="EM32" s="112"/>
      <c r="EN32" s="112"/>
      <c r="EO32" s="112"/>
      <c r="EP32" s="112"/>
      <c r="EQ32" s="112"/>
      <c r="ER32" s="112"/>
      <c r="ES32" s="112"/>
      <c r="ET32" s="112"/>
      <c r="EU32" s="112"/>
      <c r="EV32" s="112"/>
      <c r="EW32" s="112"/>
      <c r="EX32" s="112"/>
      <c r="EY32" s="112"/>
      <c r="EZ32" s="112"/>
      <c r="FA32" s="112"/>
      <c r="FB32" s="112"/>
      <c r="FC32" s="112"/>
      <c r="FD32" s="112"/>
      <c r="FE32" s="112"/>
      <c r="FF32" s="112"/>
      <c r="FG32" s="112"/>
      <c r="FH32" s="112"/>
      <c r="FI32" s="112"/>
      <c r="FJ32" s="112"/>
      <c r="FK32" s="112"/>
      <c r="FL32" s="112"/>
      <c r="FM32" s="112"/>
      <c r="FN32" s="112"/>
      <c r="FO32" s="112"/>
      <c r="FP32" s="112"/>
      <c r="FQ32" s="112"/>
      <c r="FR32" s="112"/>
      <c r="FS32" s="112"/>
      <c r="FT32" s="112"/>
      <c r="FU32" s="112"/>
      <c r="FV32" s="112"/>
      <c r="FW32" s="112"/>
      <c r="FX32" s="112"/>
      <c r="FY32" s="112"/>
      <c r="FZ32" s="112"/>
      <c r="GA32" s="112"/>
      <c r="GB32" s="112"/>
      <c r="GC32" s="112"/>
      <c r="GD32" s="112"/>
      <c r="GE32" s="112"/>
      <c r="GF32" s="112"/>
      <c r="GG32" s="112"/>
      <c r="GH32" s="112"/>
      <c r="GI32" s="112"/>
      <c r="GJ32" s="112"/>
      <c r="GK32" s="112"/>
      <c r="GL32" s="112"/>
      <c r="GM32" s="112"/>
      <c r="GN32" s="112"/>
      <c r="GO32" s="112"/>
      <c r="GP32" s="112"/>
      <c r="GQ32" s="112"/>
      <c r="GR32" s="112"/>
      <c r="GS32" s="112"/>
      <c r="GT32" s="112"/>
      <c r="GU32" s="112"/>
      <c r="GV32" s="112"/>
      <c r="GW32" s="112"/>
      <c r="GX32" s="112"/>
      <c r="GY32" s="112"/>
      <c r="GZ32" s="112"/>
      <c r="HA32" s="112"/>
      <c r="HB32" s="112"/>
      <c r="HC32" s="112"/>
      <c r="HD32" s="112"/>
      <c r="HE32" s="112"/>
      <c r="HF32" s="112"/>
      <c r="HG32" s="112"/>
      <c r="HH32" s="112"/>
      <c r="HI32" s="112"/>
      <c r="HJ32" s="112"/>
      <c r="HK32" s="112"/>
      <c r="HL32" s="112"/>
      <c r="HM32" s="112"/>
      <c r="HN32" s="112"/>
      <c r="HO32" s="112"/>
      <c r="HP32" s="112"/>
      <c r="HQ32" s="112"/>
      <c r="HR32" s="112"/>
      <c r="HS32" s="112"/>
      <c r="HT32" s="112"/>
      <c r="HU32" s="112"/>
      <c r="HV32" s="112"/>
      <c r="HW32" s="112"/>
      <c r="HX32" s="112"/>
      <c r="HY32" s="112"/>
      <c r="HZ32" s="112"/>
      <c r="IA32" s="112"/>
      <c r="IB32" s="112"/>
      <c r="IC32" s="112"/>
      <c r="ID32" s="112"/>
      <c r="IE32" s="112"/>
      <c r="IF32" s="112"/>
      <c r="IG32" s="112"/>
      <c r="IH32" s="112"/>
      <c r="II32" s="112"/>
      <c r="IJ32" s="112"/>
      <c r="IK32" s="112"/>
      <c r="IL32" s="112"/>
      <c r="IM32" s="112"/>
      <c r="IN32" s="112"/>
      <c r="IO32" s="112"/>
      <c r="IP32" s="112"/>
      <c r="IQ32" s="112"/>
      <c r="IR32" s="112"/>
      <c r="IS32" s="112"/>
      <c r="IT32" s="112"/>
      <c r="IU32" s="112"/>
      <c r="IV32" s="112"/>
      <c r="IW32" s="112"/>
    </row>
    <row r="33" customFormat="false" ht="12" hidden="false" customHeight="false" outlineLevel="1" collapsed="false">
      <c r="A33" s="63"/>
      <c r="B33" s="84"/>
      <c r="C33" s="99" t="s">
        <v>135</v>
      </c>
      <c r="D33" s="84"/>
      <c r="E33" s="113" t="n">
        <v>4349</v>
      </c>
      <c r="F33" s="64"/>
      <c r="G33" s="107" t="n">
        <f aca="false">+E33/7*5</f>
        <v>3106.42857142857</v>
      </c>
      <c r="H33" s="84"/>
      <c r="I33" s="96" t="n">
        <f aca="false">+E33+G33</f>
        <v>7455.42857142857</v>
      </c>
      <c r="J33" s="64"/>
      <c r="K33" s="113" t="n">
        <f aca="false">9360</f>
        <v>9360</v>
      </c>
      <c r="L33" s="99"/>
      <c r="M33" s="115" t="n">
        <f aca="false">(-K33+I33)</f>
        <v>-1904.57142857143</v>
      </c>
      <c r="N33" s="111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</row>
    <row r="34" customFormat="false" ht="12" hidden="false" customHeight="false" outlineLevel="1" collapsed="false">
      <c r="A34" s="63"/>
      <c r="B34" s="84"/>
      <c r="C34" s="99" t="s">
        <v>136</v>
      </c>
      <c r="D34" s="84"/>
      <c r="E34" s="113" t="n">
        <v>65906</v>
      </c>
      <c r="F34" s="64"/>
      <c r="G34" s="107" t="n">
        <f aca="false">+E34/7*5+5198+3455</f>
        <v>55728.7142857143</v>
      </c>
      <c r="H34" s="84"/>
      <c r="I34" s="96" t="n">
        <f aca="false">+E34+G34</f>
        <v>121634.714285714</v>
      </c>
      <c r="J34" s="64"/>
      <c r="K34" s="113" t="n">
        <v>133296</v>
      </c>
      <c r="L34" s="99"/>
      <c r="M34" s="115" t="n">
        <f aca="false">(-K34+I34)</f>
        <v>-11661.2857142857</v>
      </c>
      <c r="N34" s="111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</row>
    <row r="35" customFormat="false" ht="12" hidden="false" customHeight="false" outlineLevel="1" collapsed="false">
      <c r="A35" s="63"/>
      <c r="B35" s="84"/>
      <c r="C35" s="99" t="s">
        <v>137</v>
      </c>
      <c r="D35" s="84"/>
      <c r="E35" s="113" t="n">
        <v>175</v>
      </c>
      <c r="F35" s="64"/>
      <c r="G35" s="107" t="n">
        <f aca="false">+E35/7*5</f>
        <v>125</v>
      </c>
      <c r="H35" s="84"/>
      <c r="I35" s="96" t="n">
        <f aca="false">+E35+G35</f>
        <v>300</v>
      </c>
      <c r="J35" s="64"/>
      <c r="K35" s="113" t="n">
        <v>500</v>
      </c>
      <c r="L35" s="99"/>
      <c r="M35" s="115" t="n">
        <f aca="false">(-K35+I35)</f>
        <v>-200</v>
      </c>
      <c r="N35" s="111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  <c r="IU35" s="116"/>
      <c r="IV35" s="116"/>
      <c r="IW35" s="116"/>
    </row>
    <row r="36" customFormat="false" ht="12" hidden="false" customHeight="false" outlineLevel="1" collapsed="false">
      <c r="A36" s="63"/>
      <c r="B36" s="84"/>
      <c r="C36" s="99" t="s">
        <v>138</v>
      </c>
      <c r="D36" s="84"/>
      <c r="E36" s="113" t="n">
        <v>0</v>
      </c>
      <c r="F36" s="64"/>
      <c r="G36" s="107" t="n">
        <f aca="false">+E36/7*5</f>
        <v>0</v>
      </c>
      <c r="H36" s="84"/>
      <c r="I36" s="96" t="n">
        <f aca="false">+E36+G36</f>
        <v>0</v>
      </c>
      <c r="J36" s="64"/>
      <c r="K36" s="113" t="n">
        <v>0</v>
      </c>
      <c r="L36" s="99"/>
      <c r="M36" s="115" t="n">
        <f aca="false">(-K36+I36)</f>
        <v>0</v>
      </c>
      <c r="N36" s="111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</row>
    <row r="37" customFormat="false" ht="12" hidden="false" customHeight="false" outlineLevel="1" collapsed="false">
      <c r="A37" s="63"/>
      <c r="B37" s="84"/>
      <c r="C37" s="99" t="s">
        <v>139</v>
      </c>
      <c r="D37" s="84"/>
      <c r="E37" s="113" t="n">
        <v>797890</v>
      </c>
      <c r="F37" s="64"/>
      <c r="G37" s="107" t="n">
        <f aca="false">+E37/7*5+34428+72076</f>
        <v>676425.428571429</v>
      </c>
      <c r="H37" s="84"/>
      <c r="I37" s="96" t="n">
        <f aca="false">+E37+G37</f>
        <v>1474315.42857143</v>
      </c>
      <c r="J37" s="64"/>
      <c r="K37" s="113" t="n">
        <f aca="false">1638936</f>
        <v>1638936</v>
      </c>
      <c r="L37" s="99"/>
      <c r="M37" s="115" t="n">
        <f aca="false">(-K37+I37)</f>
        <v>-164620.571428571</v>
      </c>
      <c r="N37" s="111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</row>
    <row r="38" customFormat="false" ht="12" hidden="false" customHeight="false" outlineLevel="1" collapsed="false">
      <c r="A38" s="63"/>
      <c r="B38" s="84"/>
      <c r="C38" s="99" t="s">
        <v>140</v>
      </c>
      <c r="D38" s="84"/>
      <c r="E38" s="113" t="n">
        <v>41010</v>
      </c>
      <c r="F38" s="64"/>
      <c r="G38" s="107" t="n">
        <f aca="false">+E38/7*5+1157+3957</f>
        <v>34406.8571428571</v>
      </c>
      <c r="H38" s="84"/>
      <c r="I38" s="96" t="n">
        <f aca="false">+E38+G38</f>
        <v>75416.8571428571</v>
      </c>
      <c r="J38" s="64"/>
      <c r="K38" s="113" t="n">
        <f aca="false">89520</f>
        <v>89520</v>
      </c>
      <c r="L38" s="99"/>
      <c r="M38" s="115" t="n">
        <f aca="false">(-K38+I38)</f>
        <v>-14103.1428571429</v>
      </c>
      <c r="N38" s="111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  <c r="IW38" s="116"/>
    </row>
    <row r="39" customFormat="false" ht="15" hidden="false" customHeight="false" outlineLevel="0" collapsed="false">
      <c r="A39" s="104"/>
      <c r="B39" s="105"/>
      <c r="C39" s="106" t="s">
        <v>141</v>
      </c>
      <c r="D39" s="105"/>
      <c r="E39" s="107" t="n">
        <v>135471</v>
      </c>
      <c r="F39" s="117"/>
      <c r="G39" s="107" t="n">
        <f aca="false">+E39/7*5+9282+14331</f>
        <v>120378</v>
      </c>
      <c r="H39" s="105"/>
      <c r="I39" s="108" t="n">
        <f aca="false">+E39+G39</f>
        <v>255849</v>
      </c>
      <c r="J39" s="117"/>
      <c r="K39" s="107" t="n">
        <f aca="false">311196</f>
        <v>311196</v>
      </c>
      <c r="L39" s="106"/>
      <c r="M39" s="110" t="n">
        <f aca="false">(-K39+I39)</f>
        <v>-55347</v>
      </c>
      <c r="N39" s="111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  <c r="CB39" s="112"/>
      <c r="CC39" s="112"/>
      <c r="CD39" s="112"/>
      <c r="CE39" s="112"/>
      <c r="CF39" s="112"/>
      <c r="CG39" s="112"/>
      <c r="CH39" s="112"/>
      <c r="CI39" s="112"/>
      <c r="CJ39" s="112"/>
      <c r="CK39" s="112"/>
      <c r="CL39" s="112"/>
      <c r="CM39" s="112"/>
      <c r="CN39" s="112"/>
      <c r="CO39" s="112"/>
      <c r="CP39" s="112"/>
      <c r="CQ39" s="112"/>
      <c r="CR39" s="112"/>
      <c r="CS39" s="112"/>
      <c r="CT39" s="112"/>
      <c r="CU39" s="112"/>
      <c r="CV39" s="112"/>
      <c r="CW39" s="112"/>
      <c r="CX39" s="112"/>
      <c r="CY39" s="112"/>
      <c r="CZ39" s="112"/>
      <c r="DA39" s="112"/>
      <c r="DB39" s="112"/>
      <c r="DC39" s="112"/>
      <c r="DD39" s="112"/>
      <c r="DE39" s="112"/>
      <c r="DF39" s="112"/>
      <c r="DG39" s="112"/>
      <c r="DH39" s="112"/>
      <c r="DI39" s="112"/>
      <c r="DJ39" s="112"/>
      <c r="DK39" s="112"/>
      <c r="DL39" s="112"/>
      <c r="DM39" s="112"/>
      <c r="DN39" s="112"/>
      <c r="DO39" s="112"/>
      <c r="DP39" s="112"/>
      <c r="DQ39" s="112"/>
      <c r="DR39" s="112"/>
      <c r="DS39" s="112"/>
      <c r="DT39" s="112"/>
      <c r="DU39" s="112"/>
      <c r="DV39" s="112"/>
      <c r="DW39" s="112"/>
      <c r="DX39" s="112"/>
      <c r="DY39" s="112"/>
      <c r="DZ39" s="112"/>
      <c r="EA39" s="112"/>
      <c r="EB39" s="112"/>
      <c r="EC39" s="112"/>
      <c r="ED39" s="112"/>
      <c r="EE39" s="112"/>
      <c r="EF39" s="112"/>
      <c r="EG39" s="112"/>
      <c r="EH39" s="112"/>
      <c r="EI39" s="112"/>
      <c r="EJ39" s="112"/>
      <c r="EK39" s="112"/>
      <c r="EL39" s="112"/>
      <c r="EM39" s="112"/>
      <c r="EN39" s="112"/>
      <c r="EO39" s="112"/>
      <c r="EP39" s="112"/>
      <c r="EQ39" s="112"/>
      <c r="ER39" s="112"/>
      <c r="ES39" s="112"/>
      <c r="ET39" s="112"/>
      <c r="EU39" s="112"/>
      <c r="EV39" s="112"/>
      <c r="EW39" s="112"/>
      <c r="EX39" s="112"/>
      <c r="EY39" s="112"/>
      <c r="EZ39" s="112"/>
      <c r="FA39" s="112"/>
      <c r="FB39" s="112"/>
      <c r="FC39" s="112"/>
      <c r="FD39" s="112"/>
      <c r="FE39" s="112"/>
      <c r="FF39" s="112"/>
      <c r="FG39" s="112"/>
      <c r="FH39" s="112"/>
      <c r="FI39" s="112"/>
      <c r="FJ39" s="112"/>
      <c r="FK39" s="112"/>
      <c r="FL39" s="112"/>
      <c r="FM39" s="112"/>
      <c r="FN39" s="112"/>
      <c r="FO39" s="112"/>
      <c r="FP39" s="112"/>
      <c r="FQ39" s="112"/>
      <c r="FR39" s="112"/>
      <c r="FS39" s="112"/>
      <c r="FT39" s="112"/>
      <c r="FU39" s="112"/>
      <c r="FV39" s="112"/>
      <c r="FW39" s="112"/>
      <c r="FX39" s="112"/>
      <c r="FY39" s="112"/>
      <c r="FZ39" s="112"/>
      <c r="GA39" s="112"/>
      <c r="GB39" s="112"/>
      <c r="GC39" s="112"/>
      <c r="GD39" s="112"/>
      <c r="GE39" s="112"/>
      <c r="GF39" s="112"/>
      <c r="GG39" s="112"/>
      <c r="GH39" s="112"/>
      <c r="GI39" s="112"/>
      <c r="GJ39" s="112"/>
      <c r="GK39" s="112"/>
      <c r="GL39" s="112"/>
      <c r="GM39" s="112"/>
      <c r="GN39" s="112"/>
      <c r="GO39" s="112"/>
      <c r="GP39" s="112"/>
      <c r="GQ39" s="112"/>
      <c r="GR39" s="112"/>
      <c r="GS39" s="112"/>
      <c r="GT39" s="112"/>
      <c r="GU39" s="112"/>
      <c r="GV39" s="112"/>
      <c r="GW39" s="112"/>
      <c r="GX39" s="112"/>
      <c r="GY39" s="112"/>
      <c r="GZ39" s="112"/>
      <c r="HA39" s="112"/>
      <c r="HB39" s="112"/>
      <c r="HC39" s="112"/>
      <c r="HD39" s="112"/>
      <c r="HE39" s="112"/>
      <c r="HF39" s="112"/>
      <c r="HG39" s="112"/>
      <c r="HH39" s="112"/>
      <c r="HI39" s="112"/>
      <c r="HJ39" s="112"/>
      <c r="HK39" s="112"/>
      <c r="HL39" s="112"/>
      <c r="HM39" s="112"/>
      <c r="HN39" s="112"/>
      <c r="HO39" s="112"/>
      <c r="HP39" s="112"/>
      <c r="HQ39" s="112"/>
      <c r="HR39" s="112"/>
      <c r="HS39" s="112"/>
      <c r="HT39" s="112"/>
      <c r="HU39" s="112"/>
      <c r="HV39" s="112"/>
      <c r="HW39" s="112"/>
      <c r="HX39" s="112"/>
      <c r="HY39" s="112"/>
      <c r="HZ39" s="112"/>
      <c r="IA39" s="112"/>
      <c r="IB39" s="112"/>
      <c r="IC39" s="112"/>
      <c r="ID39" s="112"/>
      <c r="IE39" s="112"/>
      <c r="IF39" s="112"/>
      <c r="IG39" s="112"/>
      <c r="IH39" s="112"/>
      <c r="II39" s="112"/>
      <c r="IJ39" s="112"/>
      <c r="IK39" s="112"/>
      <c r="IL39" s="112"/>
      <c r="IM39" s="112"/>
      <c r="IN39" s="112"/>
      <c r="IO39" s="112"/>
      <c r="IP39" s="112"/>
      <c r="IQ39" s="112"/>
      <c r="IR39" s="112"/>
      <c r="IS39" s="112"/>
      <c r="IT39" s="112"/>
      <c r="IU39" s="112"/>
      <c r="IV39" s="112"/>
      <c r="IW39" s="112"/>
    </row>
    <row r="40" customFormat="false" ht="15" hidden="false" customHeight="false" outlineLevel="0" collapsed="false">
      <c r="A40" s="104"/>
      <c r="B40" s="105"/>
      <c r="C40" s="106" t="s">
        <v>142</v>
      </c>
      <c r="D40" s="105"/>
      <c r="E40" s="107" t="n">
        <v>0</v>
      </c>
      <c r="F40" s="117"/>
      <c r="G40" s="107" t="n">
        <v>0</v>
      </c>
      <c r="H40" s="105"/>
      <c r="I40" s="108" t="n">
        <f aca="false">+E40+G40</f>
        <v>0</v>
      </c>
      <c r="J40" s="117"/>
      <c r="K40" s="107" t="n">
        <v>0</v>
      </c>
      <c r="L40" s="106"/>
      <c r="M40" s="110" t="n">
        <f aca="false">(-K40+I40)</f>
        <v>0</v>
      </c>
      <c r="N40" s="111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  <c r="CB40" s="112"/>
      <c r="CC40" s="112"/>
      <c r="CD40" s="112"/>
      <c r="CE40" s="112"/>
      <c r="CF40" s="112"/>
      <c r="CG40" s="112"/>
      <c r="CH40" s="112"/>
      <c r="CI40" s="112"/>
      <c r="CJ40" s="112"/>
      <c r="CK40" s="112"/>
      <c r="CL40" s="112"/>
      <c r="CM40" s="112"/>
      <c r="CN40" s="112"/>
      <c r="CO40" s="112"/>
      <c r="CP40" s="112"/>
      <c r="CQ40" s="112"/>
      <c r="CR40" s="112"/>
      <c r="CS40" s="112"/>
      <c r="CT40" s="112"/>
      <c r="CU40" s="112"/>
      <c r="CV40" s="112"/>
      <c r="CW40" s="112"/>
      <c r="CX40" s="112"/>
      <c r="CY40" s="112"/>
      <c r="CZ40" s="112"/>
      <c r="DA40" s="112"/>
      <c r="DB40" s="112"/>
      <c r="DC40" s="112"/>
      <c r="DD40" s="112"/>
      <c r="DE40" s="112"/>
      <c r="DF40" s="112"/>
      <c r="DG40" s="112"/>
      <c r="DH40" s="112"/>
      <c r="DI40" s="112"/>
      <c r="DJ40" s="112"/>
      <c r="DK40" s="112"/>
      <c r="DL40" s="112"/>
      <c r="DM40" s="112"/>
      <c r="DN40" s="112"/>
      <c r="DO40" s="112"/>
      <c r="DP40" s="112"/>
      <c r="DQ40" s="112"/>
      <c r="DR40" s="112"/>
      <c r="DS40" s="112"/>
      <c r="DT40" s="112"/>
      <c r="DU40" s="112"/>
      <c r="DV40" s="112"/>
      <c r="DW40" s="112"/>
      <c r="DX40" s="112"/>
      <c r="DY40" s="112"/>
      <c r="DZ40" s="112"/>
      <c r="EA40" s="112"/>
      <c r="EB40" s="112"/>
      <c r="EC40" s="112"/>
      <c r="ED40" s="112"/>
      <c r="EE40" s="112"/>
      <c r="EF40" s="112"/>
      <c r="EG40" s="112"/>
      <c r="EH40" s="112"/>
      <c r="EI40" s="112"/>
      <c r="EJ40" s="112"/>
      <c r="EK40" s="112"/>
      <c r="EL40" s="112"/>
      <c r="EM40" s="112"/>
      <c r="EN40" s="112"/>
      <c r="EO40" s="112"/>
      <c r="EP40" s="112"/>
      <c r="EQ40" s="112"/>
      <c r="ER40" s="112"/>
      <c r="ES40" s="112"/>
      <c r="ET40" s="112"/>
      <c r="EU40" s="112"/>
      <c r="EV40" s="112"/>
      <c r="EW40" s="112"/>
      <c r="EX40" s="112"/>
      <c r="EY40" s="112"/>
      <c r="EZ40" s="112"/>
      <c r="FA40" s="112"/>
      <c r="FB40" s="112"/>
      <c r="FC40" s="112"/>
      <c r="FD40" s="112"/>
      <c r="FE40" s="112"/>
      <c r="FF40" s="112"/>
      <c r="FG40" s="112"/>
      <c r="FH40" s="112"/>
      <c r="FI40" s="112"/>
      <c r="FJ40" s="112"/>
      <c r="FK40" s="112"/>
      <c r="FL40" s="112"/>
      <c r="FM40" s="112"/>
      <c r="FN40" s="112"/>
      <c r="FO40" s="112"/>
      <c r="FP40" s="112"/>
      <c r="FQ40" s="112"/>
      <c r="FR40" s="112"/>
      <c r="FS40" s="112"/>
      <c r="FT40" s="112"/>
      <c r="FU40" s="112"/>
      <c r="FV40" s="112"/>
      <c r="FW40" s="112"/>
      <c r="FX40" s="112"/>
      <c r="FY40" s="112"/>
      <c r="FZ40" s="112"/>
      <c r="GA40" s="112"/>
      <c r="GB40" s="112"/>
      <c r="GC40" s="112"/>
      <c r="GD40" s="112"/>
      <c r="GE40" s="112"/>
      <c r="GF40" s="112"/>
      <c r="GG40" s="112"/>
      <c r="GH40" s="112"/>
      <c r="GI40" s="112"/>
      <c r="GJ40" s="112"/>
      <c r="GK40" s="112"/>
      <c r="GL40" s="112"/>
      <c r="GM40" s="112"/>
      <c r="GN40" s="112"/>
      <c r="GO40" s="112"/>
      <c r="GP40" s="112"/>
      <c r="GQ40" s="112"/>
      <c r="GR40" s="112"/>
      <c r="GS40" s="112"/>
      <c r="GT40" s="112"/>
      <c r="GU40" s="112"/>
      <c r="GV40" s="112"/>
      <c r="GW40" s="112"/>
      <c r="GX40" s="112"/>
      <c r="GY40" s="112"/>
      <c r="GZ40" s="112"/>
      <c r="HA40" s="112"/>
      <c r="HB40" s="112"/>
      <c r="HC40" s="112"/>
      <c r="HD40" s="112"/>
      <c r="HE40" s="112"/>
      <c r="HF40" s="112"/>
      <c r="HG40" s="112"/>
      <c r="HH40" s="112"/>
      <c r="HI40" s="112"/>
      <c r="HJ40" s="112"/>
      <c r="HK40" s="112"/>
      <c r="HL40" s="112"/>
      <c r="HM40" s="112"/>
      <c r="HN40" s="112"/>
      <c r="HO40" s="112"/>
      <c r="HP40" s="112"/>
      <c r="HQ40" s="112"/>
      <c r="HR40" s="112"/>
      <c r="HS40" s="112"/>
      <c r="HT40" s="112"/>
      <c r="HU40" s="112"/>
      <c r="HV40" s="112"/>
      <c r="HW40" s="112"/>
      <c r="HX40" s="112"/>
      <c r="HY40" s="112"/>
      <c r="HZ40" s="112"/>
      <c r="IA40" s="112"/>
      <c r="IB40" s="112"/>
      <c r="IC40" s="112"/>
      <c r="ID40" s="112"/>
      <c r="IE40" s="112"/>
      <c r="IF40" s="112"/>
      <c r="IG40" s="112"/>
      <c r="IH40" s="112"/>
      <c r="II40" s="112"/>
      <c r="IJ40" s="112"/>
      <c r="IK40" s="112"/>
      <c r="IL40" s="112"/>
      <c r="IM40" s="112"/>
      <c r="IN40" s="112"/>
      <c r="IO40" s="112"/>
      <c r="IP40" s="112"/>
      <c r="IQ40" s="112"/>
      <c r="IR40" s="112"/>
      <c r="IS40" s="112"/>
      <c r="IT40" s="112"/>
      <c r="IU40" s="112"/>
      <c r="IV40" s="112"/>
      <c r="IW40" s="112"/>
    </row>
    <row r="41" customFormat="false" ht="15" hidden="false" customHeight="false" outlineLevel="0" collapsed="false">
      <c r="A41" s="104"/>
      <c r="B41" s="105"/>
      <c r="C41" s="106" t="s">
        <v>143</v>
      </c>
      <c r="D41" s="105"/>
      <c r="E41" s="107" t="n">
        <v>0</v>
      </c>
      <c r="F41" s="117"/>
      <c r="G41" s="107" t="n">
        <v>0</v>
      </c>
      <c r="H41" s="105"/>
      <c r="I41" s="108" t="n">
        <f aca="false">+E41+G41</f>
        <v>0</v>
      </c>
      <c r="J41" s="117"/>
      <c r="K41" s="107" t="n">
        <v>0</v>
      </c>
      <c r="L41" s="106"/>
      <c r="M41" s="110" t="n">
        <f aca="false">(-K41+I41)</f>
        <v>0</v>
      </c>
      <c r="N41" s="111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2"/>
      <c r="DV41" s="112"/>
      <c r="DW41" s="112"/>
      <c r="DX41" s="112"/>
      <c r="DY41" s="112"/>
      <c r="DZ41" s="112"/>
      <c r="EA41" s="112"/>
      <c r="EB41" s="112"/>
      <c r="EC41" s="112"/>
      <c r="ED41" s="112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2"/>
      <c r="IP41" s="112"/>
      <c r="IQ41" s="112"/>
      <c r="IR41" s="112"/>
      <c r="IS41" s="112"/>
      <c r="IT41" s="112"/>
      <c r="IU41" s="112"/>
      <c r="IV41" s="112"/>
      <c r="IW41" s="112"/>
    </row>
    <row r="42" customFormat="false" ht="15" hidden="false" customHeight="false" outlineLevel="0" collapsed="false">
      <c r="A42" s="104"/>
      <c r="B42" s="105"/>
      <c r="C42" s="106" t="s">
        <v>144</v>
      </c>
      <c r="D42" s="105"/>
      <c r="E42" s="107" t="n">
        <v>0</v>
      </c>
      <c r="F42" s="117"/>
      <c r="G42" s="107" t="n">
        <v>0</v>
      </c>
      <c r="H42" s="105"/>
      <c r="I42" s="108" t="n">
        <f aca="false">+E42+G42</f>
        <v>0</v>
      </c>
      <c r="J42" s="117"/>
      <c r="K42" s="107" t="n">
        <v>0</v>
      </c>
      <c r="L42" s="106"/>
      <c r="M42" s="110" t="n">
        <f aca="false">(-K42+I42)</f>
        <v>0</v>
      </c>
      <c r="N42" s="111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2"/>
      <c r="DV42" s="112"/>
      <c r="DW42" s="112"/>
      <c r="DX42" s="112"/>
      <c r="DY42" s="112"/>
      <c r="DZ42" s="112"/>
      <c r="EA42" s="112"/>
      <c r="EB42" s="112"/>
      <c r="EC42" s="112"/>
      <c r="ED42" s="112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2"/>
      <c r="IP42" s="112"/>
      <c r="IQ42" s="112"/>
      <c r="IR42" s="112"/>
      <c r="IS42" s="112"/>
      <c r="IT42" s="112"/>
      <c r="IU42" s="112"/>
      <c r="IV42" s="112"/>
      <c r="IW42" s="112"/>
    </row>
    <row r="43" customFormat="false" ht="15" hidden="false" customHeight="false" outlineLevel="0" collapsed="false">
      <c r="A43" s="104"/>
      <c r="B43" s="105"/>
      <c r="C43" s="106" t="s">
        <v>145</v>
      </c>
      <c r="D43" s="105"/>
      <c r="E43" s="108" t="n">
        <v>97137</v>
      </c>
      <c r="F43" s="117"/>
      <c r="G43" s="108" t="n">
        <f aca="false">SUM(G44:G47)</f>
        <v>69383.5714285714</v>
      </c>
      <c r="H43" s="105"/>
      <c r="I43" s="108" t="n">
        <f aca="false">+E43+G43</f>
        <v>166520.571428571</v>
      </c>
      <c r="J43" s="117"/>
      <c r="K43" s="108" t="n">
        <f aca="false">SUM(K44:K47)</f>
        <v>189871</v>
      </c>
      <c r="L43" s="106"/>
      <c r="M43" s="110" t="n">
        <f aca="false">(-K43+I43)</f>
        <v>-23350.4285714286</v>
      </c>
      <c r="N43" s="111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2"/>
      <c r="DV43" s="112"/>
      <c r="DW43" s="112"/>
      <c r="DX43" s="112"/>
      <c r="DY43" s="112"/>
      <c r="DZ43" s="112"/>
      <c r="EA43" s="112"/>
      <c r="EB43" s="112"/>
      <c r="EC43" s="112"/>
      <c r="ED43" s="112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2"/>
      <c r="IP43" s="112"/>
      <c r="IQ43" s="112"/>
      <c r="IR43" s="112"/>
      <c r="IS43" s="112"/>
      <c r="IT43" s="112"/>
      <c r="IU43" s="112"/>
      <c r="IV43" s="112"/>
      <c r="IW43" s="112"/>
    </row>
    <row r="44" customFormat="false" ht="12" hidden="false" customHeight="false" outlineLevel="1" collapsed="false">
      <c r="A44" s="63"/>
      <c r="B44" s="84"/>
      <c r="C44" s="99" t="s">
        <v>146</v>
      </c>
      <c r="D44" s="84"/>
      <c r="E44" s="113" t="n">
        <v>5302</v>
      </c>
      <c r="F44" s="64"/>
      <c r="G44" s="107" t="n">
        <f aca="false">+E44/7*5</f>
        <v>3787.14285714286</v>
      </c>
      <c r="H44" s="84"/>
      <c r="I44" s="96" t="n">
        <f aca="false">+E44+G44</f>
        <v>9089.14285714286</v>
      </c>
      <c r="J44" s="64"/>
      <c r="K44" s="113" t="n">
        <v>10000</v>
      </c>
      <c r="L44" s="99"/>
      <c r="M44" s="115" t="n">
        <f aca="false">(-K44+I44)</f>
        <v>-910.857142857143</v>
      </c>
      <c r="N44" s="111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  <c r="IU44" s="116"/>
      <c r="IV44" s="116"/>
      <c r="IW44" s="116"/>
    </row>
    <row r="45" customFormat="false" ht="12" hidden="false" customHeight="false" outlineLevel="1" collapsed="false">
      <c r="A45" s="63"/>
      <c r="B45" s="84"/>
      <c r="C45" s="99" t="s">
        <v>147</v>
      </c>
      <c r="D45" s="84"/>
      <c r="E45" s="113" t="n">
        <v>0</v>
      </c>
      <c r="F45" s="64"/>
      <c r="G45" s="107" t="n">
        <f aca="false">+E45/7*5</f>
        <v>0</v>
      </c>
      <c r="H45" s="84"/>
      <c r="I45" s="96" t="n">
        <f aca="false">+E45+G45</f>
        <v>0</v>
      </c>
      <c r="J45" s="64"/>
      <c r="K45" s="113" t="n">
        <v>0</v>
      </c>
      <c r="L45" s="99"/>
      <c r="M45" s="115" t="n">
        <f aca="false">(-K45+I45)</f>
        <v>0</v>
      </c>
      <c r="N45" s="111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  <c r="FF45" s="116"/>
      <c r="FG45" s="116"/>
      <c r="FH45" s="116"/>
      <c r="FI45" s="116"/>
      <c r="FJ45" s="116"/>
      <c r="FK45" s="116"/>
      <c r="FL45" s="116"/>
      <c r="FM45" s="116"/>
      <c r="FN45" s="116"/>
      <c r="FO45" s="116"/>
      <c r="FP45" s="116"/>
      <c r="FQ45" s="116"/>
      <c r="FR45" s="116"/>
      <c r="FS45" s="116"/>
      <c r="FT45" s="116"/>
      <c r="FU45" s="116"/>
      <c r="FV45" s="116"/>
      <c r="FW45" s="116"/>
      <c r="FX45" s="116"/>
      <c r="FY45" s="116"/>
      <c r="FZ45" s="116"/>
      <c r="GA45" s="116"/>
      <c r="GB45" s="116"/>
      <c r="GC45" s="116"/>
      <c r="GD45" s="116"/>
      <c r="GE45" s="116"/>
      <c r="GF45" s="116"/>
      <c r="GG45" s="116"/>
      <c r="GH45" s="116"/>
      <c r="GI45" s="116"/>
      <c r="GJ45" s="116"/>
      <c r="GK45" s="116"/>
      <c r="GL45" s="116"/>
      <c r="GM45" s="116"/>
      <c r="GN45" s="116"/>
      <c r="GO45" s="116"/>
      <c r="GP45" s="116"/>
      <c r="GQ45" s="116"/>
      <c r="GR45" s="116"/>
      <c r="GS45" s="116"/>
      <c r="GT45" s="116"/>
      <c r="GU45" s="116"/>
      <c r="GV45" s="116"/>
      <c r="GW45" s="116"/>
      <c r="GX45" s="116"/>
      <c r="GY45" s="116"/>
      <c r="GZ45" s="116"/>
      <c r="HA45" s="116"/>
      <c r="HB45" s="116"/>
      <c r="HC45" s="116"/>
      <c r="HD45" s="116"/>
      <c r="HE45" s="116"/>
      <c r="HF45" s="116"/>
      <c r="HG45" s="116"/>
      <c r="HH45" s="116"/>
      <c r="HI45" s="116"/>
      <c r="HJ45" s="116"/>
      <c r="HK45" s="116"/>
      <c r="HL45" s="116"/>
      <c r="HM45" s="116"/>
      <c r="HN45" s="116"/>
      <c r="HO45" s="116"/>
      <c r="HP45" s="116"/>
      <c r="HQ45" s="116"/>
      <c r="HR45" s="116"/>
      <c r="HS45" s="116"/>
      <c r="HT45" s="116"/>
      <c r="HU45" s="116"/>
      <c r="HV45" s="116"/>
      <c r="HW45" s="116"/>
      <c r="HX45" s="116"/>
      <c r="HY45" s="116"/>
      <c r="HZ45" s="116"/>
      <c r="IA45" s="116"/>
      <c r="IB45" s="116"/>
      <c r="IC45" s="116"/>
      <c r="ID45" s="116"/>
      <c r="IE45" s="116"/>
      <c r="IF45" s="116"/>
      <c r="IG45" s="116"/>
      <c r="IH45" s="116"/>
      <c r="II45" s="116"/>
      <c r="IJ45" s="116"/>
      <c r="IK45" s="116"/>
      <c r="IL45" s="116"/>
      <c r="IM45" s="116"/>
      <c r="IN45" s="116"/>
      <c r="IO45" s="116"/>
      <c r="IP45" s="116"/>
      <c r="IQ45" s="116"/>
      <c r="IR45" s="116"/>
      <c r="IS45" s="116"/>
      <c r="IT45" s="116"/>
      <c r="IU45" s="116"/>
      <c r="IV45" s="116"/>
      <c r="IW45" s="116"/>
    </row>
    <row r="46" customFormat="false" ht="12" hidden="false" customHeight="false" outlineLevel="1" collapsed="false">
      <c r="A46" s="63"/>
      <c r="B46" s="84"/>
      <c r="C46" s="99" t="s">
        <v>148</v>
      </c>
      <c r="D46" s="84"/>
      <c r="E46" s="113" t="n">
        <v>0</v>
      </c>
      <c r="F46" s="64"/>
      <c r="G46" s="107" t="n">
        <f aca="false">+E46/7*5</f>
        <v>0</v>
      </c>
      <c r="H46" s="84"/>
      <c r="I46" s="96" t="n">
        <f aca="false">+E46+G46</f>
        <v>0</v>
      </c>
      <c r="J46" s="64"/>
      <c r="K46" s="113" t="n">
        <v>0</v>
      </c>
      <c r="L46" s="99"/>
      <c r="M46" s="115" t="n">
        <f aca="false">(-K46+I46)</f>
        <v>0</v>
      </c>
      <c r="N46" s="111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  <c r="IU46" s="116"/>
      <c r="IV46" s="116"/>
      <c r="IW46" s="116"/>
    </row>
    <row r="47" customFormat="false" ht="12" hidden="false" customHeight="false" outlineLevel="1" collapsed="false">
      <c r="A47" s="63"/>
      <c r="B47" s="84"/>
      <c r="C47" s="99" t="s">
        <v>149</v>
      </c>
      <c r="D47" s="84"/>
      <c r="E47" s="113" t="n">
        <v>91835</v>
      </c>
      <c r="F47" s="64"/>
      <c r="G47" s="107" t="n">
        <f aca="false">+E47/7*5</f>
        <v>65596.4285714286</v>
      </c>
      <c r="H47" s="84"/>
      <c r="I47" s="96" t="n">
        <f aca="false">+E47+G47</f>
        <v>157431.428571429</v>
      </c>
      <c r="J47" s="64"/>
      <c r="K47" s="113" t="n">
        <v>179871</v>
      </c>
      <c r="L47" s="99"/>
      <c r="M47" s="115" t="n">
        <f aca="false">(-K47+I47)</f>
        <v>-22439.5714285714</v>
      </c>
      <c r="N47" s="111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6"/>
      <c r="DR47" s="116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  <c r="EM47" s="116"/>
      <c r="EN47" s="116"/>
      <c r="EO47" s="116"/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  <c r="FE47" s="116"/>
      <c r="FF47" s="116"/>
      <c r="FG47" s="116"/>
      <c r="FH47" s="116"/>
      <c r="FI47" s="116"/>
      <c r="FJ47" s="116"/>
      <c r="FK47" s="116"/>
      <c r="FL47" s="116"/>
      <c r="FM47" s="116"/>
      <c r="FN47" s="116"/>
      <c r="FO47" s="116"/>
      <c r="FP47" s="116"/>
      <c r="FQ47" s="116"/>
      <c r="FR47" s="116"/>
      <c r="FS47" s="116"/>
      <c r="FT47" s="116"/>
      <c r="FU47" s="116"/>
      <c r="FV47" s="116"/>
      <c r="FW47" s="116"/>
      <c r="FX47" s="116"/>
      <c r="FY47" s="116"/>
      <c r="FZ47" s="116"/>
      <c r="GA47" s="116"/>
      <c r="GB47" s="116"/>
      <c r="GC47" s="116"/>
      <c r="GD47" s="116"/>
      <c r="GE47" s="116"/>
      <c r="GF47" s="116"/>
      <c r="GG47" s="116"/>
      <c r="GH47" s="116"/>
      <c r="GI47" s="116"/>
      <c r="GJ47" s="116"/>
      <c r="GK47" s="116"/>
      <c r="GL47" s="116"/>
      <c r="GM47" s="116"/>
      <c r="GN47" s="116"/>
      <c r="GO47" s="116"/>
      <c r="GP47" s="116"/>
      <c r="GQ47" s="116"/>
      <c r="GR47" s="116"/>
      <c r="GS47" s="116"/>
      <c r="GT47" s="116"/>
      <c r="GU47" s="116"/>
      <c r="GV47" s="116"/>
      <c r="GW47" s="116"/>
      <c r="GX47" s="116"/>
      <c r="GY47" s="116"/>
      <c r="GZ47" s="116"/>
      <c r="HA47" s="116"/>
      <c r="HB47" s="116"/>
      <c r="HC47" s="116"/>
      <c r="HD47" s="116"/>
      <c r="HE47" s="116"/>
      <c r="HF47" s="116"/>
      <c r="HG47" s="116"/>
      <c r="HH47" s="116"/>
      <c r="HI47" s="116"/>
      <c r="HJ47" s="116"/>
      <c r="HK47" s="116"/>
      <c r="HL47" s="116"/>
      <c r="HM47" s="116"/>
      <c r="HN47" s="116"/>
      <c r="HO47" s="116"/>
      <c r="HP47" s="116"/>
      <c r="HQ47" s="116"/>
      <c r="HR47" s="116"/>
      <c r="HS47" s="116"/>
      <c r="HT47" s="116"/>
      <c r="HU47" s="116"/>
      <c r="HV47" s="116"/>
      <c r="HW47" s="116"/>
      <c r="HX47" s="116"/>
      <c r="HY47" s="116"/>
      <c r="HZ47" s="116"/>
      <c r="IA47" s="116"/>
      <c r="IB47" s="116"/>
      <c r="IC47" s="116"/>
      <c r="ID47" s="116"/>
      <c r="IE47" s="116"/>
      <c r="IF47" s="116"/>
      <c r="IG47" s="116"/>
      <c r="IH47" s="116"/>
      <c r="II47" s="116"/>
      <c r="IJ47" s="116"/>
      <c r="IK47" s="116"/>
      <c r="IL47" s="116"/>
      <c r="IM47" s="116"/>
      <c r="IN47" s="116"/>
      <c r="IO47" s="116"/>
      <c r="IP47" s="116"/>
      <c r="IQ47" s="116"/>
      <c r="IR47" s="116"/>
      <c r="IS47" s="116"/>
      <c r="IT47" s="116"/>
      <c r="IU47" s="116"/>
      <c r="IV47" s="116"/>
      <c r="IW47" s="116"/>
    </row>
    <row r="48" customFormat="false" ht="15" hidden="false" customHeight="false" outlineLevel="0" collapsed="false">
      <c r="A48" s="104"/>
      <c r="B48" s="105"/>
      <c r="C48" s="106" t="s">
        <v>150</v>
      </c>
      <c r="D48" s="105"/>
      <c r="E48" s="107" t="n">
        <v>14669586</v>
      </c>
      <c r="F48" s="117"/>
      <c r="G48" s="107" t="n">
        <f aca="false">+E48/7*5+5952138</f>
        <v>16430413.7142857</v>
      </c>
      <c r="H48" s="105"/>
      <c r="I48" s="108" t="n">
        <f aca="false">+E48+G48</f>
        <v>31099999.7142857</v>
      </c>
      <c r="J48" s="117"/>
      <c r="K48" s="107" t="n">
        <v>31100000</v>
      </c>
      <c r="L48" s="106"/>
      <c r="M48" s="110" t="n">
        <f aca="false">(-K48+I48)</f>
        <v>-0.285714283585548</v>
      </c>
      <c r="N48" s="111"/>
      <c r="O48" s="63" t="s">
        <v>151</v>
      </c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2"/>
      <c r="DV48" s="112"/>
      <c r="DW48" s="112"/>
      <c r="DX48" s="112"/>
      <c r="DY48" s="112"/>
      <c r="DZ48" s="112"/>
      <c r="EA48" s="112"/>
      <c r="EB48" s="112"/>
      <c r="EC48" s="112"/>
      <c r="ED48" s="112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  <c r="HU48" s="112"/>
      <c r="HV48" s="112"/>
      <c r="HW48" s="112"/>
      <c r="HX48" s="112"/>
      <c r="HY48" s="112"/>
      <c r="HZ48" s="112"/>
      <c r="IA48" s="112"/>
      <c r="IB48" s="112"/>
      <c r="IC48" s="112"/>
      <c r="ID48" s="112"/>
      <c r="IE48" s="112"/>
      <c r="IF48" s="112"/>
      <c r="IG48" s="112"/>
      <c r="IH48" s="112"/>
      <c r="II48" s="112"/>
      <c r="IJ48" s="112"/>
      <c r="IK48" s="112"/>
      <c r="IL48" s="112"/>
      <c r="IM48" s="112"/>
      <c r="IN48" s="112"/>
      <c r="IO48" s="112"/>
      <c r="IP48" s="112"/>
      <c r="IQ48" s="112"/>
      <c r="IR48" s="112"/>
      <c r="IS48" s="112"/>
      <c r="IT48" s="112"/>
      <c r="IU48" s="112"/>
      <c r="IV48" s="112"/>
      <c r="IW48" s="112"/>
    </row>
    <row r="49" customFormat="false" ht="15" hidden="false" customHeight="false" outlineLevel="0" collapsed="false">
      <c r="A49" s="104"/>
      <c r="B49" s="105"/>
      <c r="C49" s="106" t="s">
        <v>152</v>
      </c>
      <c r="D49" s="105"/>
      <c r="E49" s="107" t="n">
        <v>0</v>
      </c>
      <c r="F49" s="117"/>
      <c r="G49" s="107" t="n">
        <v>0</v>
      </c>
      <c r="H49" s="105"/>
      <c r="I49" s="108" t="n">
        <f aca="false">+E49+G49</f>
        <v>0</v>
      </c>
      <c r="J49" s="117"/>
      <c r="K49" s="107" t="n">
        <v>0</v>
      </c>
      <c r="L49" s="106"/>
      <c r="M49" s="110" t="n">
        <f aca="false">(-K49+I49)</f>
        <v>0</v>
      </c>
      <c r="N49" s="111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2"/>
      <c r="DV49" s="112"/>
      <c r="DW49" s="112"/>
      <c r="DX49" s="112"/>
      <c r="DY49" s="112"/>
      <c r="DZ49" s="112"/>
      <c r="EA49" s="112"/>
      <c r="EB49" s="112"/>
      <c r="EC49" s="112"/>
      <c r="ED49" s="112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2"/>
      <c r="IP49" s="112"/>
      <c r="IQ49" s="112"/>
      <c r="IR49" s="112"/>
      <c r="IS49" s="112"/>
      <c r="IT49" s="112"/>
      <c r="IU49" s="112"/>
      <c r="IV49" s="112"/>
      <c r="IW49" s="112"/>
    </row>
    <row r="50" customFormat="false" ht="15" hidden="false" customHeight="false" outlineLevel="0" collapsed="false">
      <c r="A50" s="104"/>
      <c r="B50" s="105"/>
      <c r="C50" s="106" t="s">
        <v>153</v>
      </c>
      <c r="D50" s="105"/>
      <c r="E50" s="107" t="n">
        <v>0</v>
      </c>
      <c r="F50" s="117"/>
      <c r="G50" s="107" t="n">
        <v>0</v>
      </c>
      <c r="H50" s="105"/>
      <c r="I50" s="108" t="n">
        <f aca="false">+E50+G50</f>
        <v>0</v>
      </c>
      <c r="J50" s="117"/>
      <c r="K50" s="107" t="n">
        <v>0</v>
      </c>
      <c r="L50" s="106"/>
      <c r="M50" s="110" t="n">
        <f aca="false">(-K50+I50)</f>
        <v>0</v>
      </c>
      <c r="N50" s="111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2"/>
      <c r="DV50" s="112"/>
      <c r="DW50" s="112"/>
      <c r="DX50" s="112"/>
      <c r="DY50" s="112"/>
      <c r="DZ50" s="112"/>
      <c r="EA50" s="112"/>
      <c r="EB50" s="112"/>
      <c r="EC50" s="112"/>
      <c r="ED50" s="112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2"/>
      <c r="IP50" s="112"/>
      <c r="IQ50" s="112"/>
      <c r="IR50" s="112"/>
      <c r="IS50" s="112"/>
      <c r="IT50" s="112"/>
      <c r="IU50" s="112"/>
      <c r="IV50" s="112"/>
      <c r="IW50" s="112"/>
    </row>
    <row r="51" customFormat="false" ht="13.5" hidden="false" customHeight="false" outlineLevel="0" collapsed="false">
      <c r="A51" s="63"/>
      <c r="B51" s="84"/>
      <c r="C51" s="99"/>
      <c r="D51" s="118"/>
      <c r="E51" s="119"/>
      <c r="F51" s="120"/>
      <c r="G51" s="121"/>
      <c r="H51" s="84"/>
      <c r="I51" s="96"/>
      <c r="J51" s="64"/>
      <c r="K51" s="96"/>
      <c r="L51" s="99"/>
      <c r="M51" s="122"/>
      <c r="N51" s="111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23"/>
      <c r="BK51" s="123"/>
      <c r="BL51" s="123"/>
      <c r="BM51" s="123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123"/>
      <c r="BY51" s="123"/>
      <c r="BZ51" s="123"/>
      <c r="CA51" s="123"/>
      <c r="CB51" s="123"/>
      <c r="CC51" s="123"/>
      <c r="CD51" s="123"/>
      <c r="CE51" s="123"/>
      <c r="CF51" s="123"/>
      <c r="CG51" s="123"/>
      <c r="CH51" s="123"/>
      <c r="CI51" s="123"/>
      <c r="CJ51" s="123"/>
      <c r="CK51" s="123"/>
      <c r="CL51" s="123"/>
      <c r="CM51" s="123"/>
      <c r="CN51" s="123"/>
      <c r="CO51" s="123"/>
      <c r="CP51" s="123"/>
      <c r="CQ51" s="123"/>
      <c r="CR51" s="123"/>
      <c r="CS51" s="123"/>
      <c r="CT51" s="123"/>
      <c r="CU51" s="123"/>
      <c r="CV51" s="123"/>
      <c r="CW51" s="123"/>
      <c r="CX51" s="123"/>
      <c r="CY51" s="123"/>
      <c r="CZ51" s="123"/>
      <c r="DA51" s="123"/>
      <c r="DB51" s="123"/>
      <c r="DC51" s="123"/>
      <c r="DD51" s="123"/>
      <c r="DE51" s="123"/>
      <c r="DF51" s="123"/>
      <c r="DG51" s="123"/>
      <c r="DH51" s="123"/>
      <c r="DI51" s="123"/>
      <c r="DJ51" s="123"/>
      <c r="DK51" s="123"/>
      <c r="DL51" s="123"/>
      <c r="DM51" s="123"/>
      <c r="DN51" s="123"/>
      <c r="DO51" s="123"/>
      <c r="DP51" s="123"/>
      <c r="DQ51" s="123"/>
      <c r="DR51" s="123"/>
      <c r="DS51" s="123"/>
      <c r="DT51" s="123"/>
      <c r="DU51" s="123"/>
      <c r="DV51" s="123"/>
      <c r="DW51" s="123"/>
      <c r="DX51" s="123"/>
      <c r="DY51" s="123"/>
      <c r="DZ51" s="123"/>
      <c r="EA51" s="123"/>
      <c r="EB51" s="123"/>
      <c r="EC51" s="123"/>
      <c r="ED51" s="123"/>
      <c r="EE51" s="123"/>
      <c r="EF51" s="123"/>
      <c r="EG51" s="123"/>
      <c r="EH51" s="123"/>
      <c r="EI51" s="123"/>
      <c r="EJ51" s="123"/>
      <c r="EK51" s="123"/>
      <c r="EL51" s="123"/>
      <c r="EM51" s="123"/>
      <c r="EN51" s="123"/>
      <c r="EO51" s="123"/>
      <c r="EP51" s="123"/>
      <c r="EQ51" s="123"/>
      <c r="ER51" s="123"/>
      <c r="ES51" s="123"/>
      <c r="ET51" s="123"/>
      <c r="EU51" s="123"/>
      <c r="EV51" s="123"/>
      <c r="EW51" s="123"/>
      <c r="EX51" s="123"/>
      <c r="EY51" s="123"/>
      <c r="EZ51" s="123"/>
      <c r="FA51" s="123"/>
      <c r="FB51" s="123"/>
      <c r="FC51" s="123"/>
      <c r="FD51" s="123"/>
      <c r="FE51" s="123"/>
      <c r="FF51" s="123"/>
      <c r="FG51" s="123"/>
      <c r="FH51" s="123"/>
      <c r="FI51" s="123"/>
      <c r="FJ51" s="123"/>
      <c r="FK51" s="123"/>
      <c r="FL51" s="123"/>
      <c r="FM51" s="123"/>
      <c r="FN51" s="123"/>
      <c r="FO51" s="123"/>
      <c r="FP51" s="123"/>
      <c r="FQ51" s="123"/>
      <c r="FR51" s="123"/>
      <c r="FS51" s="123"/>
      <c r="FT51" s="123"/>
      <c r="FU51" s="123"/>
      <c r="FV51" s="123"/>
      <c r="FW51" s="123"/>
      <c r="FX51" s="123"/>
      <c r="FY51" s="123"/>
      <c r="FZ51" s="123"/>
      <c r="GA51" s="123"/>
      <c r="GB51" s="123"/>
      <c r="GC51" s="123"/>
      <c r="GD51" s="123"/>
      <c r="GE51" s="123"/>
      <c r="GF51" s="123"/>
      <c r="GG51" s="123"/>
      <c r="GH51" s="123"/>
      <c r="GI51" s="123"/>
      <c r="GJ51" s="123"/>
      <c r="GK51" s="123"/>
      <c r="GL51" s="123"/>
      <c r="GM51" s="123"/>
      <c r="GN51" s="123"/>
      <c r="GO51" s="123"/>
      <c r="GP51" s="123"/>
      <c r="GQ51" s="123"/>
      <c r="GR51" s="123"/>
      <c r="GS51" s="123"/>
      <c r="GT51" s="123"/>
      <c r="GU51" s="123"/>
      <c r="GV51" s="123"/>
      <c r="GW51" s="123"/>
      <c r="GX51" s="123"/>
      <c r="GY51" s="123"/>
      <c r="GZ51" s="123"/>
      <c r="HA51" s="123"/>
      <c r="HB51" s="123"/>
      <c r="HC51" s="123"/>
      <c r="HD51" s="123"/>
      <c r="HE51" s="123"/>
      <c r="HF51" s="123"/>
      <c r="HG51" s="123"/>
      <c r="HH51" s="123"/>
      <c r="HI51" s="123"/>
      <c r="HJ51" s="123"/>
      <c r="HK51" s="123"/>
      <c r="HL51" s="123"/>
      <c r="HM51" s="123"/>
      <c r="HN51" s="123"/>
      <c r="HO51" s="123"/>
      <c r="HP51" s="123"/>
      <c r="HQ51" s="123"/>
      <c r="HR51" s="123"/>
      <c r="HS51" s="123"/>
      <c r="HT51" s="123"/>
      <c r="HU51" s="123"/>
      <c r="HV51" s="123"/>
      <c r="HW51" s="123"/>
      <c r="HX51" s="123"/>
      <c r="HY51" s="123"/>
      <c r="HZ51" s="123"/>
      <c r="IA51" s="123"/>
      <c r="IB51" s="123"/>
      <c r="IC51" s="123"/>
      <c r="ID51" s="123"/>
      <c r="IE51" s="123"/>
      <c r="IF51" s="123"/>
      <c r="IG51" s="123"/>
      <c r="IH51" s="123"/>
      <c r="II51" s="123"/>
      <c r="IJ51" s="123"/>
      <c r="IK51" s="123"/>
      <c r="IL51" s="123"/>
      <c r="IM51" s="123"/>
      <c r="IN51" s="123"/>
      <c r="IO51" s="123"/>
      <c r="IP51" s="123"/>
      <c r="IQ51" s="123"/>
      <c r="IR51" s="123"/>
      <c r="IS51" s="123"/>
      <c r="IT51" s="123"/>
      <c r="IU51" s="123"/>
      <c r="IV51" s="123"/>
      <c r="IW51" s="123"/>
    </row>
    <row r="52" customFormat="false" ht="13.5" hidden="false" customHeight="false" outlineLevel="0" collapsed="false">
      <c r="A52" s="63"/>
      <c r="B52" s="124"/>
      <c r="C52" s="125" t="s">
        <v>82</v>
      </c>
      <c r="D52" s="126"/>
      <c r="E52" s="127" t="n">
        <f aca="false">+E11+E12+E22+E29+E32+E39+E40+E41+E42+E43+E48+E49+E50+E27</f>
        <v>27109998.8</v>
      </c>
      <c r="F52" s="128"/>
      <c r="G52" s="127" t="n">
        <f aca="false">+G11+G12+G22+G29+G32+G39+G40+G41+G42+G43+G48+G49+G50+G27</f>
        <v>25541420.8571429</v>
      </c>
      <c r="H52" s="126"/>
      <c r="I52" s="127" t="n">
        <f aca="false">+I11+I12+I22+I29+I32+I39+I40+I41+I42+I43+I48+I49+I50+I27</f>
        <v>52651419.6571429</v>
      </c>
      <c r="J52" s="128"/>
      <c r="K52" s="127" t="n">
        <f aca="false">+K11+K12+K22+K29+K32+K39+K40+K41+K42+K43+K48+K49+K50+K27</f>
        <v>53825780</v>
      </c>
      <c r="L52" s="129"/>
      <c r="M52" s="130" t="n">
        <f aca="false">(-K52+I52)</f>
        <v>-1174360.34285714</v>
      </c>
      <c r="N52" s="111"/>
    </row>
    <row r="53" customFormat="false" ht="12.75" hidden="false" customHeight="false" outlineLevel="0" collapsed="false">
      <c r="A53" s="63"/>
      <c r="B53" s="131"/>
      <c r="C53" s="132"/>
      <c r="D53" s="133"/>
      <c r="E53" s="134"/>
      <c r="F53" s="133"/>
      <c r="G53" s="134"/>
      <c r="H53" s="133"/>
      <c r="I53" s="134"/>
      <c r="J53" s="133"/>
      <c r="K53" s="134"/>
      <c r="L53" s="133"/>
      <c r="M53" s="135"/>
      <c r="N53" s="111"/>
    </row>
    <row r="54" customFormat="false" ht="15" hidden="false" customHeight="false" outlineLevel="0" collapsed="false">
      <c r="A54" s="104"/>
      <c r="B54" s="136"/>
      <c r="C54" s="132" t="s">
        <v>154</v>
      </c>
      <c r="D54" s="133"/>
      <c r="E54" s="113" t="n">
        <v>-5619118</v>
      </c>
      <c r="F54" s="137"/>
      <c r="G54" s="107" t="n">
        <f aca="false">+E54/7*5-1523796.67-202753-31591-1606721-12830298</f>
        <v>-20208815.3842857</v>
      </c>
      <c r="H54" s="137"/>
      <c r="I54" s="108" t="n">
        <f aca="false">+E54+G54</f>
        <v>-25827933.3842857</v>
      </c>
      <c r="J54" s="137"/>
      <c r="K54" s="113" t="n">
        <f aca="false">-12016038.81-19037476.39</f>
        <v>-31053515.2</v>
      </c>
      <c r="L54" s="137"/>
      <c r="M54" s="138" t="n">
        <f aca="false">-K54+I54</f>
        <v>5225581.81571429</v>
      </c>
      <c r="N54" s="111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112"/>
      <c r="CB54" s="112"/>
      <c r="CC54" s="112"/>
      <c r="CD54" s="112"/>
      <c r="CE54" s="112"/>
      <c r="CF54" s="112"/>
      <c r="CG54" s="112"/>
      <c r="CH54" s="112"/>
      <c r="CI54" s="112"/>
      <c r="CJ54" s="112"/>
      <c r="CK54" s="112"/>
      <c r="CL54" s="112"/>
      <c r="CM54" s="112"/>
      <c r="CN54" s="112"/>
      <c r="CO54" s="112"/>
      <c r="CP54" s="112"/>
      <c r="CQ54" s="112"/>
      <c r="CR54" s="112"/>
      <c r="CS54" s="112"/>
      <c r="CT54" s="112"/>
      <c r="CU54" s="112"/>
      <c r="CV54" s="112"/>
      <c r="CW54" s="112"/>
      <c r="CX54" s="112"/>
      <c r="CY54" s="112"/>
      <c r="CZ54" s="112"/>
      <c r="DA54" s="112"/>
      <c r="DB54" s="112"/>
      <c r="DC54" s="112"/>
      <c r="DD54" s="112"/>
      <c r="DE54" s="112"/>
      <c r="DF54" s="112"/>
      <c r="DG54" s="112"/>
      <c r="DH54" s="112"/>
      <c r="DI54" s="112"/>
      <c r="DJ54" s="112"/>
      <c r="DK54" s="112"/>
      <c r="DL54" s="112"/>
      <c r="DM54" s="112"/>
      <c r="DN54" s="112"/>
      <c r="DO54" s="112"/>
      <c r="DP54" s="112"/>
      <c r="DQ54" s="112"/>
      <c r="DR54" s="112"/>
      <c r="DS54" s="112"/>
      <c r="DT54" s="112"/>
      <c r="DU54" s="112"/>
      <c r="DV54" s="112"/>
      <c r="DW54" s="112"/>
      <c r="DX54" s="112"/>
      <c r="DY54" s="112"/>
      <c r="DZ54" s="112"/>
      <c r="EA54" s="112"/>
      <c r="EB54" s="112"/>
      <c r="EC54" s="112"/>
      <c r="ED54" s="112"/>
      <c r="EE54" s="112"/>
      <c r="EF54" s="112"/>
      <c r="EG54" s="112"/>
      <c r="EH54" s="112"/>
      <c r="EI54" s="112"/>
      <c r="EJ54" s="112"/>
      <c r="EK54" s="112"/>
      <c r="EL54" s="112"/>
      <c r="EM54" s="112"/>
      <c r="EN54" s="112"/>
      <c r="EO54" s="112"/>
      <c r="EP54" s="112"/>
      <c r="EQ54" s="112"/>
      <c r="ER54" s="112"/>
      <c r="ES54" s="112"/>
      <c r="ET54" s="112"/>
      <c r="EU54" s="112"/>
      <c r="EV54" s="112"/>
      <c r="EW54" s="112"/>
      <c r="EX54" s="112"/>
      <c r="EY54" s="112"/>
      <c r="EZ54" s="112"/>
      <c r="FA54" s="112"/>
      <c r="FB54" s="112"/>
      <c r="FC54" s="112"/>
      <c r="FD54" s="112"/>
      <c r="FE54" s="112"/>
      <c r="FF54" s="112"/>
      <c r="FG54" s="112"/>
      <c r="FH54" s="112"/>
      <c r="FI54" s="112"/>
      <c r="FJ54" s="112"/>
      <c r="FK54" s="112"/>
      <c r="FL54" s="112"/>
      <c r="FM54" s="112"/>
      <c r="FN54" s="112"/>
      <c r="FO54" s="112"/>
      <c r="FP54" s="112"/>
      <c r="FQ54" s="112"/>
      <c r="FR54" s="112"/>
      <c r="FS54" s="112"/>
      <c r="FT54" s="112"/>
      <c r="FU54" s="112"/>
      <c r="FV54" s="112"/>
      <c r="FW54" s="112"/>
      <c r="FX54" s="112"/>
      <c r="FY54" s="112"/>
      <c r="FZ54" s="112"/>
      <c r="GA54" s="112"/>
      <c r="GB54" s="112"/>
      <c r="GC54" s="112"/>
      <c r="GD54" s="112"/>
      <c r="GE54" s="112"/>
      <c r="GF54" s="112"/>
      <c r="GG54" s="112"/>
      <c r="GH54" s="112"/>
      <c r="GI54" s="112"/>
      <c r="GJ54" s="112"/>
      <c r="GK54" s="112"/>
      <c r="GL54" s="112"/>
      <c r="GM54" s="112"/>
      <c r="GN54" s="112"/>
      <c r="GO54" s="112"/>
      <c r="GP54" s="112"/>
      <c r="GQ54" s="112"/>
      <c r="GR54" s="112"/>
      <c r="GS54" s="112"/>
      <c r="GT54" s="112"/>
      <c r="GU54" s="112"/>
      <c r="GV54" s="112"/>
      <c r="GW54" s="112"/>
      <c r="GX54" s="112"/>
      <c r="GY54" s="112"/>
      <c r="GZ54" s="112"/>
      <c r="HA54" s="112"/>
      <c r="HB54" s="112"/>
      <c r="HC54" s="112"/>
      <c r="HD54" s="112"/>
      <c r="HE54" s="112"/>
      <c r="HF54" s="112"/>
      <c r="HG54" s="112"/>
      <c r="HH54" s="112"/>
      <c r="HI54" s="112"/>
      <c r="HJ54" s="112"/>
      <c r="HK54" s="112"/>
      <c r="HL54" s="112"/>
      <c r="HM54" s="112"/>
      <c r="HN54" s="112"/>
      <c r="HO54" s="112"/>
      <c r="HP54" s="112"/>
      <c r="HQ54" s="112"/>
      <c r="HR54" s="112"/>
      <c r="HS54" s="112"/>
      <c r="HT54" s="112"/>
      <c r="HU54" s="112"/>
      <c r="HV54" s="112"/>
      <c r="HW54" s="112"/>
      <c r="HX54" s="112"/>
      <c r="HY54" s="112"/>
      <c r="HZ54" s="112"/>
      <c r="IA54" s="112"/>
      <c r="IB54" s="112"/>
      <c r="IC54" s="112"/>
      <c r="ID54" s="112"/>
      <c r="IE54" s="112"/>
      <c r="IF54" s="112"/>
      <c r="IG54" s="112"/>
      <c r="IH54" s="112"/>
      <c r="II54" s="112"/>
      <c r="IJ54" s="112"/>
      <c r="IK54" s="112"/>
      <c r="IL54" s="112"/>
      <c r="IM54" s="112"/>
      <c r="IN54" s="112"/>
      <c r="IO54" s="112"/>
      <c r="IP54" s="112"/>
      <c r="IQ54" s="112"/>
      <c r="IR54" s="112"/>
      <c r="IS54" s="112"/>
      <c r="IT54" s="112"/>
      <c r="IU54" s="112"/>
      <c r="IV54" s="112"/>
      <c r="IW54" s="112"/>
    </row>
    <row r="55" customFormat="false" ht="15" hidden="false" customHeight="false" outlineLevel="0" collapsed="false">
      <c r="A55" s="104"/>
      <c r="B55" s="136"/>
      <c r="C55" s="132" t="s">
        <v>155</v>
      </c>
      <c r="D55" s="133"/>
      <c r="E55" s="113" t="n">
        <v>-12966565</v>
      </c>
      <c r="F55" s="137"/>
      <c r="G55" s="107" t="n">
        <f aca="false">+E55/7*5-1869617+425936+5001884</f>
        <v>-5703629.14285714</v>
      </c>
      <c r="H55" s="137"/>
      <c r="I55" s="108" t="n">
        <f aca="false">+E55+G55</f>
        <v>-18670194.1428571</v>
      </c>
      <c r="J55" s="137"/>
      <c r="K55" s="113" t="n">
        <v>-19083961</v>
      </c>
      <c r="L55" s="137"/>
      <c r="M55" s="138" t="n">
        <f aca="false">-K55+I55</f>
        <v>413766.857142858</v>
      </c>
      <c r="N55" s="111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2"/>
      <c r="CD55" s="112"/>
      <c r="CE55" s="112"/>
      <c r="CF55" s="112"/>
      <c r="CG55" s="112"/>
      <c r="CH55" s="112"/>
      <c r="CI55" s="112"/>
      <c r="CJ55" s="112"/>
      <c r="CK55" s="112"/>
      <c r="CL55" s="112"/>
      <c r="CM55" s="112"/>
      <c r="CN55" s="112"/>
      <c r="CO55" s="112"/>
      <c r="CP55" s="112"/>
      <c r="CQ55" s="112"/>
      <c r="CR55" s="112"/>
      <c r="CS55" s="112"/>
      <c r="CT55" s="112"/>
      <c r="CU55" s="112"/>
      <c r="CV55" s="112"/>
      <c r="CW55" s="112"/>
      <c r="CX55" s="112"/>
      <c r="CY55" s="112"/>
      <c r="CZ55" s="112"/>
      <c r="DA55" s="112"/>
      <c r="DB55" s="112"/>
      <c r="DC55" s="112"/>
      <c r="DD55" s="112"/>
      <c r="DE55" s="112"/>
      <c r="DF55" s="112"/>
      <c r="DG55" s="112"/>
      <c r="DH55" s="112"/>
      <c r="DI55" s="112"/>
      <c r="DJ55" s="112"/>
      <c r="DK55" s="112"/>
      <c r="DL55" s="112"/>
      <c r="DM55" s="112"/>
      <c r="DN55" s="112"/>
      <c r="DO55" s="112"/>
      <c r="DP55" s="112"/>
      <c r="DQ55" s="112"/>
      <c r="DR55" s="112"/>
      <c r="DS55" s="112"/>
      <c r="DT55" s="112"/>
      <c r="DU55" s="112"/>
      <c r="DV55" s="112"/>
      <c r="DW55" s="112"/>
      <c r="DX55" s="112"/>
      <c r="DY55" s="112"/>
      <c r="DZ55" s="112"/>
      <c r="EA55" s="112"/>
      <c r="EB55" s="112"/>
      <c r="EC55" s="112"/>
      <c r="ED55" s="112"/>
      <c r="EE55" s="112"/>
      <c r="EF55" s="112"/>
      <c r="EG55" s="112"/>
      <c r="EH55" s="112"/>
      <c r="EI55" s="112"/>
      <c r="EJ55" s="112"/>
      <c r="EK55" s="112"/>
      <c r="EL55" s="112"/>
      <c r="EM55" s="112"/>
      <c r="EN55" s="112"/>
      <c r="EO55" s="112"/>
      <c r="EP55" s="112"/>
      <c r="EQ55" s="112"/>
      <c r="ER55" s="112"/>
      <c r="ES55" s="112"/>
      <c r="ET55" s="112"/>
      <c r="EU55" s="112"/>
      <c r="EV55" s="112"/>
      <c r="EW55" s="112"/>
      <c r="EX55" s="112"/>
      <c r="EY55" s="112"/>
      <c r="EZ55" s="112"/>
      <c r="FA55" s="112"/>
      <c r="FB55" s="112"/>
      <c r="FC55" s="112"/>
      <c r="FD55" s="112"/>
      <c r="FE55" s="112"/>
      <c r="FF55" s="112"/>
      <c r="FG55" s="112"/>
      <c r="FH55" s="112"/>
      <c r="FI55" s="112"/>
      <c r="FJ55" s="112"/>
      <c r="FK55" s="112"/>
      <c r="FL55" s="112"/>
      <c r="FM55" s="112"/>
      <c r="FN55" s="112"/>
      <c r="FO55" s="112"/>
      <c r="FP55" s="112"/>
      <c r="FQ55" s="112"/>
      <c r="FR55" s="112"/>
      <c r="FS55" s="112"/>
      <c r="FT55" s="112"/>
      <c r="FU55" s="112"/>
      <c r="FV55" s="112"/>
      <c r="FW55" s="112"/>
      <c r="FX55" s="112"/>
      <c r="FY55" s="112"/>
      <c r="FZ55" s="112"/>
      <c r="GA55" s="112"/>
      <c r="GB55" s="112"/>
      <c r="GC55" s="112"/>
      <c r="GD55" s="112"/>
      <c r="GE55" s="112"/>
      <c r="GF55" s="112"/>
      <c r="GG55" s="112"/>
      <c r="GH55" s="112"/>
      <c r="GI55" s="112"/>
      <c r="GJ55" s="112"/>
      <c r="GK55" s="112"/>
      <c r="GL55" s="112"/>
      <c r="GM55" s="112"/>
      <c r="GN55" s="112"/>
      <c r="GO55" s="112"/>
      <c r="GP55" s="112"/>
      <c r="GQ55" s="112"/>
      <c r="GR55" s="112"/>
      <c r="GS55" s="112"/>
      <c r="GT55" s="112"/>
      <c r="GU55" s="112"/>
      <c r="GV55" s="112"/>
      <c r="GW55" s="112"/>
      <c r="GX55" s="112"/>
      <c r="GY55" s="112"/>
      <c r="GZ55" s="112"/>
      <c r="HA55" s="112"/>
      <c r="HB55" s="112"/>
      <c r="HC55" s="112"/>
      <c r="HD55" s="112"/>
      <c r="HE55" s="112"/>
      <c r="HF55" s="112"/>
      <c r="HG55" s="112"/>
      <c r="HH55" s="112"/>
      <c r="HI55" s="112"/>
      <c r="HJ55" s="112"/>
      <c r="HK55" s="112"/>
      <c r="HL55" s="112"/>
      <c r="HM55" s="112"/>
      <c r="HN55" s="112"/>
      <c r="HO55" s="112"/>
      <c r="HP55" s="112"/>
      <c r="HQ55" s="112"/>
      <c r="HR55" s="112"/>
      <c r="HS55" s="112"/>
      <c r="HT55" s="112"/>
      <c r="HU55" s="112"/>
      <c r="HV55" s="112"/>
      <c r="HW55" s="112"/>
      <c r="HX55" s="112"/>
      <c r="HY55" s="112"/>
      <c r="HZ55" s="112"/>
      <c r="IA55" s="112"/>
      <c r="IB55" s="112"/>
      <c r="IC55" s="112"/>
      <c r="ID55" s="112"/>
      <c r="IE55" s="112"/>
      <c r="IF55" s="112"/>
      <c r="IG55" s="112"/>
      <c r="IH55" s="112"/>
      <c r="II55" s="112"/>
      <c r="IJ55" s="112"/>
      <c r="IK55" s="112"/>
      <c r="IL55" s="112"/>
      <c r="IM55" s="112"/>
      <c r="IN55" s="112"/>
      <c r="IO55" s="112"/>
      <c r="IP55" s="112"/>
      <c r="IQ55" s="112"/>
      <c r="IR55" s="112"/>
      <c r="IS55" s="112"/>
      <c r="IT55" s="112"/>
      <c r="IU55" s="112"/>
      <c r="IV55" s="112"/>
      <c r="IW55" s="112"/>
    </row>
    <row r="56" customFormat="false" ht="13.5" hidden="false" customHeight="false" outlineLevel="0" collapsed="false">
      <c r="A56" s="63"/>
      <c r="B56" s="139"/>
      <c r="C56" s="140"/>
      <c r="D56" s="141"/>
      <c r="E56" s="142"/>
      <c r="F56" s="141"/>
      <c r="G56" s="142"/>
      <c r="H56" s="133"/>
      <c r="I56" s="134"/>
      <c r="J56" s="133"/>
      <c r="K56" s="134"/>
      <c r="L56" s="133"/>
      <c r="M56" s="143"/>
      <c r="N56" s="111"/>
    </row>
    <row r="57" customFormat="false" ht="13.5" hidden="false" customHeight="false" outlineLevel="0" collapsed="false">
      <c r="A57" s="63"/>
      <c r="B57" s="139"/>
      <c r="C57" s="144" t="s">
        <v>156</v>
      </c>
      <c r="D57" s="126"/>
      <c r="E57" s="127" t="n">
        <f aca="false">+E52+E54+E55</f>
        <v>8524315.8</v>
      </c>
      <c r="F57" s="128"/>
      <c r="G57" s="145" t="n">
        <f aca="false">+G52+G54+G55</f>
        <v>-371023.670000004</v>
      </c>
      <c r="H57" s="126"/>
      <c r="I57" s="127" t="n">
        <f aca="false">+E57+G57</f>
        <v>8153292.13</v>
      </c>
      <c r="J57" s="128"/>
      <c r="K57" s="127" t="n">
        <f aca="false">+K52+K54+K55</f>
        <v>3688303.8</v>
      </c>
      <c r="L57" s="129"/>
      <c r="M57" s="146" t="n">
        <f aca="false">-K57+I57</f>
        <v>4464988.33</v>
      </c>
      <c r="N57" s="111"/>
    </row>
    <row r="58" customFormat="false" ht="13.5" hidden="false" customHeight="false" outlineLevel="0" collapsed="false">
      <c r="A58" s="63"/>
      <c r="B58" s="64"/>
      <c r="C58" s="64"/>
      <c r="D58" s="64"/>
      <c r="E58" s="64"/>
      <c r="F58" s="64"/>
      <c r="G58" s="147"/>
      <c r="H58" s="64"/>
      <c r="I58" s="64"/>
      <c r="J58" s="64"/>
      <c r="K58" s="64"/>
      <c r="L58" s="64"/>
      <c r="M58" s="64"/>
      <c r="N58" s="111"/>
    </row>
    <row r="59" customFormat="false" ht="15" hidden="false" customHeight="false" outlineLevel="0" collapsed="false">
      <c r="A59" s="63"/>
      <c r="B59" s="94" t="s">
        <v>157</v>
      </c>
      <c r="C59" s="148"/>
      <c r="D59" s="149"/>
      <c r="E59" s="150"/>
      <c r="F59" s="147"/>
      <c r="G59" s="151"/>
      <c r="H59" s="149"/>
      <c r="I59" s="152" t="n">
        <v>133</v>
      </c>
      <c r="J59" s="153"/>
      <c r="K59" s="154" t="n">
        <v>133</v>
      </c>
      <c r="L59" s="155"/>
      <c r="M59" s="156" t="n">
        <f aca="false">(-K59+I59)</f>
        <v>0</v>
      </c>
      <c r="N59" s="11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/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1"/>
      <c r="DE59" s="101"/>
      <c r="DF59" s="101"/>
      <c r="DG59" s="101"/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1"/>
      <c r="EF59" s="101"/>
      <c r="EG59" s="101"/>
      <c r="EH59" s="101"/>
      <c r="EI59" s="101"/>
      <c r="EJ59" s="101"/>
      <c r="EK59" s="101"/>
      <c r="EL59" s="101"/>
      <c r="EM59" s="101"/>
      <c r="EN59" s="101"/>
      <c r="EO59" s="101"/>
      <c r="EP59" s="101"/>
      <c r="EQ59" s="101"/>
      <c r="ER59" s="101"/>
      <c r="ES59" s="101"/>
      <c r="ET59" s="101"/>
      <c r="EU59" s="101"/>
      <c r="EV59" s="101"/>
      <c r="EW59" s="101"/>
      <c r="EX59" s="101"/>
      <c r="EY59" s="101"/>
      <c r="EZ59" s="101"/>
      <c r="FA59" s="101"/>
      <c r="FB59" s="101"/>
      <c r="FC59" s="101"/>
      <c r="FD59" s="101"/>
      <c r="FE59" s="101"/>
      <c r="FF59" s="101"/>
      <c r="FG59" s="101"/>
      <c r="FH59" s="101"/>
      <c r="FI59" s="101"/>
      <c r="FJ59" s="101"/>
      <c r="FK59" s="101"/>
      <c r="FL59" s="101"/>
      <c r="FM59" s="101"/>
      <c r="FN59" s="101"/>
      <c r="FO59" s="101"/>
      <c r="FP59" s="101"/>
      <c r="FQ59" s="101"/>
      <c r="FR59" s="101"/>
      <c r="FS59" s="101"/>
      <c r="FT59" s="101"/>
      <c r="FU59" s="101"/>
      <c r="FV59" s="101"/>
      <c r="FW59" s="101"/>
      <c r="FX59" s="101"/>
      <c r="FY59" s="101"/>
      <c r="FZ59" s="101"/>
      <c r="GA59" s="101"/>
      <c r="GB59" s="101"/>
      <c r="GC59" s="101"/>
      <c r="GD59" s="101"/>
      <c r="GE59" s="101"/>
      <c r="GF59" s="101"/>
      <c r="GG59" s="101"/>
      <c r="GH59" s="101"/>
      <c r="GI59" s="101"/>
      <c r="GJ59" s="101"/>
      <c r="GK59" s="101"/>
      <c r="GL59" s="101"/>
      <c r="GM59" s="101"/>
      <c r="GN59" s="101"/>
      <c r="GO59" s="101"/>
      <c r="GP59" s="101"/>
      <c r="GQ59" s="101"/>
      <c r="GR59" s="101"/>
      <c r="GS59" s="101"/>
      <c r="GT59" s="101"/>
      <c r="GU59" s="101"/>
      <c r="GV59" s="101"/>
      <c r="GW59" s="101"/>
      <c r="GX59" s="101"/>
      <c r="GY59" s="101"/>
      <c r="GZ59" s="101"/>
      <c r="HA59" s="101"/>
      <c r="HB59" s="101"/>
      <c r="HC59" s="101"/>
      <c r="HD59" s="101"/>
      <c r="HE59" s="101"/>
      <c r="HF59" s="101"/>
      <c r="HG59" s="101"/>
      <c r="HH59" s="101"/>
      <c r="HI59" s="101"/>
      <c r="HJ59" s="101"/>
      <c r="HK59" s="101"/>
      <c r="HL59" s="101"/>
      <c r="HM59" s="101"/>
      <c r="HN59" s="101"/>
      <c r="HO59" s="101"/>
      <c r="HP59" s="101"/>
      <c r="HQ59" s="101"/>
      <c r="HR59" s="101"/>
      <c r="HS59" s="101"/>
      <c r="HT59" s="101"/>
      <c r="HU59" s="101"/>
      <c r="HV59" s="101"/>
      <c r="HW59" s="101"/>
      <c r="HX59" s="101"/>
      <c r="HY59" s="101"/>
      <c r="HZ59" s="101"/>
      <c r="IA59" s="101"/>
      <c r="IB59" s="101"/>
      <c r="IC59" s="101"/>
      <c r="ID59" s="101"/>
      <c r="IE59" s="101"/>
      <c r="IF59" s="101"/>
      <c r="IG59" s="101"/>
      <c r="IH59" s="101"/>
      <c r="II59" s="101"/>
      <c r="IJ59" s="101"/>
      <c r="IK59" s="101"/>
      <c r="IL59" s="101"/>
      <c r="IM59" s="101"/>
      <c r="IN59" s="101"/>
      <c r="IO59" s="101"/>
      <c r="IP59" s="101"/>
      <c r="IQ59" s="101"/>
      <c r="IR59" s="101"/>
      <c r="IS59" s="101"/>
      <c r="IT59" s="101"/>
      <c r="IU59" s="101"/>
      <c r="IV59" s="101"/>
      <c r="IW59" s="101"/>
    </row>
    <row r="60" customFormat="false" ht="12.75" hidden="false" customHeight="false" outlineLevel="0" collapsed="false">
      <c r="A60" s="63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111"/>
    </row>
    <row r="61" customFormat="false" ht="12.75" hidden="false" customHeight="false" outlineLevel="0" collapsed="false">
      <c r="A61" s="63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111"/>
    </row>
    <row r="62" customFormat="false" ht="12.75" hidden="false" customHeight="false" outlineLevel="0" collapsed="false">
      <c r="A62" s="63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111"/>
    </row>
    <row r="63" customFormat="false" ht="12.75" hidden="false" customHeight="false" outlineLevel="0" collapsed="false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111"/>
    </row>
    <row r="64" customFormat="false" ht="12.75" hidden="false" customHeight="false" outlineLevel="0" collapsed="false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111"/>
    </row>
    <row r="65" customFormat="false" ht="12.75" hidden="false" customHeight="false" outlineLevel="0" collapsed="false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111"/>
    </row>
    <row r="66" customFormat="false" ht="12.75" hidden="false" customHeight="false" outlineLevel="0" collapsed="false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111"/>
    </row>
    <row r="67" customFormat="false" ht="12.75" hidden="false" customHeight="false" outlineLevel="0" collapsed="false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111"/>
    </row>
    <row r="68" customFormat="false" ht="12.75" hidden="false" customHeight="false" outlineLevel="0" collapsed="false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111"/>
    </row>
    <row r="69" customFormat="false" ht="12.75" hidden="false" customHeight="false" outlineLevel="0" collapsed="false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111"/>
    </row>
    <row r="70" customFormat="false" ht="12.75" hidden="false" customHeight="false" outlineLevel="0" collapsed="false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111"/>
    </row>
    <row r="71" customFormat="false" ht="12.75" hidden="false" customHeight="false" outlineLevel="0" collapsed="false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111"/>
    </row>
    <row r="72" customFormat="false" ht="12.75" hidden="false" customHeight="false" outlineLevel="0" collapsed="false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111"/>
    </row>
    <row r="73" customFormat="false" ht="12.75" hidden="false" customHeight="false" outlineLevel="0" collapsed="false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157"/>
    </row>
    <row r="74" customFormat="false" ht="12.75" hidden="false" customHeight="false" outlineLevel="0" collapsed="false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157"/>
    </row>
    <row r="75" customFormat="false" ht="12.75" hidden="false" customHeight="false" outlineLevel="0" collapsed="false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157"/>
    </row>
    <row r="76" customFormat="false" ht="12.75" hidden="false" customHeight="false" outlineLevel="0" collapsed="false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157"/>
    </row>
    <row r="77" customFormat="false" ht="12.75" hidden="false" customHeight="false" outlineLevel="0" collapsed="false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157"/>
    </row>
    <row r="78" customFormat="false" ht="12.75" hidden="false" customHeight="false" outlineLevel="0" collapsed="false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157"/>
    </row>
    <row r="79" customFormat="false" ht="12.75" hidden="false" customHeight="false" outlineLevel="0" collapsed="false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157"/>
    </row>
    <row r="80" customFormat="false" ht="12.75" hidden="false" customHeight="false" outlineLevel="0" collapsed="false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157"/>
    </row>
    <row r="81" customFormat="false" ht="12.75" hidden="false" customHeight="false" outlineLevel="0" collapsed="false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157"/>
    </row>
    <row r="82" customFormat="false" ht="12.75" hidden="false" customHeight="false" outlineLevel="0" collapsed="false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157"/>
    </row>
    <row r="83" customFormat="false" ht="12.75" hidden="false" customHeight="false" outlineLevel="0" collapsed="false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157"/>
    </row>
    <row r="84" customFormat="false" ht="12.75" hidden="false" customHeight="false" outlineLevel="0" collapsed="false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157"/>
    </row>
    <row r="85" customFormat="false" ht="12.75" hidden="false" customHeight="false" outlineLevel="0" collapsed="false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157"/>
    </row>
    <row r="86" customFormat="false" ht="12.75" hidden="false" customHeight="false" outlineLevel="0" collapsed="false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157"/>
    </row>
    <row r="87" customFormat="false" ht="12.75" hidden="false" customHeight="false" outlineLevel="0" collapsed="false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157"/>
    </row>
    <row r="88" customFormat="false" ht="12.75" hidden="false" customHeight="false" outlineLevel="0" collapsed="false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157"/>
    </row>
    <row r="89" customFormat="false" ht="12.75" hidden="false" customHeight="false" outlineLevel="0" collapsed="false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157"/>
    </row>
    <row r="90" customFormat="false" ht="12.75" hidden="false" customHeight="false" outlineLevel="0" collapsed="false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157"/>
    </row>
    <row r="91" customFormat="false" ht="12.75" hidden="false" customHeight="false" outlineLevel="0" collapsed="false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157"/>
    </row>
    <row r="92" customFormat="false" ht="12.75" hidden="false" customHeight="false" outlineLevel="0" collapsed="false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157"/>
    </row>
    <row r="93" customFormat="false" ht="12.75" hidden="false" customHeight="false" outlineLevel="0" collapsed="false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157"/>
    </row>
    <row r="94" customFormat="false" ht="12.75" hidden="false" customHeight="false" outlineLevel="0" collapsed="false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157"/>
    </row>
    <row r="95" customFormat="false" ht="12.75" hidden="false" customHeight="false" outlineLevel="0" collapsed="false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157"/>
    </row>
    <row r="96" customFormat="false" ht="12.75" hidden="false" customHeight="false" outlineLevel="0" collapsed="false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157"/>
    </row>
    <row r="97" customFormat="false" ht="12.75" hidden="false" customHeight="false" outlineLevel="0" collapsed="false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157"/>
    </row>
    <row r="98" customFormat="false" ht="12.75" hidden="false" customHeight="false" outlineLevel="0" collapsed="false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157"/>
    </row>
    <row r="99" customFormat="false" ht="12.75" hidden="false" customHeight="false" outlineLevel="0" collapsed="false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157"/>
    </row>
    <row r="100" customFormat="false" ht="12.75" hidden="false" customHeight="false" outlineLevel="0" collapsed="false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157"/>
    </row>
    <row r="101" customFormat="false" ht="12.75" hidden="false" customHeight="false" outlineLevel="0" collapsed="false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157"/>
    </row>
    <row r="102" customFormat="false" ht="12.75" hidden="false" customHeight="false" outlineLevel="0" collapsed="false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157"/>
    </row>
    <row r="103" customFormat="false" ht="12.75" hidden="false" customHeight="false" outlineLevel="0" collapsed="false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157"/>
    </row>
    <row r="104" customFormat="false" ht="12.75" hidden="false" customHeight="false" outlineLevel="0" collapsed="false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158"/>
    </row>
    <row r="105" customFormat="false" ht="12.75" hidden="false" customHeight="false" outlineLevel="0" collapsed="false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158"/>
    </row>
    <row r="106" customFormat="false" ht="12.75" hidden="false" customHeight="false" outlineLevel="0" collapsed="false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158"/>
    </row>
    <row r="107" customFormat="false" ht="12.75" hidden="false" customHeight="false" outlineLevel="0" collapsed="false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158"/>
    </row>
    <row r="108" customFormat="false" ht="12.75" hidden="false" customHeight="false" outlineLevel="0" collapsed="false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158"/>
    </row>
    <row r="109" customFormat="false" ht="12.75" hidden="false" customHeight="false" outlineLevel="0" collapsed="false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158"/>
    </row>
    <row r="110" customFormat="false" ht="12.75" hidden="false" customHeight="false" outlineLevel="0" collapsed="false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158"/>
    </row>
    <row r="111" customFormat="false" ht="12.75" hidden="false" customHeight="false" outlineLevel="0" collapsed="false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158"/>
    </row>
    <row r="112" customFormat="false" ht="12.75" hidden="false" customHeight="false" outlineLevel="0" collapsed="false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158"/>
    </row>
    <row r="113" customFormat="false" ht="12.75" hidden="false" customHeight="false" outlineLevel="0" collapsed="false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158"/>
    </row>
    <row r="114" customFormat="false" ht="12.75" hidden="false" customHeight="false" outlineLevel="0" collapsed="false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158"/>
    </row>
    <row r="115" customFormat="false" ht="12.75" hidden="false" customHeight="false" outlineLevel="0" collapsed="false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158"/>
    </row>
    <row r="116" customFormat="false" ht="12.75" hidden="false" customHeight="false" outlineLevel="0" collapsed="false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158"/>
    </row>
    <row r="117" customFormat="false" ht="12.75" hidden="false" customHeight="false" outlineLevel="0" collapsed="false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158"/>
    </row>
    <row r="118" customFormat="false" ht="12.75" hidden="false" customHeight="false" outlineLevel="0" collapsed="false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158"/>
    </row>
    <row r="119" customFormat="false" ht="12.75" hidden="false" customHeight="false" outlineLevel="0" collapsed="false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158"/>
    </row>
    <row r="120" customFormat="false" ht="12.75" hidden="false" customHeight="false" outlineLevel="0" collapsed="false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158"/>
    </row>
    <row r="121" customFormat="false" ht="12.75" hidden="false" customHeight="false" outlineLevel="0" collapsed="false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158"/>
    </row>
    <row r="122" customFormat="false" ht="12.75" hidden="false" customHeight="false" outlineLevel="0" collapsed="false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158"/>
    </row>
    <row r="123" customFormat="false" ht="12.75" hidden="false" customHeight="false" outlineLevel="0" collapsed="false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158"/>
    </row>
    <row r="124" customFormat="false" ht="12.75" hidden="false" customHeight="false" outlineLevel="0" collapsed="false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</row>
    <row r="125" customFormat="false" ht="12.75" hidden="false" customHeight="false" outlineLevel="0" collapsed="false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</row>
    <row r="126" customFormat="false" ht="12.75" hidden="false" customHeight="false" outlineLevel="0" collapsed="false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</row>
    <row r="127" customFormat="false" ht="12.75" hidden="false" customHeight="false" outlineLevel="0" collapsed="false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</row>
    <row r="128" customFormat="false" ht="12.75" hidden="false" customHeight="false" outlineLevel="0" collapsed="false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</row>
    <row r="129" customFormat="false" ht="12.75" hidden="false" customHeight="false" outlineLevel="0" collapsed="false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</row>
    <row r="130" customFormat="false" ht="12.75" hidden="false" customHeight="false" outlineLevel="0" collapsed="false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</row>
    <row r="131" customFormat="false" ht="12.75" hidden="false" customHeight="false" outlineLevel="0" collapsed="false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</row>
    <row r="132" customFormat="false" ht="12.75" hidden="false" customHeight="false" outlineLevel="0" collapsed="false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</row>
    <row r="133" customFormat="false" ht="12.75" hidden="false" customHeight="false" outlineLevel="0" collapsed="false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</row>
    <row r="134" customFormat="false" ht="12.75" hidden="false" customHeight="false" outlineLevel="0" collapsed="false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</row>
    <row r="135" customFormat="false" ht="12.75" hidden="false" customHeight="false" outlineLevel="0" collapsed="false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</row>
    <row r="136" customFormat="false" ht="12.75" hidden="false" customHeight="false" outlineLevel="0" collapsed="false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</row>
    <row r="137" customFormat="false" ht="12.75" hidden="false" customHeight="false" outlineLevel="0" collapsed="false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</row>
    <row r="138" customFormat="false" ht="12.75" hidden="false" customHeight="false" outlineLevel="0" collapsed="false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</row>
    <row r="139" customFormat="false" ht="12.75" hidden="false" customHeight="false" outlineLevel="0" collapsed="false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</row>
    <row r="140" customFormat="false" ht="12.75" hidden="false" customHeight="false" outlineLevel="0" collapsed="false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</row>
    <row r="141" customFormat="false" ht="12.75" hidden="false" customHeight="false" outlineLevel="0" collapsed="false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</row>
    <row r="142" customFormat="false" ht="12.75" hidden="false" customHeight="false" outlineLevel="0" collapsed="false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</row>
    <row r="143" customFormat="false" ht="12.75" hidden="false" customHeight="false" outlineLevel="0" collapsed="false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</row>
    <row r="144" customFormat="false" ht="12.75" hidden="false" customHeight="false" outlineLevel="0" collapsed="false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</row>
  </sheetData>
  <mergeCells count="1">
    <mergeCell ref="B3:M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2001-08-28T23:11:51Z</dcterms:created>
  <dc:creator>vnguyen2</dc:creator>
  <dc:description/>
  <dc:language>en-US</dc:language>
  <cp:lastModifiedBy>vnguyen2</cp:lastModifiedBy>
  <cp:lastPrinted>2001-09-04T20:49:17Z</cp:lastPrinted>
  <dcterms:modified xsi:type="dcterms:W3CDTF">2001-09-04T20:49:32Z</dcterms:modified>
  <cp:revision>0</cp:revision>
  <dc:subject/>
  <dc:title/>
</cp:coreProperties>
</file>