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modity" sheetId="1" state="visible" r:id="rId3"/>
    <sheet name="Data" sheetId="2" state="visible" r:id="rId4"/>
    <sheet name="reconcilation" sheetId="3" state="visible" r:id="rId5"/>
    <sheet name="demand" sheetId="4" state="visible" r:id="rId6"/>
  </sheets>
  <definedNames>
    <definedName function="false" hidden="false" localSheetId="0" name="_xlnm.Print_Area" vbProcedure="false">commodity!$A$1:$J$48</definedName>
    <definedName function="false" hidden="false" localSheetId="3" name="_xlnm.Print_Area" vbProcedure="false">demand!$A$1:$J$42</definedName>
    <definedName function="false" hidden="false" localSheetId="2" name="_xlnm.Print_Area" vbProcedure="false">reconcilation!$A$1:$J$42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<sst xmlns="http://schemas.openxmlformats.org/spreadsheetml/2006/main" count="130" uniqueCount="97">
  <si>
    <t xml:space="preserve">June 2000</t>
  </si>
  <si>
    <t xml:space="preserve">Eco Electrica  Commodity Charge</t>
  </si>
  <si>
    <t xml:space="preserve">Article 8.3:  Commodity Charge</t>
  </si>
  <si>
    <t xml:space="preserve">a</t>
  </si>
  <si>
    <t xml:space="preserve">Three day average for 1999 NYMEX</t>
  </si>
  <si>
    <r>
      <rPr>
        <sz val="10"/>
        <rFont val="Arial"/>
        <family val="0"/>
      </rPr>
      <t xml:space="preserve">PR-CPI </t>
    </r>
    <r>
      <rPr>
        <vertAlign val="subscript"/>
        <sz val="10"/>
        <rFont val="Arial"/>
        <family val="2"/>
      </rPr>
      <t xml:space="preserve">1995</t>
    </r>
    <r>
      <rPr>
        <sz val="10"/>
        <rFont val="Arial"/>
        <family val="2"/>
      </rPr>
      <t xml:space="preserve"> = </t>
    </r>
  </si>
  <si>
    <r>
      <rPr>
        <sz val="10"/>
        <rFont val="Arial"/>
        <family val="0"/>
      </rPr>
      <t xml:space="preserve">PR-CPI </t>
    </r>
    <r>
      <rPr>
        <vertAlign val="subscript"/>
        <sz val="10"/>
        <rFont val="Arial"/>
        <family val="2"/>
      </rPr>
      <t xml:space="preserve">1999</t>
    </r>
  </si>
  <si>
    <t xml:space="preserve">Average:</t>
  </si>
  <si>
    <t xml:space="preserve">x =</t>
  </si>
  <si>
    <t xml:space="preserve">per MMBtu</t>
  </si>
  <si>
    <t xml:space="preserve">y =</t>
  </si>
  <si>
    <t xml:space="preserve">=</t>
  </si>
  <si>
    <r>
      <rPr>
        <sz val="10"/>
        <rFont val="Arial"/>
        <family val="0"/>
      </rPr>
      <t xml:space="preserve">PR-CPI </t>
    </r>
    <r>
      <rPr>
        <vertAlign val="subscript"/>
        <sz val="10"/>
        <rFont val="Arial"/>
        <family val="2"/>
      </rPr>
      <t xml:space="preserve">1995</t>
    </r>
  </si>
  <si>
    <t xml:space="preserve">Commodity Charge = </t>
  </si>
  <si>
    <t xml:space="preserve">(68% of Avg of NYMEX for each month of previous contract year)  plus [ (x) times (y)]</t>
  </si>
  <si>
    <t xml:space="preserve">68% X 2.2713 plus $.625 X 169.333/137</t>
  </si>
  <si>
    <t xml:space="preserve">+</t>
  </si>
  <si>
    <t xml:space="preserve">Deliveries for calculation Purposes</t>
  </si>
  <si>
    <t xml:space="preserve">Discharged</t>
  </si>
  <si>
    <t xml:space="preserve">Cubic Meteres</t>
  </si>
  <si>
    <t xml:space="preserve">MMBtus</t>
  </si>
  <si>
    <t xml:space="preserve">averge heating value</t>
  </si>
  <si>
    <t xml:space="preserve">PR-01</t>
  </si>
  <si>
    <t xml:space="preserve">Matthew </t>
  </si>
  <si>
    <t xml:space="preserve">PR-02</t>
  </si>
  <si>
    <t xml:space="preserve">Methane Artic</t>
  </si>
  <si>
    <t xml:space="preserve">PR-03</t>
  </si>
  <si>
    <t xml:space="preserve">full cargo lot per 2000-10-18 letter</t>
  </si>
  <si>
    <t xml:space="preserve">PR-04</t>
  </si>
  <si>
    <t xml:space="preserve">PR-05</t>
  </si>
  <si>
    <t xml:space="preserve">PR-06</t>
  </si>
  <si>
    <t xml:space="preserve">ACQ</t>
  </si>
  <si>
    <t xml:space="preserve">Winter cargo</t>
  </si>
  <si>
    <t xml:space="preserve">MMBTUs</t>
  </si>
  <si>
    <t xml:space="preserve">gamma cargo </t>
  </si>
  <si>
    <t xml:space="preserve">cubic meteres</t>
  </si>
  <si>
    <t xml:space="preserve">Winter heating value</t>
  </si>
  <si>
    <t xml:space="preserve">Quantities not delivered due to buyer</t>
  </si>
  <si>
    <t xml:space="preserve">Demand Charge Paid 2000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</si>
  <si>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</si>
  <si>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</si>
  <si>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</si>
  <si>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</si>
  <si>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</si>
  <si>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</si>
  <si>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</si>
  <si>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</si>
  <si>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</si>
  <si>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</si>
  <si>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</si>
  <si>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Eco Electrica  Annual Reconcilation</t>
  </si>
  <si>
    <t xml:space="preserve">Article 8.2:  </t>
  </si>
  <si>
    <t xml:space="preserve">(I)</t>
  </si>
  <si>
    <t xml:space="preserve">(X)</t>
  </si>
  <si>
    <t xml:space="preserve">the greater of ACQ &amp; the total LNG delivered during contract year(in cubic meteres)</t>
  </si>
  <si>
    <t xml:space="preserve">times</t>
  </si>
  <si>
    <t xml:space="preserve">(Y)</t>
  </si>
  <si>
    <t xml:space="preserve">weighted average heating value of LNG delivered during contract year (not to exceed 1080 btu/scf)</t>
  </si>
  <si>
    <t xml:space="preserve">(Z)</t>
  </si>
  <si>
    <t xml:space="preserve">the demand charge rate</t>
  </si>
  <si>
    <t xml:space="preserve">plus </t>
  </si>
  <si>
    <t xml:space="preserve">(II)</t>
  </si>
  <si>
    <t xml:space="preserve">the greater of a Gamma Standard Cargo &amp; total quantity of LNG delivered in the winter (excluding any quantities delivered in a carryover late cargo</t>
  </si>
  <si>
    <t xml:space="preserve">the heating value of the winter cargo(not to exceed 1080btu/csf) - if none than 22.84</t>
  </si>
  <si>
    <t xml:space="preserve">the demand surcharge charge rate</t>
  </si>
  <si>
    <t xml:space="preserve">Minus</t>
  </si>
  <si>
    <t xml:space="preserve">Annual Adjustments per 5.3(b)</t>
  </si>
  <si>
    <t xml:space="preserve">X  times Y times Z  =</t>
  </si>
  <si>
    <t xml:space="preserve">(III)</t>
  </si>
  <si>
    <t xml:space="preserve">(IV)</t>
  </si>
  <si>
    <t xml:space="preserve">Annual Demand Charge = (I) plus (II) minus (III) minus (iv) minus Annual adjustments </t>
  </si>
  <si>
    <t xml:space="preserve">Annual est demand charge = </t>
  </si>
  <si>
    <t xml:space="preserve">Annual actual demand charge = </t>
  </si>
  <si>
    <t xml:space="preserve">Diff</t>
  </si>
  <si>
    <t xml:space="preserve">Owed to EcoElectrica</t>
  </si>
  <si>
    <t xml:space="preserve">December 2000</t>
  </si>
  <si>
    <t xml:space="preserve">Eco Electrica Estimated Demand Charge</t>
  </si>
  <si>
    <t xml:space="preserve">Article 8:  Price</t>
  </si>
  <si>
    <t xml:space="preserve">Demand Charge Rate = $.73 x Adjustment Factor</t>
  </si>
  <si>
    <t xml:space="preserve">Demand Surcharge Rate = $.725 x Adjustment Factor</t>
  </si>
  <si>
    <t xml:space="preserve">Demand Charge Rate = </t>
  </si>
  <si>
    <t xml:space="preserve">Demand Surcharge Rate = </t>
  </si>
  <si>
    <r>
      <rPr>
        <sz val="10"/>
        <rFont val="Arial"/>
        <family val="0"/>
      </rPr>
      <t xml:space="preserve">Adjustment Factor = 1 + .05 ((PR-CPI </t>
    </r>
    <r>
      <rPr>
        <vertAlign val="subscript"/>
        <sz val="10"/>
        <rFont val="Arial"/>
        <family val="2"/>
      </rPr>
      <t xml:space="preserve">1999</t>
    </r>
    <r>
      <rPr>
        <sz val="10"/>
        <rFont val="Arial"/>
        <family val="0"/>
      </rPr>
      <t xml:space="preserve">/PR-CPI </t>
    </r>
    <r>
      <rPr>
        <vertAlign val="subscript"/>
        <sz val="10"/>
        <rFont val="Arial"/>
        <family val="2"/>
      </rPr>
      <t xml:space="preserve">1995</t>
    </r>
    <r>
      <rPr>
        <sz val="10"/>
        <rFont val="Arial"/>
        <family val="2"/>
      </rPr>
      <t xml:space="preserve"> ) - 1)</t>
    </r>
  </si>
  <si>
    <t xml:space="preserve">Adjustment Factor = </t>
  </si>
  <si>
    <t xml:space="preserve">1 +.05 ((</t>
  </si>
  <si>
    <t xml:space="preserve">)-1)</t>
  </si>
  <si>
    <t xml:space="preserve">1 + .05 (</t>
  </si>
  <si>
    <t xml:space="preserve">)</t>
  </si>
  <si>
    <t xml:space="preserve">Adjustment Factor =</t>
  </si>
  <si>
    <t xml:space="preserve">ACQ=</t>
  </si>
  <si>
    <t xml:space="preserve">322/365 x 9 cargoes=</t>
  </si>
  <si>
    <t xml:space="preserve">Gamma Standard Cargo =</t>
  </si>
  <si>
    <t xml:space="preserve">Cubic Meters</t>
  </si>
  <si>
    <t xml:space="preserve">Estimated Monthly Demand Charge = </t>
  </si>
  <si>
    <t xml:space="preserve">(Demand Charge Rate x ACQ x22.84)+(Demand Surcharge Rate x Gamma Standard Cargo X 22.84)</t>
  </si>
  <si>
    <t xml:space="preserve"># of months in the Contract Year (which shall be 11)</t>
  </si>
  <si>
    <t xml:space="preserve">(0.817542 x (8 x 119,000) x 22.84) + (.811347 x 119,000 x 22.84)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</si>
</sst>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mmm\-yy"/>
    <numFmt numFmtId="166" formatCode="0.00"/>
    <numFmt numFmtId="167" formatCode="0.00000"/>
    <numFmt numFmtId="168" formatCode="#,##0"/>
    <numFmt numFmtId="169" formatCode="\$#,##0.000_);[RED]&quot;($&quot;#,##0.000\)"/>
    <numFmt numFmtId="170" formatCode="0.0000"/>
    <numFmt numFmtId="171" formatCode="\$#,##0.00_);[RED]&quot;($&quot;#,##0.00\)"/>
    <numFmt numFmtId="172" formatCode="\$#,##0.00"/>
    <numFmt numFmtId="173" formatCode="_(* #,##0.00_);_(* \(#,##0.00\);_(* \-??_);_(@_)"/>
    <numFmt numFmtId="174" formatCode="_(* #,##0_);_(* \(#,##0\);_(* \-??_);_(@_)"/>
    <numFmt numFmtId="175" formatCode="_(* #,##0.0000_);_(* \(#,##0.0000\);_(* \-??_);_(@_)"/>
    <numFmt numFmtId="176" formatCode="0"/>
    <numFmt numFmtId="177" formatCode="_(\$* #,##0.00_);_(\$* \(#,##0.00\);_(\$* \-??_);_(@_)"/>
    <numFmt numFmtId="178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7"/>
    <col collapsed="false" customWidth="true" hidden="false" outlineLevel="0" max="7" min="7" style="0" width="11.85"/>
    <col collapsed="false" customWidth="true" hidden="false" outlineLevel="0" max="8" min="8" style="0" width="6.56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</row>
    <row r="6" customFormat="false" ht="12.75" hidden="false" customHeight="false" outlineLevel="0" collapsed="false">
      <c r="L6" s="0" t="s">
        <v>3</v>
      </c>
    </row>
    <row r="10" customFormat="false" ht="15.75" hidden="false" customHeight="false" outlineLevel="0" collapsed="false">
      <c r="A10" s="0" t="s">
        <v>4</v>
      </c>
      <c r="G10" s="0" t="s">
        <v>5</v>
      </c>
      <c r="H10" s="3" t="n">
        <v>137</v>
      </c>
      <c r="I10" s="4" t="s">
        <v>6</v>
      </c>
      <c r="J10" s="4"/>
    </row>
    <row r="11" customFormat="false" ht="12.75" hidden="false" customHeight="false" outlineLevel="0" collapsed="false">
      <c r="A11" s="5" t="n">
        <v>36161</v>
      </c>
      <c r="B11" s="6" t="n">
        <v>1.8197</v>
      </c>
      <c r="I11" s="5" t="n">
        <v>36161</v>
      </c>
      <c r="J11" s="0" t="n">
        <v>166.2</v>
      </c>
    </row>
    <row r="12" customFormat="false" ht="12.75" hidden="false" customHeight="false" outlineLevel="0" collapsed="false">
      <c r="A12" s="5" t="n">
        <v>36192</v>
      </c>
      <c r="B12" s="6" t="n">
        <v>1.746</v>
      </c>
      <c r="I12" s="5" t="n">
        <v>36192</v>
      </c>
      <c r="J12" s="0" t="n">
        <v>166.3</v>
      </c>
    </row>
    <row r="13" customFormat="false" ht="12.75" hidden="false" customHeight="false" outlineLevel="0" collapsed="false">
      <c r="A13" s="5" t="n">
        <v>36220</v>
      </c>
      <c r="B13" s="6" t="n">
        <v>1.693</v>
      </c>
      <c r="I13" s="5" t="n">
        <v>36220</v>
      </c>
      <c r="J13" s="0" t="n">
        <v>166.4</v>
      </c>
    </row>
    <row r="14" customFormat="false" ht="12.75" hidden="false" customHeight="false" outlineLevel="0" collapsed="false">
      <c r="A14" s="5" t="n">
        <v>36251</v>
      </c>
      <c r="B14" s="6" t="n">
        <v>1.847</v>
      </c>
      <c r="I14" s="5" t="n">
        <v>36251</v>
      </c>
      <c r="J14" s="0" t="n">
        <v>166.7</v>
      </c>
    </row>
    <row r="15" customFormat="false" ht="12.75" hidden="false" customHeight="false" outlineLevel="0" collapsed="false">
      <c r="A15" s="5" t="n">
        <v>36281</v>
      </c>
      <c r="B15" s="6" t="n">
        <v>2.326</v>
      </c>
      <c r="I15" s="5" t="n">
        <v>36281</v>
      </c>
      <c r="J15" s="0" t="n">
        <v>168</v>
      </c>
    </row>
    <row r="16" customFormat="false" ht="12.75" hidden="false" customHeight="false" outlineLevel="0" collapsed="false">
      <c r="A16" s="5" t="n">
        <v>36312</v>
      </c>
      <c r="B16" s="6" t="n">
        <v>2.2007</v>
      </c>
      <c r="D16" s="7"/>
      <c r="I16" s="5" t="n">
        <v>36312</v>
      </c>
      <c r="J16" s="0" t="n">
        <v>169.1</v>
      </c>
    </row>
    <row r="17" customFormat="false" ht="12.75" hidden="false" customHeight="false" outlineLevel="0" collapsed="false">
      <c r="A17" s="5" t="n">
        <v>36342</v>
      </c>
      <c r="B17" s="6" t="n">
        <v>2.2717</v>
      </c>
      <c r="I17" s="5" t="n">
        <v>36342</v>
      </c>
      <c r="J17" s="0" t="n">
        <v>170.2</v>
      </c>
    </row>
    <row r="18" customFormat="false" ht="12.75" hidden="false" customHeight="false" outlineLevel="0" collapsed="false">
      <c r="A18" s="5" t="n">
        <v>36373</v>
      </c>
      <c r="B18" s="6" t="n">
        <v>2.5723</v>
      </c>
      <c r="D18" s="8"/>
      <c r="I18" s="5" t="n">
        <v>36373</v>
      </c>
      <c r="J18" s="0" t="n">
        <v>171.1</v>
      </c>
    </row>
    <row r="19" customFormat="false" ht="12.75" hidden="false" customHeight="false" outlineLevel="0" collapsed="false">
      <c r="A19" s="5" t="n">
        <v>36404</v>
      </c>
      <c r="B19" s="6" t="n">
        <v>2.963</v>
      </c>
      <c r="I19" s="5" t="n">
        <v>36404</v>
      </c>
      <c r="J19" s="0" t="n">
        <v>172.5</v>
      </c>
    </row>
    <row r="20" customFormat="false" ht="12.75" hidden="false" customHeight="false" outlineLevel="0" collapsed="false">
      <c r="A20" s="5" t="n">
        <v>36434</v>
      </c>
      <c r="B20" s="6" t="n">
        <v>2.6073</v>
      </c>
      <c r="I20" s="5" t="n">
        <v>36434</v>
      </c>
      <c r="J20" s="0" t="n">
        <v>173</v>
      </c>
    </row>
    <row r="21" customFormat="false" ht="12.75" hidden="false" customHeight="false" outlineLevel="0" collapsed="false">
      <c r="A21" s="5" t="n">
        <v>36465</v>
      </c>
      <c r="B21" s="6" t="n">
        <v>3.0397</v>
      </c>
      <c r="I21" s="5" t="n">
        <v>36465</v>
      </c>
      <c r="J21" s="0" t="n">
        <v>172.5</v>
      </c>
    </row>
    <row r="22" customFormat="false" ht="12.75" hidden="false" customHeight="false" outlineLevel="0" collapsed="false">
      <c r="A22" s="5" t="n">
        <v>36495</v>
      </c>
      <c r="B22" s="6" t="n">
        <v>2.16866</v>
      </c>
      <c r="I22" s="5" t="n">
        <v>36495</v>
      </c>
      <c r="J22" s="0" t="n">
        <v>173.6</v>
      </c>
    </row>
    <row r="23" customFormat="false" ht="12.75" hidden="false" customHeight="false" outlineLevel="0" collapsed="false">
      <c r="B23" s="0" t="n">
        <f aca="false">ROUND(AVERAGE(B11:B22),4)</f>
        <v>2.2713</v>
      </c>
      <c r="I23" s="0" t="s">
        <v>7</v>
      </c>
      <c r="J23" s="0" t="n">
        <f aca="false">ROUND(AVERAGE(J11:J22),4)</f>
        <v>169.6333</v>
      </c>
    </row>
    <row r="25" customFormat="false" ht="12.75" hidden="false" customHeight="false" outlineLevel="0" collapsed="false">
      <c r="A25" s="0" t="s">
        <v>8</v>
      </c>
      <c r="B25" s="9" t="n">
        <v>0.625</v>
      </c>
      <c r="C25" s="0" t="s">
        <v>9</v>
      </c>
    </row>
    <row r="26" customFormat="false" ht="15.75" hidden="false" customHeight="false" outlineLevel="0" collapsed="false">
      <c r="A26" s="0" t="s">
        <v>10</v>
      </c>
      <c r="B26" s="10" t="s">
        <v>6</v>
      </c>
      <c r="C26" s="10"/>
      <c r="D26" s="11" t="s">
        <v>11</v>
      </c>
      <c r="E26" s="12" t="n">
        <f aca="false">J23</f>
        <v>169.6333</v>
      </c>
      <c r="F26" s="11" t="s">
        <v>11</v>
      </c>
      <c r="G26" s="13" t="n">
        <f aca="false">J23/H10</f>
        <v>1.23819927007299</v>
      </c>
    </row>
    <row r="27" customFormat="false" ht="15.75" hidden="false" customHeight="false" outlineLevel="0" collapsed="false">
      <c r="B27" s="14" t="s">
        <v>12</v>
      </c>
      <c r="E27" s="3" t="n">
        <f aca="false">H10</f>
        <v>137</v>
      </c>
    </row>
    <row r="31" customFormat="false" ht="12.75" hidden="false" customHeight="false" outlineLevel="0" collapsed="false">
      <c r="A31" s="0" t="s">
        <v>13</v>
      </c>
      <c r="D31" s="15" t="s">
        <v>14</v>
      </c>
      <c r="E31" s="15"/>
      <c r="F31" s="15"/>
      <c r="G31" s="15"/>
      <c r="H31" s="15"/>
      <c r="I31" s="15"/>
      <c r="J31" s="15"/>
      <c r="K31" s="15"/>
    </row>
    <row r="33" customFormat="false" ht="12.75" hidden="false" customHeight="false" outlineLevel="0" collapsed="false">
      <c r="A33" s="15"/>
      <c r="B33" s="15"/>
      <c r="C33" s="15"/>
      <c r="D33" s="15"/>
      <c r="E33" s="15"/>
      <c r="F33" s="15"/>
      <c r="G33" s="15"/>
      <c r="H33" s="15"/>
      <c r="I33" s="15"/>
    </row>
    <row r="36" customFormat="false" ht="12.75" hidden="false" customHeight="false" outlineLevel="0" collapsed="false">
      <c r="A36" s="0" t="s">
        <v>13</v>
      </c>
      <c r="B36" s="16"/>
      <c r="C36" s="16"/>
      <c r="D36" s="16"/>
      <c r="E36" s="15" t="s">
        <v>15</v>
      </c>
      <c r="F36" s="15"/>
      <c r="G36" s="15"/>
      <c r="H36" s="15"/>
      <c r="I36" s="15"/>
      <c r="J36" s="15"/>
    </row>
    <row r="39" customFormat="false" ht="12.75" hidden="false" customHeight="false" outlineLevel="0" collapsed="false">
      <c r="D39" s="11" t="s">
        <v>11</v>
      </c>
      <c r="E39" s="15" t="n">
        <f aca="false">68%*B23</f>
        <v>1.544484</v>
      </c>
      <c r="F39" s="4" t="s">
        <v>16</v>
      </c>
      <c r="G39" s="17" t="n">
        <f aca="false">B25*G26</f>
        <v>0.773874543795621</v>
      </c>
    </row>
    <row r="40" customFormat="false" ht="12.75" hidden="false" customHeight="false" outlineLevel="0" collapsed="false">
      <c r="F40" s="7"/>
    </row>
    <row r="42" customFormat="false" ht="13.5" hidden="false" customHeight="false" outlineLevel="0" collapsed="false">
      <c r="D42" s="11" t="s">
        <v>11</v>
      </c>
      <c r="E42" s="18" t="n">
        <f aca="false">E39+G39</f>
        <v>2.31835854379562</v>
      </c>
    </row>
    <row r="43" customFormat="false" ht="13.5" hidden="false" customHeight="false" outlineLevel="0" collapsed="false">
      <c r="D43" s="11"/>
      <c r="E43" s="7"/>
    </row>
    <row r="45" customFormat="false" ht="12.75" hidden="false" customHeight="false" outlineLevel="0" collapsed="false">
      <c r="D45" s="11"/>
      <c r="E45" s="19"/>
    </row>
  </sheetData>
  <mergeCells count="5">
    <mergeCell ref="A1:J1"/>
    <mergeCell ref="A2:J2"/>
    <mergeCell ref="A3:J3"/>
    <mergeCell ref="I10:J10"/>
    <mergeCell ref="B26:C26"/>
  </mergeCells>
  <printOptions headings="false" gridLines="false" gridLinesSet="true" horizontalCentered="false" verticalCentered="false"/>
  <pageMargins left="0.4" right="0.4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54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37" activeCellId="0" sqref="A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85"/>
    <col collapsed="false" customWidth="true" hidden="false" outlineLevel="0" max="5" min="5" style="0" width="13.56"/>
    <col collapsed="false" customWidth="true" hidden="false" outlineLevel="0" max="6" min="6" style="20" width="12.7"/>
    <col collapsed="false" customWidth="true" hidden="false" outlineLevel="0" max="7" min="7" style="0" width="12.85"/>
    <col collapsed="false" customWidth="true" hidden="false" outlineLevel="0" max="8" min="8" style="21" width="12.7"/>
    <col collapsed="false" customWidth="true" hidden="false" outlineLevel="0" max="9" min="9" style="22" width="10.28"/>
    <col collapsed="false" customWidth="true" hidden="false" outlineLevel="0" max="11" min="11" style="23" width="6.7"/>
    <col collapsed="false" customWidth="true" hidden="false" outlineLevel="0" max="12" min="12" style="0" width="9.41"/>
  </cols>
  <sheetData>
    <row r="1" customFormat="false" ht="12.75" hidden="false" customHeight="false" outlineLevel="0" collapsed="false">
      <c r="A1" s="16" t="s">
        <v>17</v>
      </c>
    </row>
    <row r="2" customFormat="false" ht="12.75" hidden="false" customHeight="false" outlineLevel="0" collapsed="false">
      <c r="A2" s="16"/>
      <c r="E2" s="0" t="s">
        <v>18</v>
      </c>
    </row>
    <row r="3" customFormat="false" ht="12.75" hidden="false" customHeight="false" outlineLevel="0" collapsed="false">
      <c r="E3" s="0" t="s">
        <v>19</v>
      </c>
      <c r="G3" s="0" t="s">
        <v>20</v>
      </c>
      <c r="J3" s="0" t="s">
        <v>21</v>
      </c>
    </row>
    <row r="5" customFormat="false" ht="12.75" hidden="false" customHeight="false" outlineLevel="0" collapsed="false">
      <c r="A5" s="0" t="s">
        <v>22</v>
      </c>
      <c r="B5" s="0" t="s">
        <v>23</v>
      </c>
      <c r="E5" s="24" t="n">
        <v>123645.1</v>
      </c>
      <c r="F5" s="20" t="n">
        <v>121392.38</v>
      </c>
      <c r="G5" s="22" t="n">
        <v>2795633</v>
      </c>
      <c r="H5" s="21" t="n">
        <v>2744094</v>
      </c>
      <c r="I5" s="22" t="n">
        <v>2744084</v>
      </c>
      <c r="J5" s="0" t="n">
        <f aca="false">G5/E5</f>
        <v>22.6101398276195</v>
      </c>
      <c r="K5" s="25" t="n">
        <f aca="false">H5/F5</f>
        <v>22.6051585774989</v>
      </c>
    </row>
    <row r="6" customFormat="false" ht="12.75" hidden="false" customHeight="false" outlineLevel="0" collapsed="false">
      <c r="E6" s="26"/>
      <c r="G6" s="22"/>
    </row>
    <row r="7" customFormat="false" ht="12.75" hidden="false" customHeight="false" outlineLevel="0" collapsed="false">
      <c r="A7" s="0" t="s">
        <v>24</v>
      </c>
      <c r="B7" s="0" t="s">
        <v>25</v>
      </c>
      <c r="E7" s="26" t="n">
        <v>68586.655</v>
      </c>
      <c r="F7" s="20" t="n">
        <v>68586.655</v>
      </c>
      <c r="G7" s="22" t="n">
        <v>1546267</v>
      </c>
      <c r="H7" s="21" t="n">
        <v>1546267</v>
      </c>
      <c r="I7" s="22" t="n">
        <v>1546247</v>
      </c>
      <c r="J7" s="0" t="n">
        <f aca="false">G7/E7</f>
        <v>22.5447209810713</v>
      </c>
      <c r="K7" s="25" t="n">
        <f aca="false">H7/F7</f>
        <v>22.5447209810713</v>
      </c>
    </row>
    <row r="8" customFormat="false" ht="12.75" hidden="false" customHeight="false" outlineLevel="0" collapsed="false">
      <c r="E8" s="26"/>
      <c r="G8" s="22"/>
    </row>
    <row r="9" customFormat="false" ht="12.75" hidden="false" customHeight="false" outlineLevel="0" collapsed="false">
      <c r="A9" s="0" t="s">
        <v>26</v>
      </c>
      <c r="B9" s="0" t="s">
        <v>23</v>
      </c>
      <c r="E9" s="27" t="n">
        <v>119000</v>
      </c>
      <c r="F9" s="28" t="n">
        <v>117073</v>
      </c>
      <c r="G9" s="29" t="n">
        <f aca="false">E9*J23</f>
        <v>0</v>
      </c>
      <c r="H9" s="30" t="n">
        <v>2646964</v>
      </c>
      <c r="I9" s="29" t="n">
        <v>2630718</v>
      </c>
      <c r="J9" s="31" t="n">
        <f aca="false">G9/E9</f>
        <v>0</v>
      </c>
      <c r="K9" s="32" t="n">
        <f aca="false">H9/F9</f>
        <v>22.6095171388792</v>
      </c>
    </row>
    <row r="10" customFormat="false" ht="12.75" hidden="false" customHeight="false" outlineLevel="0" collapsed="false">
      <c r="A10" s="0" t="s">
        <v>27</v>
      </c>
      <c r="E10" s="26"/>
      <c r="G10" s="22"/>
    </row>
    <row r="11" customFormat="false" ht="12.75" hidden="false" customHeight="false" outlineLevel="0" collapsed="false">
      <c r="A11" s="0" t="s">
        <v>28</v>
      </c>
      <c r="B11" s="0" t="s">
        <v>23</v>
      </c>
      <c r="E11" s="26" t="n">
        <v>30086.6</v>
      </c>
      <c r="F11" s="20" t="n">
        <v>30086.6</v>
      </c>
      <c r="G11" s="22" t="n">
        <v>680556</v>
      </c>
      <c r="H11" s="21" t="n">
        <v>680556</v>
      </c>
      <c r="I11" s="22" t="n">
        <v>680556</v>
      </c>
      <c r="J11" s="0" t="n">
        <f aca="false">G11/E11</f>
        <v>22.6199038774737</v>
      </c>
      <c r="K11" s="25" t="n">
        <f aca="false">H11/F11</f>
        <v>22.6199038774737</v>
      </c>
    </row>
    <row r="12" customFormat="false" ht="12.75" hidden="false" customHeight="false" outlineLevel="0" collapsed="false">
      <c r="E12" s="26"/>
      <c r="G12" s="22"/>
    </row>
    <row r="13" customFormat="false" ht="12.75" hidden="false" customHeight="false" outlineLevel="0" collapsed="false">
      <c r="A13" s="0" t="s">
        <v>29</v>
      </c>
      <c r="B13" s="0" t="s">
        <v>23</v>
      </c>
      <c r="E13" s="26" t="n">
        <v>111936.2</v>
      </c>
      <c r="F13" s="20" t="n">
        <v>111936.2</v>
      </c>
      <c r="G13" s="22" t="n">
        <v>2530502</v>
      </c>
      <c r="H13" s="21" t="n">
        <v>2530502</v>
      </c>
      <c r="I13" s="22" t="n">
        <v>2530502</v>
      </c>
      <c r="J13" s="0" t="n">
        <f aca="false">G13/E13</f>
        <v>22.6066455713165</v>
      </c>
      <c r="K13" s="25" t="n">
        <f aca="false">H13/F13</f>
        <v>22.6066455713165</v>
      </c>
    </row>
    <row r="14" customFormat="false" ht="12.75" hidden="false" customHeight="false" outlineLevel="0" collapsed="false">
      <c r="E14" s="26"/>
      <c r="G14" s="22"/>
    </row>
    <row r="15" customFormat="false" ht="12.75" hidden="false" customHeight="false" outlineLevel="0" collapsed="false">
      <c r="A15" s="0" t="s">
        <v>30</v>
      </c>
      <c r="B15" s="0" t="s">
        <v>23</v>
      </c>
      <c r="E15" s="26" t="n">
        <v>122088.5</v>
      </c>
      <c r="F15" s="20" t="n">
        <v>122088.5</v>
      </c>
      <c r="G15" s="22" t="n">
        <v>2759397</v>
      </c>
      <c r="H15" s="21" t="n">
        <v>2759397</v>
      </c>
      <c r="I15" s="22" t="n">
        <v>2759397</v>
      </c>
      <c r="J15" s="0" t="n">
        <f aca="false">G15/E15</f>
        <v>22.601612764511</v>
      </c>
      <c r="K15" s="25" t="n">
        <f aca="false">H15/F15</f>
        <v>22.601612764511</v>
      </c>
    </row>
    <row r="18" customFormat="false" ht="12.75" hidden="false" customHeight="false" outlineLevel="0" collapsed="false">
      <c r="E18" s="26" t="n">
        <f aca="false">SUM(E5:E15)</f>
        <v>575343.055</v>
      </c>
      <c r="F18" s="20" t="n">
        <f aca="false">SUM(F5:F17)</f>
        <v>571163.335</v>
      </c>
      <c r="G18" s="33" t="n">
        <f aca="false">SUM(G5:G16)</f>
        <v>10312355</v>
      </c>
      <c r="H18" s="21" t="n">
        <f aca="false">SUM(H5:H17)</f>
        <v>12907780</v>
      </c>
      <c r="J18" s="0" t="n">
        <f aca="false">SUM(J5:J16)/6</f>
        <v>18.8305038369987</v>
      </c>
      <c r="K18" s="25" t="n">
        <f aca="false">H18/F18</f>
        <v>22.5991046851773</v>
      </c>
    </row>
    <row r="19" customFormat="false" ht="12.75" hidden="false" customHeight="false" outlineLevel="0" collapsed="false">
      <c r="E19" s="26"/>
      <c r="G19" s="33"/>
    </row>
    <row r="20" customFormat="false" ht="12.75" hidden="false" customHeight="false" outlineLevel="0" collapsed="false">
      <c r="E20" s="26"/>
      <c r="F20" s="20" t="n">
        <f aca="false">AVERAGE(F5,F15)</f>
        <v>121740.44</v>
      </c>
      <c r="G20" s="33"/>
      <c r="H20" s="20" t="n">
        <f aca="false">AVERAGE(H5,H15)</f>
        <v>2751745.5</v>
      </c>
    </row>
    <row r="21" customFormat="false" ht="12.75" hidden="false" customHeight="false" outlineLevel="0" collapsed="false">
      <c r="A21" s="16"/>
    </row>
    <row r="23" customFormat="false" ht="12.75" hidden="false" customHeight="false" outlineLevel="0" collapsed="false">
      <c r="E23" s="26"/>
      <c r="G23" s="33"/>
    </row>
    <row r="24" customFormat="false" ht="12.75" hidden="false" customHeight="false" outlineLevel="0" collapsed="false">
      <c r="E24" s="26"/>
      <c r="G24" s="33"/>
    </row>
    <row r="25" customFormat="false" ht="12.75" hidden="false" customHeight="false" outlineLevel="0" collapsed="false">
      <c r="E25" s="26"/>
      <c r="G25" s="33"/>
    </row>
    <row r="27" customFormat="false" ht="12.75" hidden="false" customHeight="false" outlineLevel="0" collapsed="false">
      <c r="A27" s="0" t="s">
        <v>28</v>
      </c>
      <c r="B27" s="0" t="s">
        <v>23</v>
      </c>
      <c r="E27" s="26" t="n">
        <v>30086.6</v>
      </c>
      <c r="G27" s="22" t="n">
        <v>680556</v>
      </c>
      <c r="I27" s="22" t="n">
        <v>680556</v>
      </c>
      <c r="J27" s="0" t="n">
        <f aca="false">G27/E27</f>
        <v>22.6199038774737</v>
      </c>
      <c r="O27" s="26"/>
      <c r="Q27" s="22"/>
      <c r="W27" s="26"/>
      <c r="Y27" s="22"/>
      <c r="AE27" s="26"/>
      <c r="AG27" s="22"/>
      <c r="AM27" s="26"/>
      <c r="AO27" s="22"/>
      <c r="AU27" s="26"/>
      <c r="AW27" s="22"/>
      <c r="BC27" s="26"/>
      <c r="BE27" s="22"/>
      <c r="BK27" s="26"/>
      <c r="BM27" s="22"/>
      <c r="BS27" s="26"/>
      <c r="BU27" s="22"/>
      <c r="CA27" s="26"/>
      <c r="CC27" s="22"/>
      <c r="CI27" s="26"/>
      <c r="CK27" s="22"/>
      <c r="CQ27" s="26"/>
      <c r="CS27" s="22"/>
      <c r="CY27" s="26"/>
      <c r="DA27" s="22"/>
      <c r="DG27" s="26"/>
      <c r="DI27" s="22"/>
      <c r="DO27" s="26"/>
      <c r="DQ27" s="22"/>
      <c r="DW27" s="26"/>
      <c r="DY27" s="22"/>
      <c r="EE27" s="26"/>
      <c r="EG27" s="22"/>
      <c r="EM27" s="26"/>
      <c r="EO27" s="22"/>
      <c r="EU27" s="26"/>
      <c r="EW27" s="22"/>
      <c r="FC27" s="26"/>
      <c r="FE27" s="22"/>
      <c r="FK27" s="26"/>
      <c r="FM27" s="22"/>
      <c r="FS27" s="26"/>
      <c r="FU27" s="22"/>
      <c r="GA27" s="26"/>
      <c r="GC27" s="22"/>
      <c r="GI27" s="26"/>
      <c r="GK27" s="22"/>
      <c r="GQ27" s="26"/>
      <c r="GS27" s="22"/>
      <c r="GY27" s="26"/>
      <c r="HA27" s="22"/>
      <c r="HG27" s="26"/>
      <c r="HI27" s="22"/>
      <c r="HO27" s="26"/>
      <c r="HQ27" s="22"/>
      <c r="HW27" s="26"/>
      <c r="HY27" s="22"/>
      <c r="IE27" s="26"/>
      <c r="IG27" s="22"/>
      <c r="IM27" s="26"/>
      <c r="IO27" s="22"/>
      <c r="IU27" s="26"/>
    </row>
    <row r="28" customFormat="false" ht="12.75" hidden="false" customHeight="false" outlineLevel="0" collapsed="false">
      <c r="A28" s="0" t="s">
        <v>31</v>
      </c>
      <c r="E28" s="34" t="n">
        <f aca="false">demand!D18*demand!D16</f>
        <v>952000</v>
      </c>
      <c r="M28" s="0" t="n">
        <f aca="false">8*119000</f>
        <v>952000</v>
      </c>
    </row>
    <row r="30" customFormat="false" ht="12.75" hidden="false" customHeight="false" outlineLevel="0" collapsed="false">
      <c r="A30" s="0" t="s">
        <v>32</v>
      </c>
      <c r="E30" s="35" t="n">
        <v>0.001</v>
      </c>
      <c r="F30" s="20" t="s">
        <v>33</v>
      </c>
    </row>
    <row r="32" customFormat="false" ht="12.75" hidden="false" customHeight="false" outlineLevel="0" collapsed="false">
      <c r="A32" s="0" t="s">
        <v>34</v>
      </c>
      <c r="E32" s="8" t="n">
        <f aca="false">demand!D18</f>
        <v>119000</v>
      </c>
      <c r="F32" s="20" t="s">
        <v>35</v>
      </c>
    </row>
    <row r="34" customFormat="false" ht="12.75" hidden="false" customHeight="false" outlineLevel="0" collapsed="false">
      <c r="A34" s="0" t="s">
        <v>36</v>
      </c>
      <c r="E34" s="0" t="n">
        <v>0</v>
      </c>
    </row>
    <row r="36" customFormat="false" ht="12.75" hidden="false" customHeight="false" outlineLevel="0" collapsed="false">
      <c r="A36" s="0" t="s">
        <v>37</v>
      </c>
      <c r="E36" s="0" t="n">
        <v>0</v>
      </c>
    </row>
    <row r="40" customFormat="false" ht="12.75" hidden="false" customHeight="false" outlineLevel="0" collapsed="false">
      <c r="A40" s="0" t="s">
        <v>38</v>
      </c>
    </row>
    <row r="42" customFormat="false" ht="12.75" hidden="false" customHeight="false" outlineLevel="0" collapsed="false">
      <c r="A42" s="0" t="s">
        <v>39</v>
      </c>
      <c r="C42" s="34" t="n">
        <v>1811105.55</v>
      </c>
    </row>
    <row r="43" customFormat="false" ht="12.75" hidden="false" customHeight="false" outlineLevel="0" collapsed="false">
      <c r="A43" s="0" t="s">
        <v>40</v>
      </c>
      <c r="C43" s="34" t="n">
        <v>1814857.22</v>
      </c>
    </row>
    <row r="44" customFormat="false" ht="12.75" hidden="false" customHeight="false" outlineLevel="0" collapsed="false">
      <c r="A44" s="0" t="s">
        <v>41</v>
      </c>
      <c r="C44" s="34" t="n">
        <v>1815322.79</v>
      </c>
    </row>
    <row r="45" customFormat="false" ht="12.75" hidden="false" customHeight="false" outlineLevel="0" collapsed="false">
      <c r="A45" s="0" t="s">
        <v>42</v>
      </c>
      <c r="C45" s="34" t="n">
        <v>1815322.79</v>
      </c>
    </row>
    <row r="46" customFormat="false" ht="12.75" hidden="false" customHeight="false" outlineLevel="0" collapsed="false">
      <c r="A46" s="0" t="s">
        <v>43</v>
      </c>
      <c r="C46" s="34" t="n">
        <v>1815322.79</v>
      </c>
    </row>
    <row r="47" customFormat="false" ht="12.75" hidden="false" customHeight="false" outlineLevel="0" collapsed="false">
      <c r="A47" s="0" t="s">
        <v>44</v>
      </c>
      <c r="C47" s="34" t="n">
        <v>1815322.79</v>
      </c>
    </row>
    <row r="48" customFormat="false" ht="12.75" hidden="false" customHeight="false" outlineLevel="0" collapsed="false">
      <c r="A48" s="0" t="s">
        <v>45</v>
      </c>
      <c r="C48" s="34" t="n">
        <v>1815322.79</v>
      </c>
    </row>
    <row r="49" customFormat="false" ht="12.75" hidden="false" customHeight="false" outlineLevel="0" collapsed="false">
      <c r="A49" s="0" t="s">
        <v>46</v>
      </c>
      <c r="C49" s="34" t="n">
        <v>1815322.79</v>
      </c>
    </row>
    <row r="50" customFormat="false" ht="12.75" hidden="false" customHeight="false" outlineLevel="0" collapsed="false">
      <c r="A50" s="0" t="s">
        <v>47</v>
      </c>
      <c r="C50" s="34" t="n">
        <v>1815322.79</v>
      </c>
    </row>
    <row r="51" customFormat="false" ht="12.75" hidden="false" customHeight="false" outlineLevel="0" collapsed="false">
      <c r="A51" s="0" t="s">
        <v>48</v>
      </c>
      <c r="C51" s="34" t="n">
        <v>1815322.79</v>
      </c>
    </row>
    <row r="52" customFormat="false" ht="12.75" hidden="false" customHeight="false" outlineLevel="0" collapsed="false">
      <c r="A52" s="0" t="s">
        <v>49</v>
      </c>
      <c r="C52" s="34" t="n">
        <v>1815322.79</v>
      </c>
    </row>
    <row r="54" customFormat="false" ht="12.75" hidden="false" customHeight="false" outlineLevel="0" collapsed="false">
      <c r="C54" s="36" t="n">
        <f aca="false">SUM(C42:C53)</f>
        <v>19963867.88</v>
      </c>
    </row>
  </sheetData>
  <printOptions headings="false" gridLines="false" gridLinesSet="true" horizontalCentered="false" verticalCentered="false"/>
  <pageMargins left="0.179861111111111" right="0.170138888888889" top="0.25" bottom="0.25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F52" activeCellId="0" sqref="F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5" min="5" style="0" width="13.7"/>
    <col collapsed="false" customWidth="true" hidden="false" outlineLevel="0" max="6" min="6" style="0" width="14.41"/>
    <col collapsed="false" customWidth="true" hidden="false" outlineLevel="0" max="7" min="7" style="0" width="35.42"/>
    <col collapsed="false" customWidth="true" hidden="false" outlineLevel="0" max="8" min="8" style="0" width="36.56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false" ht="12.75" hidden="false" customHeight="false" outlineLevel="0" collapsed="false">
      <c r="A2" s="2" t="s">
        <v>50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2.75" hidden="false" customHeight="false" outlineLevel="0" collapsed="false">
      <c r="A3" s="2" t="s">
        <v>51</v>
      </c>
      <c r="B3" s="2"/>
      <c r="C3" s="2"/>
      <c r="D3" s="2"/>
      <c r="E3" s="2"/>
      <c r="F3" s="2"/>
      <c r="G3" s="2"/>
      <c r="H3" s="2"/>
      <c r="I3" s="2"/>
      <c r="J3" s="2"/>
    </row>
    <row r="4" customFormat="false" ht="12.75" hidden="false" customHeight="false" outlineLevel="0" collapsed="false">
      <c r="H4" s="0" t="n">
        <f aca="false">126538*0.98-2000</f>
        <v>122007.24</v>
      </c>
    </row>
    <row r="6" customFormat="false" ht="12.75" hidden="false" customHeight="false" outlineLevel="0" collapsed="false">
      <c r="A6" s="0" t="s">
        <v>52</v>
      </c>
      <c r="B6" s="7" t="s">
        <v>53</v>
      </c>
      <c r="C6" s="0" t="s">
        <v>54</v>
      </c>
      <c r="H6" s="33" t="n">
        <f aca="false">Data!E28</f>
        <v>952000</v>
      </c>
    </row>
    <row r="7" customFormat="false" ht="12.75" hidden="false" customHeight="false" outlineLevel="0" collapsed="false">
      <c r="B7" s="7"/>
    </row>
    <row r="8" customFormat="false" ht="12.75" hidden="false" customHeight="false" outlineLevel="0" collapsed="false">
      <c r="B8" s="7" t="s">
        <v>55</v>
      </c>
    </row>
    <row r="9" customFormat="false" ht="12.75" hidden="false" customHeight="false" outlineLevel="0" collapsed="false">
      <c r="B9" s="7"/>
    </row>
    <row r="10" customFormat="false" ht="12.75" hidden="false" customHeight="false" outlineLevel="0" collapsed="false">
      <c r="B10" s="7" t="s">
        <v>56</v>
      </c>
      <c r="C10" s="0" t="s">
        <v>57</v>
      </c>
      <c r="H10" s="3" t="n">
        <f aca="false">Data!K18</f>
        <v>22.5991046851773</v>
      </c>
      <c r="I10" s="4"/>
      <c r="J10" s="4"/>
    </row>
    <row r="11" customFormat="false" ht="12.75" hidden="false" customHeight="false" outlineLevel="0" collapsed="false">
      <c r="A11" s="5"/>
      <c r="B11" s="37"/>
      <c r="I11" s="5"/>
    </row>
    <row r="12" customFormat="false" ht="12.75" hidden="false" customHeight="false" outlineLevel="0" collapsed="false">
      <c r="A12" s="5"/>
      <c r="B12" s="37" t="s">
        <v>55</v>
      </c>
      <c r="I12" s="5"/>
    </row>
    <row r="13" customFormat="false" ht="12.75" hidden="false" customHeight="false" outlineLevel="0" collapsed="false">
      <c r="A13" s="5"/>
      <c r="B13" s="37"/>
      <c r="I13" s="5"/>
    </row>
    <row r="14" customFormat="false" ht="12.75" hidden="false" customHeight="false" outlineLevel="0" collapsed="false">
      <c r="A14" s="5"/>
      <c r="B14" s="37" t="s">
        <v>58</v>
      </c>
      <c r="C14" s="0" t="s">
        <v>59</v>
      </c>
      <c r="H14" s="0" t="n">
        <f aca="false">demand!D7</f>
        <v>0.816942733576642</v>
      </c>
      <c r="I14" s="5"/>
    </row>
    <row r="15" customFormat="false" ht="12.75" hidden="false" customHeight="false" outlineLevel="0" collapsed="false">
      <c r="A15" s="5"/>
      <c r="B15" s="37"/>
      <c r="I15" s="5"/>
    </row>
    <row r="16" customFormat="false" ht="12.75" hidden="false" customHeight="false" outlineLevel="0" collapsed="false">
      <c r="A16" s="6" t="s">
        <v>60</v>
      </c>
      <c r="B16" s="37"/>
      <c r="D16" s="7"/>
      <c r="I16" s="5"/>
    </row>
    <row r="17" customFormat="false" ht="12.75" hidden="false" customHeight="false" outlineLevel="0" collapsed="false">
      <c r="A17" s="5" t="s">
        <v>61</v>
      </c>
      <c r="B17" s="37"/>
      <c r="I17" s="5"/>
    </row>
    <row r="18" customFormat="false" ht="12.75" hidden="false" customHeight="false" outlineLevel="0" collapsed="false">
      <c r="A18" s="5"/>
      <c r="B18" s="37" t="s">
        <v>53</v>
      </c>
      <c r="C18" s="0" t="s">
        <v>62</v>
      </c>
      <c r="D18" s="8"/>
      <c r="I18" s="5"/>
    </row>
    <row r="19" customFormat="false" ht="12.75" hidden="false" customHeight="false" outlineLevel="0" collapsed="false">
      <c r="A19" s="5"/>
      <c r="B19" s="37"/>
      <c r="H19" s="36" t="n">
        <v>119000</v>
      </c>
      <c r="I19" s="5"/>
    </row>
    <row r="20" customFormat="false" ht="12.75" hidden="false" customHeight="false" outlineLevel="0" collapsed="false">
      <c r="A20" s="5"/>
      <c r="B20" s="7" t="s">
        <v>55</v>
      </c>
      <c r="I20" s="5"/>
    </row>
    <row r="21" customFormat="false" ht="12.75" hidden="false" customHeight="false" outlineLevel="0" collapsed="false">
      <c r="A21" s="5"/>
      <c r="B21" s="7"/>
      <c r="I21" s="5"/>
    </row>
    <row r="22" customFormat="false" ht="12.75" hidden="false" customHeight="false" outlineLevel="0" collapsed="false">
      <c r="A22" s="5"/>
      <c r="B22" s="7" t="s">
        <v>56</v>
      </c>
      <c r="C22" s="0" t="s">
        <v>63</v>
      </c>
      <c r="H22" s="0" t="n">
        <v>22.84</v>
      </c>
      <c r="I22" s="5"/>
    </row>
    <row r="23" customFormat="false" ht="12.75" hidden="false" customHeight="false" outlineLevel="0" collapsed="false">
      <c r="B23" s="7"/>
    </row>
    <row r="24" customFormat="false" ht="12.75" hidden="false" customHeight="false" outlineLevel="0" collapsed="false">
      <c r="B24" s="37" t="s">
        <v>55</v>
      </c>
    </row>
    <row r="25" customFormat="false" ht="12.75" hidden="false" customHeight="false" outlineLevel="0" collapsed="false">
      <c r="B25" s="37"/>
    </row>
    <row r="26" customFormat="false" ht="12.75" hidden="false" customHeight="false" outlineLevel="0" collapsed="false">
      <c r="B26" s="37" t="s">
        <v>58</v>
      </c>
      <c r="C26" s="0" t="s">
        <v>64</v>
      </c>
      <c r="D26" s="38"/>
      <c r="E26" s="15"/>
      <c r="F26" s="11"/>
      <c r="G26" s="13"/>
      <c r="H26" s="0" t="n">
        <f aca="false">demand!I7</f>
        <v>0.81134723540146</v>
      </c>
    </row>
    <row r="27" customFormat="false" ht="12.75" hidden="false" customHeight="false" outlineLevel="0" collapsed="false">
      <c r="B27" s="7"/>
    </row>
    <row r="28" customFormat="false" ht="12.75" hidden="false" customHeight="false" outlineLevel="0" collapsed="false">
      <c r="B28" s="7"/>
    </row>
    <row r="29" customFormat="false" ht="12.75" hidden="false" customHeight="false" outlineLevel="0" collapsed="false">
      <c r="B29" s="7"/>
    </row>
    <row r="30" customFormat="false" ht="12.75" hidden="false" customHeight="false" outlineLevel="0" collapsed="false">
      <c r="B30" s="7"/>
    </row>
    <row r="31" customFormat="false" ht="12.75" hidden="false" customHeight="false" outlineLevel="0" collapsed="false">
      <c r="B31" s="7"/>
    </row>
    <row r="32" customFormat="false" ht="12.75" hidden="false" customHeight="false" outlineLevel="0" collapsed="false">
      <c r="A32" s="0" t="s">
        <v>65</v>
      </c>
      <c r="B32" s="7"/>
    </row>
    <row r="33" customFormat="false" ht="12.75" hidden="false" customHeight="false" outlineLevel="0" collapsed="false">
      <c r="B33" s="7"/>
    </row>
    <row r="34" customFormat="false" ht="12.75" hidden="false" customHeight="false" outlineLevel="0" collapsed="false">
      <c r="B34" s="14"/>
      <c r="C34" s="14" t="s">
        <v>66</v>
      </c>
    </row>
    <row r="35" customFormat="false" ht="12.75" hidden="false" customHeight="false" outlineLevel="0" collapsed="false">
      <c r="B35" s="7"/>
    </row>
    <row r="36" customFormat="false" ht="12.75" hidden="false" customHeight="false" outlineLevel="0" collapsed="false">
      <c r="B36" s="7"/>
    </row>
    <row r="37" customFormat="false" ht="12.75" hidden="false" customHeight="false" outlineLevel="0" collapsed="false">
      <c r="B37" s="7"/>
    </row>
    <row r="38" customFormat="false" ht="12.75" hidden="false" customHeight="false" outlineLevel="0" collapsed="false">
      <c r="B38" s="7"/>
      <c r="C38" s="0" t="s">
        <v>52</v>
      </c>
      <c r="D38" s="0" t="s">
        <v>11</v>
      </c>
      <c r="E38" s="0" t="s">
        <v>67</v>
      </c>
      <c r="G38" s="36" t="n">
        <f aca="false">H6*H10*H14</f>
        <v>17575989.9887146</v>
      </c>
    </row>
    <row r="39" customFormat="false" ht="12.75" hidden="false" customHeight="false" outlineLevel="0" collapsed="false">
      <c r="B39" s="7"/>
    </row>
    <row r="40" customFormat="false" ht="12.75" hidden="false" customHeight="false" outlineLevel="0" collapsed="false">
      <c r="C40" s="0" t="s">
        <v>61</v>
      </c>
      <c r="D40" s="0" t="s">
        <v>11</v>
      </c>
      <c r="E40" s="0" t="s">
        <v>67</v>
      </c>
      <c r="G40" s="34" t="n">
        <f aca="false">H19*H22*H26</f>
        <v>2205209.33193175</v>
      </c>
      <c r="H40" s="36" t="n">
        <f aca="false">G40+G38</f>
        <v>19781199.3206463</v>
      </c>
    </row>
    <row r="42" customFormat="false" ht="12.75" hidden="false" customHeight="false" outlineLevel="0" collapsed="false">
      <c r="C42" s="0" t="s">
        <v>68</v>
      </c>
      <c r="E42" s="0" t="s">
        <v>67</v>
      </c>
      <c r="G42" s="36"/>
    </row>
    <row r="44" customFormat="false" ht="12.75" hidden="false" customHeight="false" outlineLevel="0" collapsed="false">
      <c r="C44" s="0" t="s">
        <v>69</v>
      </c>
      <c r="E44" s="0" t="s">
        <v>67</v>
      </c>
      <c r="G44" s="34"/>
    </row>
    <row r="50" customFormat="false" ht="12.75" hidden="false" customHeight="false" outlineLevel="0" collapsed="false">
      <c r="C50" s="0" t="s">
        <v>70</v>
      </c>
    </row>
    <row r="52" customFormat="false" ht="12.75" hidden="false" customHeight="false" outlineLevel="0" collapsed="false">
      <c r="C52" s="0" t="s">
        <v>71</v>
      </c>
      <c r="F52" s="39" t="n">
        <f aca="false">demand!E36</f>
        <v>19968550.7091475</v>
      </c>
    </row>
    <row r="53" customFormat="false" ht="12.75" hidden="false" customHeight="false" outlineLevel="0" collapsed="false">
      <c r="C53" s="0" t="s">
        <v>72</v>
      </c>
      <c r="F53" s="36" t="n">
        <f aca="false">G38+G40</f>
        <v>19781199.3206463</v>
      </c>
    </row>
    <row r="54" customFormat="false" ht="13.5" hidden="false" customHeight="false" outlineLevel="0" collapsed="false">
      <c r="F54" s="36"/>
    </row>
    <row r="55" customFormat="false" ht="13.5" hidden="false" customHeight="false" outlineLevel="0" collapsed="false">
      <c r="E55" s="0" t="s">
        <v>73</v>
      </c>
      <c r="F55" s="40" t="n">
        <f aca="false">F52-F53</f>
        <v>187351.388501193</v>
      </c>
      <c r="G55" s="0" t="s">
        <v>74</v>
      </c>
    </row>
  </sheetData>
  <mergeCells count="4">
    <mergeCell ref="A1:J1"/>
    <mergeCell ref="A2:J2"/>
    <mergeCell ref="A3:J3"/>
    <mergeCell ref="I10:J10"/>
  </mergeCells>
  <printOptions headings="false" gridLines="false" gridLinesSet="true" horizontalCentered="false" verticalCentered="false"/>
  <pageMargins left="0.4" right="0.45" top="0.390277777777778" bottom="0.259722222222222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9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E36" activeCellId="0" sqref="E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7"/>
    <col collapsed="false" customWidth="true" hidden="false" outlineLevel="0" max="7" min="7" style="0" width="15.99"/>
    <col collapsed="false" customWidth="true" hidden="false" outlineLevel="0" max="8" min="8" style="0" width="6.56"/>
    <col collapsed="false" customWidth="true" hidden="false" outlineLevel="0" max="9" min="9" style="0" width="11.28"/>
    <col collapsed="false" customWidth="true" hidden="false" outlineLevel="0" max="12" min="12" style="0" width="13.56"/>
    <col collapsed="false" customWidth="true" hidden="false" outlineLevel="0" max="13" min="13" style="0" width="3.99"/>
  </cols>
  <sheetData>
    <row r="1" customFormat="false" ht="12.75" hidden="false" customHeight="false" outlineLevel="0" collapsed="false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2.75" hidden="false" customHeight="false" outlineLevel="0" collapsed="false">
      <c r="A2" s="2" t="s">
        <v>76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2.75" hidden="false" customHeight="false" outlineLevel="0" collapsed="false">
      <c r="A3" s="2" t="s">
        <v>77</v>
      </c>
      <c r="B3" s="2"/>
      <c r="C3" s="2"/>
      <c r="D3" s="2"/>
      <c r="E3" s="2"/>
      <c r="F3" s="2"/>
      <c r="G3" s="2"/>
      <c r="H3" s="2"/>
      <c r="I3" s="2"/>
      <c r="J3" s="2"/>
    </row>
    <row r="6" customFormat="false" ht="12.75" hidden="false" customHeight="false" outlineLevel="0" collapsed="false">
      <c r="A6" s="0" t="s">
        <v>78</v>
      </c>
      <c r="F6" s="0" t="s">
        <v>79</v>
      </c>
    </row>
    <row r="7" customFormat="false" ht="12.75" hidden="false" customHeight="false" outlineLevel="0" collapsed="false">
      <c r="A7" s="0" t="s">
        <v>80</v>
      </c>
      <c r="D7" s="0" t="n">
        <f aca="false">0.73*C13</f>
        <v>0.816942733576642</v>
      </c>
      <c r="F7" s="0" t="s">
        <v>81</v>
      </c>
      <c r="I7" s="0" t="n">
        <f aca="false">0.725*C13</f>
        <v>0.81134723540146</v>
      </c>
    </row>
    <row r="10" customFormat="false" ht="15.75" hidden="false" customHeight="false" outlineLevel="0" collapsed="false">
      <c r="A10" s="0" t="s">
        <v>82</v>
      </c>
      <c r="G10" s="0" t="s">
        <v>5</v>
      </c>
      <c r="H10" s="3" t="n">
        <v>137</v>
      </c>
      <c r="I10" s="4" t="s">
        <v>6</v>
      </c>
      <c r="J10" s="4"/>
    </row>
    <row r="11" customFormat="false" ht="12.75" hidden="false" customHeight="false" outlineLevel="0" collapsed="false">
      <c r="A11" s="0" t="s">
        <v>83</v>
      </c>
      <c r="C11" s="0" t="s">
        <v>84</v>
      </c>
      <c r="D11" s="0" t="n">
        <f aca="false">J23/H10</f>
        <v>1.23819927007299</v>
      </c>
      <c r="E11" s="0" t="s">
        <v>85</v>
      </c>
      <c r="I11" s="5" t="n">
        <v>36161</v>
      </c>
      <c r="J11" s="0" t="n">
        <v>166.2</v>
      </c>
    </row>
    <row r="12" customFormat="false" ht="12.75" hidden="false" customHeight="false" outlineLevel="0" collapsed="false">
      <c r="A12" s="0" t="s">
        <v>83</v>
      </c>
      <c r="C12" s="0" t="s">
        <v>86</v>
      </c>
      <c r="D12" s="0" t="n">
        <f aca="false">D11-1</f>
        <v>0.238199270072993</v>
      </c>
      <c r="E12" s="0" t="s">
        <v>87</v>
      </c>
      <c r="I12" s="5" t="n">
        <v>36192</v>
      </c>
      <c r="J12" s="0" t="n">
        <v>166.3</v>
      </c>
    </row>
    <row r="13" customFormat="false" ht="12.75" hidden="false" customHeight="false" outlineLevel="0" collapsed="false">
      <c r="A13" s="0" t="s">
        <v>88</v>
      </c>
      <c r="C13" s="0" t="n">
        <f aca="false">1+(0.5*D12)</f>
        <v>1.1190996350365</v>
      </c>
      <c r="I13" s="5" t="n">
        <v>36220</v>
      </c>
      <c r="J13" s="0" t="n">
        <v>166.4</v>
      </c>
    </row>
    <row r="14" customFormat="false" ht="12.75" hidden="false" customHeight="false" outlineLevel="0" collapsed="false">
      <c r="I14" s="5" t="n">
        <v>36251</v>
      </c>
      <c r="J14" s="0" t="n">
        <v>166.7</v>
      </c>
    </row>
    <row r="15" customFormat="false" ht="12.75" hidden="false" customHeight="false" outlineLevel="0" collapsed="false">
      <c r="I15" s="5" t="n">
        <v>36281</v>
      </c>
      <c r="J15" s="0" t="n">
        <v>168</v>
      </c>
      <c r="L15" s="41" t="n">
        <v>36526</v>
      </c>
      <c r="M15" s="0" t="n">
        <f aca="false">L16-L15</f>
        <v>192</v>
      </c>
    </row>
    <row r="16" customFormat="false" ht="12.75" hidden="false" customHeight="false" outlineLevel="0" collapsed="false">
      <c r="A16" s="0" t="s">
        <v>89</v>
      </c>
      <c r="B16" s="0" t="s">
        <v>90</v>
      </c>
      <c r="D16" s="7" t="n">
        <f aca="false">ROUND(322/365*9,0)</f>
        <v>8</v>
      </c>
      <c r="I16" s="5" t="n">
        <v>36312</v>
      </c>
      <c r="J16" s="0" t="n">
        <v>169.1</v>
      </c>
      <c r="L16" s="41" t="n">
        <v>36718</v>
      </c>
      <c r="M16" s="0" t="n">
        <f aca="false">L17-L16</f>
        <v>174</v>
      </c>
    </row>
    <row r="17" customFormat="false" ht="12.75" hidden="false" customHeight="false" outlineLevel="0" collapsed="false">
      <c r="I17" s="5" t="n">
        <v>36342</v>
      </c>
      <c r="J17" s="0" t="n">
        <v>170.2</v>
      </c>
      <c r="L17" s="41" t="n">
        <v>36892</v>
      </c>
      <c r="M17" s="0" t="n">
        <f aca="false">L17-L15</f>
        <v>366</v>
      </c>
    </row>
    <row r="18" customFormat="false" ht="12.75" hidden="false" customHeight="false" outlineLevel="0" collapsed="false">
      <c r="A18" s="0" t="s">
        <v>91</v>
      </c>
      <c r="D18" s="8" t="n">
        <v>119000</v>
      </c>
      <c r="E18" s="0" t="s">
        <v>92</v>
      </c>
      <c r="I18" s="5" t="n">
        <v>36373</v>
      </c>
      <c r="J18" s="0" t="n">
        <v>171.1</v>
      </c>
    </row>
    <row r="19" customFormat="false" ht="12.75" hidden="false" customHeight="false" outlineLevel="0" collapsed="false">
      <c r="I19" s="5" t="n">
        <v>36404</v>
      </c>
      <c r="J19" s="0" t="n">
        <v>172.5</v>
      </c>
    </row>
    <row r="20" customFormat="false" ht="12.75" hidden="false" customHeight="false" outlineLevel="0" collapsed="false">
      <c r="I20" s="5" t="n">
        <v>36434</v>
      </c>
      <c r="J20" s="0" t="n">
        <v>173</v>
      </c>
    </row>
    <row r="21" customFormat="false" ht="12.75" hidden="false" customHeight="false" outlineLevel="0" collapsed="false">
      <c r="I21" s="5" t="n">
        <v>36465</v>
      </c>
      <c r="J21" s="0" t="n">
        <v>172.5</v>
      </c>
    </row>
    <row r="22" customFormat="false" ht="12.75" hidden="false" customHeight="false" outlineLevel="0" collapsed="false">
      <c r="I22" s="5" t="n">
        <v>36495</v>
      </c>
      <c r="J22" s="0" t="n">
        <v>173.6</v>
      </c>
    </row>
    <row r="23" customFormat="false" ht="12.75" hidden="false" customHeight="false" outlineLevel="0" collapsed="false">
      <c r="I23" s="0" t="s">
        <v>7</v>
      </c>
      <c r="J23" s="0" t="n">
        <f aca="false">ROUND(AVERAGE(J11:J22),4)</f>
        <v>169.6333</v>
      </c>
    </row>
    <row r="25" customFormat="false" ht="12.75" hidden="false" customHeight="false" outlineLevel="0" collapsed="false">
      <c r="A25" s="0" t="s">
        <v>93</v>
      </c>
    </row>
    <row r="27" customFormat="false" ht="12.75" hidden="false" customHeight="false" outlineLevel="0" collapsed="false">
      <c r="A27" s="12" t="s">
        <v>94</v>
      </c>
      <c r="B27" s="12"/>
      <c r="C27" s="12"/>
      <c r="D27" s="12"/>
      <c r="E27" s="12"/>
      <c r="F27" s="12"/>
      <c r="G27" s="12"/>
      <c r="H27" s="12"/>
      <c r="I27" s="12"/>
    </row>
    <row r="28" customFormat="false" ht="12.75" hidden="false" customHeight="false" outlineLevel="0" collapsed="false">
      <c r="C28" s="0" t="s">
        <v>95</v>
      </c>
    </row>
    <row r="30" customFormat="false" ht="12.75" hidden="false" customHeight="false" outlineLevel="0" collapsed="false">
      <c r="A30" s="16" t="s">
        <v>93</v>
      </c>
      <c r="B30" s="16"/>
      <c r="C30" s="16"/>
      <c r="D30" s="16"/>
      <c r="E30" s="12" t="s">
        <v>96</v>
      </c>
      <c r="F30" s="12"/>
      <c r="G30" s="12"/>
      <c r="H30" s="12"/>
      <c r="I30" s="12"/>
      <c r="J30" s="12"/>
    </row>
    <row r="31" customFormat="false" ht="12.75" hidden="false" customHeight="false" outlineLevel="0" collapsed="false">
      <c r="G31" s="0" t="n">
        <v>11</v>
      </c>
    </row>
    <row r="33" customFormat="false" ht="12.75" hidden="false" customHeight="false" outlineLevel="0" collapsed="false">
      <c r="D33" s="11" t="s">
        <v>11</v>
      </c>
      <c r="E33" s="12" t="n">
        <f aca="false">D7*D16*D18*22.84</f>
        <v>17763341.3772158</v>
      </c>
      <c r="F33" s="42" t="s">
        <v>16</v>
      </c>
      <c r="G33" s="12" t="n">
        <f aca="false">I7*119000*22.84</f>
        <v>2205209.33193175</v>
      </c>
    </row>
    <row r="34" customFormat="false" ht="12.75" hidden="false" customHeight="false" outlineLevel="0" collapsed="false">
      <c r="F34" s="7" t="n">
        <v>11</v>
      </c>
    </row>
    <row r="36" customFormat="false" ht="12.75" hidden="false" customHeight="false" outlineLevel="0" collapsed="false">
      <c r="D36" s="11" t="s">
        <v>11</v>
      </c>
      <c r="E36" s="43" t="n">
        <f aca="false">E33+G33</f>
        <v>19968550.7091475</v>
      </c>
      <c r="G36" s="36" t="n">
        <f aca="false">reconcilation!H40</f>
        <v>19781199.3206463</v>
      </c>
      <c r="I36" s="36" t="n">
        <f aca="false">E36-G36</f>
        <v>187351.388501193</v>
      </c>
    </row>
    <row r="37" customFormat="false" ht="12.75" hidden="false" customHeight="false" outlineLevel="0" collapsed="false">
      <c r="D37" s="11"/>
      <c r="E37" s="7" t="n">
        <v>11</v>
      </c>
    </row>
    <row r="39" customFormat="false" ht="12.75" hidden="false" customHeight="false" outlineLevel="0" collapsed="false">
      <c r="D39" s="11" t="s">
        <v>11</v>
      </c>
      <c r="E39" s="19" t="n">
        <f aca="false">E36/E37</f>
        <v>1815322.79174068</v>
      </c>
    </row>
  </sheetData>
  <mergeCells count="4">
    <mergeCell ref="A1:J1"/>
    <mergeCell ref="A2:J2"/>
    <mergeCell ref="A3:J3"/>
    <mergeCell ref="I10:J10"/>
  </mergeCells>
  <printOptions headings="false" gridLines="false" gridLinesSet="true" horizontalCentered="false" verticalCentered="false"/>
  <pageMargins left="0.4" right="0.4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2000-05-01T10:34:15Z</dcterms:created>
  <dc:creator>Chuck Hagedorn</dc:creator>
  <dc:description/>
  <dc:language>en-US</dc:language>
  <cp:lastModifiedBy>C Skinner</cp:lastModifiedBy>
  <cp:lastPrinted>2001-02-13T08:40:08Z</cp:lastPrinted>
  <cp:revision>0</cp:revision>
  <dc:subject/>
  <dc:title/>
</cp:coreProperties>
</file>