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&amp; Pooling" sheetId="1" state="visible" r:id="rId3"/>
    <sheet name="CES IT" sheetId="2" state="visible" r:id="rId4"/>
    <sheet name="Mrkt East Capacity" sheetId="3" state="visible" r:id="rId5"/>
    <sheet name="East Capacity" sheetId="4" state="visible" r:id="rId6"/>
    <sheet name="Matrix Aug" sheetId="5" state="visible" r:id="rId7"/>
    <sheet name="Rates" sheetId="6" state="visible" r:id="rId8"/>
    <sheet name="Offseason Rate" sheetId="7" state="visible" r:id="rId9"/>
    <sheet name="Special Rates" sheetId="8" state="visible" r:id="rId10"/>
    <sheet name="Dmd Chrg Calc" sheetId="9" state="visible" r:id="rId11"/>
    <sheet name="Basis" sheetId="10" state="visible" r:id="rId12"/>
    <sheet name="Cashout" sheetId="11" state="visible" r:id="rId13"/>
    <sheet name="Sheet2" sheetId="12" state="visible" r:id="rId14"/>
    <sheet name="Transport Deal Tickets" sheetId="13" state="visible" r:id="rId15"/>
  </sheets>
  <definedNames>
    <definedName function="false" hidden="false" localSheetId="9" name="_xlnm.Print_Area" vbProcedure="false">Basis!$A$33:$I$42</definedName>
    <definedName function="false" hidden="false" localSheetId="4" name="_xlnm.Print_Area" vbProcedure="false">'Matrix Aug'!$A$3:$L$67</definedName>
    <definedName function="false" hidden="false" localSheetId="2" name="_xlnm.Print_Area" vbProcedure="false">'Mrkt East Capacity'!$A$34:$U$46</definedName>
    <definedName function="false" hidden="false" localSheetId="5" name="_xlnm.Print_Area" vbProcedure="false">Rates!$S$1:$X$72</definedName>
    <definedName function="false" hidden="false" localSheetId="12" name="_xlnm.Print_Area" vbProcedure="false">'Transport Deal Tickets'!$A$13:$I$50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<sst xmlns="http://schemas.openxmlformats.org/spreadsheetml/2006/main" count="4129" uniqueCount="1126">
  <si>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</si>
  <si>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</si>
  <si>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</si>
  <si>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</si>
  <si>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</si>
  <si>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</si>
  <si>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</si>
  <si>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</si>
  <si>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</si>
  <si>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</si>
  <si>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</si>
  <si>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</si>
  <si>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</si>
  <si>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</si>
  <si>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</si>
  <si>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</si>
  <si>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</si>
  <si>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</si>
  <si>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</si>
  <si>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</si>
  <si>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</si>
  <si>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</si>
  <si>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</si>
  <si>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</si>
  <si>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</si>
  <si>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</si>
  <si>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</si>
  <si>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</si>
  <si>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</si>
  <si>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</si>
  <si>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</si>
  <si>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</si>
  <si>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</si>
  <si>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</si>
  <si>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</si>
  <si>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</si>
  <si>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</si>
  <si>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</si>
  <si>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</si>
  <si>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</si>
  <si>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</si>
  <si>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</si>
  <si>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</si>
  <si>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</si>
  <si>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</si>
  <si>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</si>
  <si>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</si>
  <si>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</si>
  <si>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</si>
  <si>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</si>
  <si>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</si>
  <si>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</si>
  <si>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buy</t>
  </si>
  <si>
    <t xml:space="preserve">1/1/2000 Evergreen</t>
  </si>
  <si>
    <t xml:space="preserve">G0010</t>
  </si>
  <si>
    <t xml:space="preserve">8G0010</t>
  </si>
  <si>
    <t xml:space="preserve">G0011</t>
  </si>
  <si>
    <t xml:space="preserve">8G0011</t>
  </si>
  <si>
    <t xml:space="preserve">G0012</t>
  </si>
  <si>
    <t xml:space="preserve">8G0012</t>
  </si>
  <si>
    <t xml:space="preserve">G0013</t>
  </si>
  <si>
    <t xml:space="preserve">8G0013</t>
  </si>
  <si>
    <t xml:space="preserve">G0014</t>
  </si>
  <si>
    <t xml:space="preserve">8G0014</t>
  </si>
  <si>
    <t xml:space="preserve">T0010</t>
  </si>
  <si>
    <t xml:space="preserve">8T0010</t>
  </si>
  <si>
    <t xml:space="preserve">T0011</t>
  </si>
  <si>
    <t xml:space="preserve">8T0011</t>
  </si>
  <si>
    <t xml:space="preserve">T0012</t>
  </si>
  <si>
    <t xml:space="preserve">8T0012</t>
  </si>
  <si>
    <t xml:space="preserve">T0013</t>
  </si>
  <si>
    <t xml:space="preserve">8T0013</t>
  </si>
  <si>
    <t xml:space="preserve">T0014</t>
  </si>
  <si>
    <t xml:space="preserve">8T0014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</si>
  <si>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</si>
  <si>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</si>
  <si>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</si>
  <si>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</si>
  <si>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</si>
  <si>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</si>
  <si>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</si>
  <si>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</si>
  <si>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</si>
  <si>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</si>
  <si>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</si>
  <si>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</si>
  <si>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</si>
  <si>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</si>
  <si>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</si>
  <si>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</si>
  <si>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</si>
  <si>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</si>
  <si>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</si>
  <si>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</si>
  <si>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</si>
  <si>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</si>
  <si>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</si>
  <si>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</si>
  <si>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</si>
  <si>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</si>
  <si>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</si>
  <si>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</si>
  <si>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</si>
  <si>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</si>
  <si>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</si>
  <si>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</si>
  <si>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</si>
  <si>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</si>
  <si>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</si>
  <si>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</si>
  <si>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</si>
  <si>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</si>
  <si>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</si>
  <si>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</si>
  <si>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</si>
  <si>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</si>
  <si>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</si>
  <si>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</si>
  <si>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</si>
  <si>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</si>
  <si>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</si>
  <si>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</si>
  <si>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</si>
  <si>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</si>
  <si>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</si>
  <si>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</si>
  <si>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</si>
  <si>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</si>
  <si>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</si>
  <si>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</si>
  <si>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</si>
  <si>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</si>
  <si>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</si>
  <si>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</si>
  <si>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</si>
  <si>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</si>
  <si>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</si>
  <si>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</si>
  <si>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</si>
  <si>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</si>
  <si>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</si>
  <si>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</si>
  <si>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</si>
  <si>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</si>
  <si>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</si>
  <si>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</si>
  <si>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Market East Desk Transportation Capacity for August, 2000</t>
  </si>
  <si>
    <t xml:space="preserve">New K#</t>
  </si>
  <si>
    <t xml:space="preserve">New Sitara</t>
  </si>
  <si>
    <t xml:space="preserve">ENA</t>
  </si>
  <si>
    <t xml:space="preserve">Algo</t>
  </si>
  <si>
    <t xml:space="preserve">Bay State</t>
  </si>
  <si>
    <t xml:space="preserve">Lambertville</t>
  </si>
  <si>
    <t xml:space="preserve">Taunton</t>
  </si>
  <si>
    <t xml:space="preserve">Y</t>
  </si>
  <si>
    <t xml:space="preserve">#3679</t>
  </si>
  <si>
    <t xml:space="preserve">#3665</t>
  </si>
  <si>
    <t xml:space="preserve">Centerville</t>
  </si>
  <si>
    <t xml:space="preserve">Commonwealth</t>
  </si>
  <si>
    <t xml:space="preserve">Cambridge</t>
  </si>
  <si>
    <t xml:space="preserve">N</t>
  </si>
  <si>
    <t xml:space="preserve">#3725</t>
  </si>
  <si>
    <t xml:space="preserve">#3726</t>
  </si>
  <si>
    <t xml:space="preserve">eff 10/1/2000</t>
  </si>
  <si>
    <t xml:space="preserve">Total Demand</t>
  </si>
  <si>
    <t xml:space="preserve">Reimbursements</t>
  </si>
  <si>
    <t xml:space="preserve">Net Demand</t>
  </si>
  <si>
    <t xml:space="preserve">Buy </t>
  </si>
  <si>
    <t xml:space="preserve">BG&amp;E</t>
  </si>
  <si>
    <t xml:space="preserve">Oakford</t>
  </si>
  <si>
    <t xml:space="preserve">n</t>
  </si>
  <si>
    <t xml:space="preserve">5A2500</t>
  </si>
  <si>
    <t xml:space="preserve">#13343</t>
  </si>
  <si>
    <t xml:space="preserve">Cornwell</t>
  </si>
  <si>
    <t xml:space="preserve">5A2551</t>
  </si>
  <si>
    <t xml:space="preserve">#13420</t>
  </si>
  <si>
    <t xml:space="preserve">Lebanon</t>
  </si>
  <si>
    <t xml:space="preserve">Leidy</t>
  </si>
  <si>
    <t xml:space="preserve">5A2526</t>
  </si>
  <si>
    <t xml:space="preserve">#13336</t>
  </si>
  <si>
    <t xml:space="preserve">PP&amp;L</t>
  </si>
  <si>
    <t xml:space="preserve">#60002 Leidy</t>
  </si>
  <si>
    <t xml:space="preserve">#20800 PP&amp;L</t>
  </si>
  <si>
    <t xml:space="preserve">#14068</t>
  </si>
  <si>
    <t xml:space="preserve">released month to month</t>
  </si>
  <si>
    <t xml:space="preserve">Month to Month</t>
  </si>
  <si>
    <t xml:space="preserve">gathering &amp; processing</t>
  </si>
  <si>
    <t xml:space="preserve">Various</t>
  </si>
  <si>
    <t xml:space="preserve">801 Leach</t>
  </si>
  <si>
    <t xml:space="preserve">Purchased directly from pipe.</t>
  </si>
  <si>
    <t xml:space="preserve">23N-7</t>
  </si>
  <si>
    <t xml:space="preserve">Cap Auction</t>
  </si>
  <si>
    <t xml:space="preserve">19E</t>
  </si>
  <si>
    <t xml:space="preserve">Stow</t>
  </si>
  <si>
    <t xml:space="preserve">30CS-33</t>
  </si>
  <si>
    <t xml:space="preserve">CGV Transport</t>
  </si>
  <si>
    <t xml:space="preserve">30RV - Richmond</t>
  </si>
  <si>
    <t xml:space="preserve">Dynegy - released month to month</t>
  </si>
  <si>
    <t xml:space="preserve">Dynegy cap. released month to month 7500@.02</t>
  </si>
  <si>
    <t xml:space="preserve">Term Cap</t>
  </si>
  <si>
    <t xml:space="preserve">Call Nira 713-767-8148 or Marilyn 767-6324</t>
  </si>
  <si>
    <t xml:space="preserve">Penn Fuel</t>
  </si>
  <si>
    <t xml:space="preserve">56-25 PFG-04 Lancaster</t>
  </si>
  <si>
    <t xml:space="preserve">#26782, Penn Fuel asset management capacity</t>
  </si>
  <si>
    <t xml:space="preserve">56-29 PFG-04 Downington</t>
  </si>
  <si>
    <t xml:space="preserve">56W PFG-08 Olean</t>
  </si>
  <si>
    <t xml:space="preserve">UGI/Gas Mark</t>
  </si>
  <si>
    <t xml:space="preserve">Release to Retail</t>
  </si>
  <si>
    <t xml:space="preserve">801 - Leach</t>
  </si>
  <si>
    <t xml:space="preserve">4 BG&amp;E</t>
  </si>
  <si>
    <t xml:space="preserve">FTS</t>
  </si>
  <si>
    <t xml:space="preserve">ENA purchased from CES</t>
  </si>
  <si>
    <t xml:space="preserve">Singer</t>
  </si>
  <si>
    <t xml:space="preserve">Leach</t>
  </si>
  <si>
    <t xml:space="preserve">FTS-1</t>
  </si>
  <si>
    <t xml:space="preserve">#29578</t>
  </si>
  <si>
    <t xml:space="preserve">Wholesale</t>
  </si>
  <si>
    <t xml:space="preserve">Agency</t>
  </si>
  <si>
    <t xml:space="preserve">CALP</t>
  </si>
  <si>
    <t xml:space="preserve">Broad run</t>
  </si>
  <si>
    <t xml:space="preserve">$.02 Volumetric Rate effective 6/1/2000 - 7/7/2000</t>
  </si>
  <si>
    <t xml:space="preserve">Type</t>
  </si>
  <si>
    <t xml:space="preserve">CVPT</t>
  </si>
  <si>
    <t xml:space="preserve">Cove Point</t>
  </si>
  <si>
    <t xml:space="preserve">Strg</t>
  </si>
  <si>
    <t xml:space="preserve">FPS</t>
  </si>
  <si>
    <t xml:space="preserve">FPS1024</t>
  </si>
  <si>
    <t xml:space="preserve">10 day peaking service from Cove Point, max daily withdrawal is 36,000/day.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</si>
  <si>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</si>
  <si>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</si>
  <si>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</si>
  <si>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</si>
  <si>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</si>
  <si>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</si>
  <si>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</si>
  <si>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</si>
  <si>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Est demand</t>
  </si>
  <si>
    <t xml:space="preserve">Act demand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</si>
  <si>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</si>
  <si>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</si>
  <si>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</si>
  <si>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</si>
  <si>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</si>
  <si>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</si>
  <si>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B00693-026471</t>
  </si>
  <si>
    <t xml:space="preserve">Demand charge billed on receipt volume</t>
  </si>
  <si>
    <t xml:space="preserve">O02354</t>
  </si>
  <si>
    <t xml:space="preserve">Nat Fuel will bill ENA $.125 x 1,000,000 total, this charge will be split up over 3 months.</t>
  </si>
  <si>
    <t xml:space="preserve">N02355</t>
  </si>
  <si>
    <t xml:space="preserve">tennessee</t>
  </si>
  <si>
    <t xml:space="preserve">Z5 - Wright</t>
  </si>
  <si>
    <t xml:space="preserve">Z6 - Various</t>
  </si>
  <si>
    <t xml:space="preserve">y</t>
  </si>
  <si>
    <t xml:space="preserve">13.36, see deal 224102</t>
  </si>
  <si>
    <t xml:space="preserve">93036/229817</t>
  </si>
  <si>
    <t xml:space="preserve">Energynorth</t>
  </si>
  <si>
    <t xml:space="preserve">TGP</t>
  </si>
  <si>
    <t xml:space="preserve">Zone 6</t>
  </si>
  <si>
    <t xml:space="preserve">Zone 5</t>
  </si>
  <si>
    <t xml:space="preserve">Zone 4</t>
  </si>
  <si>
    <t xml:space="preserve">318498/318507</t>
  </si>
  <si>
    <t xml:space="preserve">347098/347100</t>
  </si>
  <si>
    <t xml:space="preserve">347101/347104</t>
  </si>
  <si>
    <t xml:space="preserve">347095/347097</t>
  </si>
  <si>
    <t xml:space="preserve">347088/347094</t>
  </si>
  <si>
    <t xml:space="preserve">El Paso</t>
  </si>
  <si>
    <t xml:space="preserve">Z1</t>
  </si>
  <si>
    <t xml:space="preserve">  </t>
  </si>
  <si>
    <t xml:space="preserve">fuel $</t>
  </si>
  <si>
    <t xml:space="preserve">Trco</t>
  </si>
  <si>
    <t xml:space="preserve">PSE&amp;G</t>
  </si>
  <si>
    <t xml:space="preserve">6161 Leidy</t>
  </si>
  <si>
    <t xml:space="preserve">6386 PSE&amp;G</t>
  </si>
  <si>
    <t xml:space="preserve">3.4522 / 3.4367</t>
  </si>
  <si>
    <t xml:space="preserve">#019123 schedule on k#3.4367</t>
  </si>
  <si>
    <t xml:space="preserve">3.5318 / 3.4367</t>
  </si>
  <si>
    <t xml:space="preserve">#019885-3 schedule on k#3.4367</t>
  </si>
  <si>
    <t xml:space="preserve">Total Market East Demand</t>
  </si>
  <si>
    <t xml:space="preserve">Tot Reimbursements</t>
  </si>
  <si>
    <t xml:space="preserve">East Desk Transportation Capacity for August, 2000</t>
  </si>
  <si>
    <t xml:space="preserve">Month</t>
  </si>
  <si>
    <t xml:space="preserve">Onshore</t>
  </si>
  <si>
    <t xml:space="preserve">Mainline</t>
  </si>
  <si>
    <t xml:space="preserve">Term=yr to yr, evergreen with 6 month termination notice.  ENA acquired this from Access Energy in 1993</t>
  </si>
  <si>
    <t xml:space="preserve">Onshore - authorized overrun</t>
  </si>
  <si>
    <t xml:space="preserve">FGT, Trco, &amp; Lig</t>
  </si>
  <si>
    <t xml:space="preserve">Tiered- FGT-.02/LIG .015/Tran .01</t>
  </si>
  <si>
    <t xml:space="preserve">Brazos 105</t>
  </si>
  <si>
    <t xml:space="preserve">Trco St 30</t>
  </si>
  <si>
    <t xml:space="preserve">Central Texas</t>
  </si>
  <si>
    <t xml:space="preserve">ENA acquired this from Access Energy in 1993</t>
  </si>
  <si>
    <t xml:space="preserve">Venice</t>
  </si>
  <si>
    <t xml:space="preserve">Onshore capacity - 20,000 day Venice receipt, CES has exclusive right of termination.</t>
  </si>
  <si>
    <t xml:space="preserve">Mainline capacity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</si>
  <si>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</si>
  <si>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</si>
  <si>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</si>
  <si>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</si>
  <si>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Onshore capacity - 5,395 venice capacity.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</si>
  <si>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</si>
  <si>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</si>
  <si>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</si>
  <si>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3/24/2000 Veronica with CGLF will try to find the contract terms for this deal.</t>
  </si>
  <si>
    <t xml:space="preserve">Belfry</t>
  </si>
  <si>
    <t xml:space="preserve">270010 Rayne</t>
  </si>
  <si>
    <t xml:space="preserve">#26785, Penn Fuel</t>
  </si>
  <si>
    <t xml:space="preserve">Retail Release</t>
  </si>
  <si>
    <t xml:space="preserve">CES </t>
  </si>
  <si>
    <t xml:space="preserve">Egan Hub Partners, LP</t>
  </si>
  <si>
    <t xml:space="preserve">FSS</t>
  </si>
  <si>
    <t xml:space="preserve">FSS-001</t>
  </si>
  <si>
    <t xml:space="preserve">Egan storage, John Hodge is the dealmaker, interconnects with Trunk, Tenn, TGT, CGLF, TGT, ANR.  No withdrawal charges, Injection = $.005 and 1.5% fuel</t>
  </si>
  <si>
    <t xml:space="preserve">MidCoast</t>
  </si>
  <si>
    <t xml:space="preserve">Sheffield</t>
  </si>
  <si>
    <t xml:space="preserve">Russellville</t>
  </si>
  <si>
    <t xml:space="preserve">Cherokee</t>
  </si>
  <si>
    <t xml:space="preserve">Decatur</t>
  </si>
  <si>
    <t xml:space="preserve">Huntsville</t>
  </si>
  <si>
    <t xml:space="preserve">Northern Natural</t>
  </si>
  <si>
    <t xml:space="preserve">Brazos Blk133b</t>
  </si>
  <si>
    <t xml:space="preserve">St 30</t>
  </si>
  <si>
    <t xml:space="preserve">CTGS Capacity</t>
  </si>
  <si>
    <t xml:space="preserve">Reliant - Entex</t>
  </si>
  <si>
    <t xml:space="preserve">zone 1</t>
  </si>
  <si>
    <t xml:space="preserve">reimbursed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</si>
  <si>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</si>
  <si>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</si>
  <si>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</si>
  <si>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</si>
  <si>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</si>
  <si>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Nicor</t>
  </si>
  <si>
    <t xml:space="preserve">Zone l 800</t>
  </si>
  <si>
    <t xml:space="preserve">MGT - Portland</t>
  </si>
  <si>
    <t xml:space="preserve">Segment</t>
  </si>
  <si>
    <t xml:space="preserve">Segment from 32715</t>
  </si>
  <si>
    <t xml:space="preserve">ConED</t>
  </si>
  <si>
    <t xml:space="preserve">0/1</t>
  </si>
  <si>
    <t xml:space="preserve">Park/Loan</t>
  </si>
  <si>
    <t xml:space="preserve">zl-800/ZL-500</t>
  </si>
  <si>
    <t xml:space="preserve">Fixed Rate</t>
  </si>
  <si>
    <t xml:space="preserve">33139/33137/33138</t>
  </si>
  <si>
    <t xml:space="preserve">Park</t>
  </si>
  <si>
    <t xml:space="preserve">8/12//00</t>
  </si>
  <si>
    <t xml:space="preserve">Midcoast</t>
  </si>
  <si>
    <t xml:space="preserve">FT-GS</t>
  </si>
  <si>
    <t xml:space="preserve">Storage</t>
  </si>
  <si>
    <t xml:space="preserve">col gas</t>
  </si>
  <si>
    <t xml:space="preserve">Caladonia</t>
  </si>
  <si>
    <t xml:space="preserve">Russelville</t>
  </si>
  <si>
    <t xml:space="preserve">FT-G </t>
  </si>
  <si>
    <t xml:space="preserve">800LEG</t>
  </si>
  <si>
    <t xml:space="preserve">800Leg</t>
  </si>
  <si>
    <t xml:space="preserve">30M 500</t>
  </si>
  <si>
    <t xml:space="preserve">20M 800</t>
  </si>
  <si>
    <t xml:space="preserve">Midwestern</t>
  </si>
  <si>
    <t xml:space="preserve">NGPL</t>
  </si>
  <si>
    <t xml:space="preserve">Tetco</t>
  </si>
  <si>
    <t xml:space="preserve">Access</t>
  </si>
  <si>
    <t xml:space="preserve">M3</t>
  </si>
  <si>
    <t xml:space="preserve">FT-1</t>
  </si>
  <si>
    <t xml:space="preserve">Killed deal 155389 setup as FTS.</t>
  </si>
  <si>
    <t xml:space="preserve">158412  232999</t>
  </si>
  <si>
    <t xml:space="preserve">155385  233003</t>
  </si>
  <si>
    <t xml:space="preserve">Stx</t>
  </si>
  <si>
    <t xml:space="preserve">#16319</t>
  </si>
  <si>
    <t xml:space="preserve"> 252056 / 252057</t>
  </si>
  <si>
    <t xml:space="preserve">Con Ed</t>
  </si>
  <si>
    <t xml:space="preserve">#16179, segmented through October</t>
  </si>
  <si>
    <t xml:space="preserve">229611 / 229628</t>
  </si>
  <si>
    <t xml:space="preserve">Clinton</t>
  </si>
  <si>
    <t xml:space="preserve">Ela</t>
  </si>
  <si>
    <t xml:space="preserve">#16697</t>
  </si>
  <si>
    <t xml:space="preserve">Nyseg</t>
  </si>
  <si>
    <t xml:space="preserve">M2</t>
  </si>
  <si>
    <t xml:space="preserve">#16168</t>
  </si>
  <si>
    <t xml:space="preserve">229644 / 229715</t>
  </si>
  <si>
    <t xml:space="preserve">IGS</t>
  </si>
  <si>
    <t xml:space="preserve">#17298</t>
  </si>
  <si>
    <t xml:space="preserve">#17324, Nat Fuel released to Enron Admin (#17313), I re-released the long haul to ECT </t>
  </si>
  <si>
    <t xml:space="preserve">348493 / 348495</t>
  </si>
  <si>
    <t xml:space="preserve">#17310, Nat Fuel released to Enron Admin (#17378), I re-released the long haul to ECT </t>
  </si>
  <si>
    <t xml:space="preserve">Texas Gas</t>
  </si>
  <si>
    <t xml:space="preserve">marcon</t>
  </si>
  <si>
    <t xml:space="preserve">850 Mainline</t>
  </si>
  <si>
    <t xml:space="preserve">8046 Mamou</t>
  </si>
  <si>
    <t xml:space="preserve">T016285</t>
  </si>
  <si>
    <t xml:space="preserve">Innovative</t>
  </si>
  <si>
    <t xml:space="preserve">1494 Lafourche</t>
  </si>
  <si>
    <t xml:space="preserve">T016302</t>
  </si>
  <si>
    <t xml:space="preserve">200004000096</t>
  </si>
  <si>
    <t xml:space="preserve">851 Mainline</t>
  </si>
  <si>
    <t xml:space="preserve">1495 Lafourche</t>
  </si>
  <si>
    <t xml:space="preserve">T016336</t>
  </si>
  <si>
    <t xml:space="preserve">200004000076</t>
  </si>
  <si>
    <t xml:space="preserve">Z6</t>
  </si>
  <si>
    <t xml:space="preserve">Purchased from Transco, demand and commodity will be billed on k#</t>
  </si>
  <si>
    <t xml:space="preserve"> 343867 / 343869</t>
  </si>
  <si>
    <t xml:space="preserve">Con ED</t>
  </si>
  <si>
    <t xml:space="preserve">Station 62</t>
  </si>
  <si>
    <t xml:space="preserve">6571 Con Ed</t>
  </si>
  <si>
    <t xml:space="preserve">Released month to month May thru Oct</t>
  </si>
  <si>
    <t xml:space="preserve">Verify</t>
  </si>
  <si>
    <t xml:space="preserve"> 3.6385 / .7537</t>
  </si>
  <si>
    <t xml:space="preserve">#21053</t>
  </si>
  <si>
    <t xml:space="preserve">Station 65</t>
  </si>
  <si>
    <t xml:space="preserve">3.4358 / .7537</t>
  </si>
  <si>
    <t xml:space="preserve">#18972</t>
  </si>
  <si>
    <t xml:space="preserve">3.5049 / .7537</t>
  </si>
  <si>
    <t xml:space="preserve">#19486; term is 5/3/2000 - 9/30/2000</t>
  </si>
  <si>
    <t xml:space="preserve">Bug</t>
  </si>
  <si>
    <t xml:space="preserve">Telescoped</t>
  </si>
  <si>
    <t xml:space="preserve">6558 BUG</t>
  </si>
  <si>
    <t xml:space="preserve">3.4708 / .7537</t>
  </si>
  <si>
    <t xml:space="preserve">#19328</t>
  </si>
  <si>
    <t xml:space="preserve">3.5115 / .7537</t>
  </si>
  <si>
    <t xml:space="preserve">#19799</t>
  </si>
  <si>
    <t xml:space="preserve">Lilco</t>
  </si>
  <si>
    <t xml:space="preserve">6382 Lilco</t>
  </si>
  <si>
    <t xml:space="preserve">3.5116 / .7537</t>
  </si>
  <si>
    <t xml:space="preserve">#19800</t>
  </si>
  <si>
    <t xml:space="preserve">Utos</t>
  </si>
  <si>
    <t xml:space="preserve">St 65</t>
  </si>
  <si>
    <t xml:space="preserve">3.4271 / .7537</t>
  </si>
  <si>
    <t xml:space="preserve">#18944</t>
  </si>
  <si>
    <t xml:space="preserve">Buy as EADM</t>
  </si>
  <si>
    <t xml:space="preserve">PPL</t>
  </si>
  <si>
    <t xml:space="preserve">#6563 PPL</t>
  </si>
  <si>
    <t xml:space="preserve">#21031</t>
  </si>
  <si>
    <t xml:space="preserve">Do not enter in Sitara</t>
  </si>
  <si>
    <t xml:space="preserve">Sell as EADM</t>
  </si>
  <si>
    <t xml:space="preserve">#21049</t>
  </si>
  <si>
    <t xml:space="preserve">Buy as ENA</t>
  </si>
  <si>
    <t xml:space="preserve">3.6369 / .7537</t>
  </si>
  <si>
    <t xml:space="preserve">9/1/200</t>
  </si>
  <si>
    <t xml:space="preserve">Released month to month</t>
  </si>
  <si>
    <t xml:space="preserve">Month to month</t>
  </si>
  <si>
    <t xml:space="preserve">sta 45</t>
  </si>
  <si>
    <t xml:space="preserve">sta 65</t>
  </si>
  <si>
    <t xml:space="preserve">3.6638/0.7537</t>
  </si>
  <si>
    <t xml:space="preserve">#21318</t>
  </si>
  <si>
    <t xml:space="preserve">sta 30</t>
  </si>
  <si>
    <t xml:space="preserve">3.6597/0.7537</t>
  </si>
  <si>
    <t xml:space="preserve">#21246</t>
  </si>
  <si>
    <t xml:space="preserve">MGAG</t>
  </si>
  <si>
    <t xml:space="preserve">Z3</t>
  </si>
  <si>
    <t xml:space="preserve">Z4</t>
  </si>
  <si>
    <t xml:space="preserve">3.6482 / .7537</t>
  </si>
  <si>
    <t xml:space="preserve">#21135</t>
  </si>
  <si>
    <t xml:space="preserve">3.6479 / .7537</t>
  </si>
  <si>
    <t xml:space="preserve">#21138</t>
  </si>
  <si>
    <t xml:space="preserve">3.6477 / .7537</t>
  </si>
  <si>
    <t xml:space="preserve">#21140</t>
  </si>
  <si>
    <t xml:space="preserve">3.6476 / .7537</t>
  </si>
  <si>
    <t xml:space="preserve">#21141</t>
  </si>
  <si>
    <t xml:space="preserve">3.6475 / .7537</t>
  </si>
  <si>
    <t xml:space="preserve">#21142</t>
  </si>
  <si>
    <t xml:space="preserve">3.6474 / .7537</t>
  </si>
  <si>
    <t xml:space="preserve">#21143</t>
  </si>
  <si>
    <t xml:space="preserve">3.6473 / .7537</t>
  </si>
  <si>
    <t xml:space="preserve">#21144</t>
  </si>
  <si>
    <t xml:space="preserve">3.6472 / .7537</t>
  </si>
  <si>
    <t xml:space="preserve">#21145</t>
  </si>
  <si>
    <t xml:space="preserve">3.6470 / .7537</t>
  </si>
  <si>
    <t xml:space="preserve">#21147</t>
  </si>
  <si>
    <t xml:space="preserve">3.6468 / .7537</t>
  </si>
  <si>
    <t xml:space="preserve">#21149</t>
  </si>
  <si>
    <t xml:space="preserve">3.6467 / .7537</t>
  </si>
  <si>
    <t xml:space="preserve">#21150</t>
  </si>
  <si>
    <t xml:space="preserve">3.6466 / .7537</t>
  </si>
  <si>
    <t xml:space="preserve">#21151</t>
  </si>
  <si>
    <t xml:space="preserve">3.6464 / .7537</t>
  </si>
  <si>
    <t xml:space="preserve">#21153</t>
  </si>
  <si>
    <t xml:space="preserve">Stingray</t>
  </si>
  <si>
    <t xml:space="preserve">Devon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</si>
  <si>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</si>
  <si>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</si>
  <si>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</si>
  <si>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</si>
  <si>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</si>
  <si>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</si>
  <si>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Tenn Net 284</t>
  </si>
  <si>
    <t xml:space="preserve">INCLUDES GRI ($0.0072) and Great Plains Surcharge ($0.0131)</t>
  </si>
  <si>
    <t xml:space="preserve">Iroq -GRI</t>
  </si>
  <si>
    <t xml:space="preserve">   TETCO </t>
  </si>
  <si>
    <t xml:space="preserve">to:  St. 65</t>
  </si>
  <si>
    <t xml:space="preserve">STX</t>
  </si>
  <si>
    <t xml:space="preserve">WLA</t>
  </si>
  <si>
    <t xml:space="preserve">ELA</t>
  </si>
  <si>
    <t xml:space="preserve">Tenn +GRI</t>
  </si>
  <si>
    <t xml:space="preserve">Zn 3 - 65</t>
  </si>
  <si>
    <t xml:space="preserve">    "ELA Rate Assumes $0.0522 'IT'"</t>
  </si>
  <si>
    <t xml:space="preserve">Total</t>
  </si>
  <si>
    <t xml:space="preserve">Tenn FT Commodity</t>
  </si>
  <si>
    <t xml:space="preserve">Toca/Patt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</si>
  <si>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</si>
  <si>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</si>
  <si>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</si>
  <si>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</si>
  <si>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</si>
  <si>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</si>
  <si>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</si>
  <si>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</si>
  <si>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3</t>
  </si>
  <si>
    <t xml:space="preserve">0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</si>
  <si>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</si>
  <si>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</si>
  <si>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</si>
  <si>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</si>
  <si>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</si>
  <si>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</si>
  <si>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</si>
  <si>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</si>
  <si>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</si>
  <si>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</si>
  <si>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</si>
  <si>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</si>
  <si>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TET Stor.</t>
  </si>
  <si>
    <t xml:space="preserve">It to M2</t>
  </si>
  <si>
    <t xml:space="preserve">It to M3</t>
  </si>
  <si>
    <t xml:space="preserve">ETX</t>
  </si>
  <si>
    <t xml:space="preserve">M1</t>
  </si>
  <si>
    <t xml:space="preserve">             Texas Gas FT Commodity</t>
  </si>
  <si>
    <t xml:space="preserve">Sonat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</si>
  <si>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</si>
  <si>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</si>
  <si>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</si>
  <si>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</si>
  <si>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</si>
  <si>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</si>
  <si>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</si>
  <si>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</si>
  <si>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</si>
  <si>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Gulf Onshore IT-Mainline FT</t>
  </si>
  <si>
    <t xml:space="preserve">           Algonquin</t>
  </si>
  <si>
    <t xml:space="preserve">                CNG August Fuel Waivers</t>
  </si>
  <si>
    <t xml:space="preserve">Off</t>
  </si>
  <si>
    <t xml:space="preserve">On</t>
  </si>
  <si>
    <t xml:space="preserve">    Commodity and Fuel</t>
  </si>
  <si>
    <t xml:space="preserve">Each</t>
  </si>
  <si>
    <t xml:space="preserve">Receipt</t>
  </si>
  <si>
    <t xml:space="preserve">to All</t>
  </si>
  <si>
    <t xml:space="preserve">Delivery</t>
  </si>
  <si>
    <t xml:space="preserve">AFT-1</t>
  </si>
  <si>
    <t xml:space="preserve">Canajoharie</t>
  </si>
  <si>
    <t xml:space="preserve">Nimo West</t>
  </si>
  <si>
    <t xml:space="preserve">Sabinsville (TGP)</t>
  </si>
  <si>
    <t xml:space="preserve">Nimo East</t>
  </si>
  <si>
    <t xml:space="preserve">ML</t>
  </si>
  <si>
    <t xml:space="preserve">Morrisville (TGP)</t>
  </si>
  <si>
    <t xml:space="preserve">Han &amp; Bird</t>
  </si>
  <si>
    <t xml:space="preserve">Offshore and Onshore are IT rates</t>
  </si>
  <si>
    <t xml:space="preserve">NYSEG</t>
  </si>
  <si>
    <t xml:space="preserve">East Ohio</t>
  </si>
  <si>
    <t xml:space="preserve">Peoples</t>
  </si>
  <si>
    <t xml:space="preserve">Transport expense using Prices shown below</t>
  </si>
  <si>
    <t xml:space="preserve">Corning</t>
  </si>
  <si>
    <t xml:space="preserve">Trco Z1</t>
  </si>
  <si>
    <t xml:space="preserve">CGLF On</t>
  </si>
  <si>
    <t xml:space="preserve">Trco Z2</t>
  </si>
  <si>
    <t xml:space="preserve">M/L</t>
  </si>
  <si>
    <t xml:space="preserve">Trco Z3</t>
  </si>
  <si>
    <t xml:space="preserve">TGT Sl</t>
  </si>
  <si>
    <t xml:space="preserve">Trco Z4</t>
  </si>
  <si>
    <t xml:space="preserve">Tenn 800</t>
  </si>
  <si>
    <t xml:space="preserve">Trco Z6</t>
  </si>
  <si>
    <t xml:space="preserve">TGP/NFG Niagara</t>
  </si>
  <si>
    <t xml:space="preserve">NFG</t>
  </si>
  <si>
    <t xml:space="preserve">Niagara Zone 3</t>
  </si>
  <si>
    <t xml:space="preserve">CNG SP</t>
  </si>
  <si>
    <t xml:space="preserve">Wla</t>
  </si>
  <si>
    <t xml:space="preserve">Henry Hub</t>
  </si>
  <si>
    <t xml:space="preserve">                                                                                                                                               </t>
  </si>
  <si>
    <t xml:space="preserve">Gas Daily </t>
  </si>
  <si>
    <t xml:space="preserve">+.13</t>
  </si>
  <si>
    <t xml:space="preserve">formulas</t>
  </si>
  <si>
    <t xml:space="preserve">etx</t>
  </si>
  <si>
    <t xml:space="preserve">IROQ</t>
  </si>
  <si>
    <t xml:space="preserve">Formula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</si>
  <si>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</si>
  <si>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</si>
  <si>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</si>
  <si>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</si>
  <si>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</si>
  <si>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cng south</t>
  </si>
  <si>
    <t xml:space="preserve">TGT</t>
  </si>
  <si>
    <t xml:space="preserve">Wadd</t>
  </si>
  <si>
    <t xml:space="preserve">Tenn Z0</t>
  </si>
  <si>
    <t xml:space="preserve">st 65</t>
  </si>
  <si>
    <t xml:space="preserve">zn 1 800</t>
  </si>
  <si>
    <t xml:space="preserve">wla</t>
  </si>
  <si>
    <t xml:space="preserve">m/l</t>
  </si>
  <si>
    <t xml:space="preserve">Winter</t>
  </si>
  <si>
    <t xml:space="preserve">Summer</t>
  </si>
  <si>
    <t xml:space="preserve">st 45</t>
  </si>
  <si>
    <t xml:space="preserve">stx</t>
  </si>
  <si>
    <t xml:space="preserve">st 30</t>
  </si>
  <si>
    <t xml:space="preserve">m1</t>
  </si>
  <si>
    <t xml:space="preserve">Z6 NY</t>
  </si>
  <si>
    <t xml:space="preserve">Rates No 37.02</t>
  </si>
  <si>
    <t xml:space="preserve">Spring Fuel Apr - Oct</t>
  </si>
  <si>
    <t xml:space="preserve">Spring Fuel Apr-Nov</t>
  </si>
  <si>
    <t xml:space="preserve">Winter Fuel Dec-Mar</t>
  </si>
  <si>
    <t xml:space="preserve">Rates 18 &amp; 19</t>
  </si>
  <si>
    <t xml:space="preserve">Rates 25 &amp; 28</t>
  </si>
  <si>
    <t xml:space="preserve">Rates 32</t>
  </si>
  <si>
    <t xml:space="preserve">Winter Fuel</t>
  </si>
  <si>
    <t xml:space="preserve">Summer Fuel</t>
  </si>
  <si>
    <t xml:space="preserve">Rates No 4</t>
  </si>
  <si>
    <t xml:space="preserve">Rates No 5</t>
  </si>
  <si>
    <t xml:space="preserve">Rates No 8</t>
  </si>
  <si>
    <t xml:space="preserve">Fuel No 44</t>
  </si>
  <si>
    <t xml:space="preserve">Rates No 23A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</si>
  <si>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</si>
  <si>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</si>
  <si>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</si>
  <si>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</si>
  <si>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Dec - Mar</t>
  </si>
  <si>
    <t xml:space="preserve">Apr 1 - Oct 31</t>
  </si>
  <si>
    <t xml:space="preserve">Fuel changes each month</t>
  </si>
  <si>
    <t xml:space="preserve">Fuel No. 10</t>
  </si>
  <si>
    <t xml:space="preserve">Fuel No.8,</t>
  </si>
  <si>
    <t xml:space="preserve">Fuel No 29</t>
  </si>
  <si>
    <t xml:space="preserve">Fuel No 127,128, &amp; 129</t>
  </si>
  <si>
    <t xml:space="preserve">Fuel No 15</t>
  </si>
  <si>
    <t xml:space="preserve">EFFECTIVE 4/1/99</t>
  </si>
  <si>
    <t xml:space="preserve">PENDING Rates &amp; Fuel</t>
  </si>
  <si>
    <t xml:space="preserve">Updated 3/1/2000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</si>
  <si>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</si>
  <si>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</si>
  <si>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</si>
  <si>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</si>
  <si>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Rates Eff 5/1/99</t>
  </si>
  <si>
    <t xml:space="preserve">Updtd Rates 2/1/2000</t>
  </si>
  <si>
    <t xml:space="preserve">Updtd Rates 2/1/00</t>
  </si>
  <si>
    <t xml:space="preserve">Updtd Rates 3/1/00</t>
  </si>
  <si>
    <t xml:space="preserve">Eff 4/1/99</t>
  </si>
  <si>
    <t xml:space="preserve">Fuel No 40</t>
  </si>
  <si>
    <t xml:space="preserve">Fuel 14</t>
  </si>
  <si>
    <t xml:space="preserve">All Fuel is 0.02%</t>
  </si>
  <si>
    <t xml:space="preserve">Updated rates 4/1/2000</t>
  </si>
  <si>
    <t xml:space="preserve">IT Rates No 22</t>
  </si>
  <si>
    <t xml:space="preserve">Updtd Fuel 12/1/1999</t>
  </si>
  <si>
    <t xml:space="preserve">Need to check GSR &amp; SCRM</t>
  </si>
  <si>
    <t xml:space="preserve">Updated eff 3/1/2000</t>
  </si>
  <si>
    <t xml:space="preserve">Fuel Rev 8/1/99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</si>
  <si>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</si>
  <si>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</si>
  <si>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</si>
  <si>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</si>
  <si>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</si>
  <si>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</si>
  <si>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</si>
  <si>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(stx-m2)</t>
  </si>
  <si>
    <t xml:space="preserve">(0-0)FT</t>
  </si>
  <si>
    <t xml:space="preserve">Gulf</t>
  </si>
  <si>
    <t xml:space="preserve">(off-off)fts2</t>
  </si>
  <si>
    <t xml:space="preserve">TCO</t>
  </si>
  <si>
    <t xml:space="preserve">(fts)</t>
  </si>
  <si>
    <t xml:space="preserve">ft</t>
  </si>
  <si>
    <t xml:space="preserve">tgt sl-sl</t>
  </si>
  <si>
    <t xml:space="preserve">FT 1-1</t>
  </si>
  <si>
    <t xml:space="preserve">EQTR</t>
  </si>
  <si>
    <t xml:space="preserve">ITS</t>
  </si>
  <si>
    <t xml:space="preserve">UTOS</t>
  </si>
  <si>
    <t xml:space="preserve">NFGS</t>
  </si>
  <si>
    <t xml:space="preserve">FT-S</t>
  </si>
  <si>
    <t xml:space="preserve">Generic</t>
  </si>
  <si>
    <t xml:space="preserve">comm</t>
  </si>
  <si>
    <t xml:space="preserve">Comm</t>
  </si>
  <si>
    <t xml:space="preserve">ACA</t>
  </si>
  <si>
    <t xml:space="preserve">fuel(.35)</t>
  </si>
  <si>
    <t xml:space="preserve">fuel(0.84)</t>
  </si>
  <si>
    <t xml:space="preserve">fuel(2.42)</t>
  </si>
  <si>
    <t xml:space="preserve">fuel(7.04)</t>
  </si>
  <si>
    <t xml:space="preserve">fuel(1.50)</t>
  </si>
  <si>
    <t xml:space="preserve">fuel(.489)</t>
  </si>
  <si>
    <t xml:space="preserve">fuel(2.28)</t>
  </si>
  <si>
    <t xml:space="preserve">fuel(.22)</t>
  </si>
  <si>
    <t xml:space="preserve">fuel(3.00)</t>
  </si>
  <si>
    <t xml:space="preserve">fuel(0.0)</t>
  </si>
  <si>
    <t xml:space="preserve">fuel(2.00)</t>
  </si>
  <si>
    <t xml:space="preserve">GRI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</si>
  <si>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</si>
  <si>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</si>
  <si>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</si>
  <si>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</si>
  <si>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</si>
  <si>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(stx-m3)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</si>
  <si>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</si>
  <si>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</si>
  <si>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</si>
  <si>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</si>
  <si>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</si>
  <si>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</si>
  <si>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tgt sl-4</t>
  </si>
  <si>
    <t xml:space="preserve">FT 1-2</t>
  </si>
  <si>
    <t xml:space="preserve">Zn 1</t>
  </si>
  <si>
    <t xml:space="preserve">Variable</t>
  </si>
  <si>
    <t xml:space="preserve">Delivered</t>
  </si>
  <si>
    <t xml:space="preserve">.</t>
  </si>
  <si>
    <t xml:space="preserve">fuel(.81)</t>
  </si>
  <si>
    <t xml:space="preserve">fuel(2.44)</t>
  </si>
  <si>
    <t xml:space="preserve">fuel(2.57)</t>
  </si>
  <si>
    <t xml:space="preserve">fuel(7.97)</t>
  </si>
  <si>
    <t xml:space="preserve">fuel(.603)</t>
  </si>
  <si>
    <t xml:space="preserve">fuel(2.184)</t>
  </si>
  <si>
    <t xml:space="preserve">fuel(2.68)</t>
  </si>
  <si>
    <t xml:space="preserve">(1-3)</t>
  </si>
  <si>
    <t xml:space="preserve">(1-3)IT</t>
  </si>
  <si>
    <t xml:space="preserve">(0-2) FT</t>
  </si>
  <si>
    <t xml:space="preserve">(stx-ela)</t>
  </si>
  <si>
    <t xml:space="preserve">(wla-m2)</t>
  </si>
  <si>
    <t xml:space="preserve">(0-2)FT</t>
  </si>
  <si>
    <t xml:space="preserve">(ml-ml)fts1</t>
  </si>
  <si>
    <t xml:space="preserve">(winter)it</t>
  </si>
  <si>
    <t xml:space="preserve">Disc It</t>
  </si>
  <si>
    <t xml:space="preserve">tgt 1-4</t>
  </si>
  <si>
    <t xml:space="preserve">IT 1-2</t>
  </si>
  <si>
    <t xml:space="preserve">Zn 2</t>
  </si>
  <si>
    <t xml:space="preserve">fuel(1.26)</t>
  </si>
  <si>
    <t xml:space="preserve">fuel(4.43)</t>
  </si>
  <si>
    <t xml:space="preserve">fuel(3.32)</t>
  </si>
  <si>
    <t xml:space="preserve">fuel(6.40)</t>
  </si>
  <si>
    <t xml:space="preserve">fuel(2.30)</t>
  </si>
  <si>
    <t xml:space="preserve">fuel(2.82)</t>
  </si>
  <si>
    <t xml:space="preserve">Apr - Nov</t>
  </si>
  <si>
    <t xml:space="preserve">(1-4)</t>
  </si>
  <si>
    <t xml:space="preserve">(1-4) it</t>
  </si>
  <si>
    <t xml:space="preserve">(0-3) FT</t>
  </si>
  <si>
    <t xml:space="preserve">(stx-m1)</t>
  </si>
  <si>
    <t xml:space="preserve">(wla-m3)</t>
  </si>
  <si>
    <t xml:space="preserve">(0-3)FT</t>
  </si>
  <si>
    <t xml:space="preserve">(off-off)its2</t>
  </si>
  <si>
    <t xml:space="preserve">(gath)it</t>
  </si>
  <si>
    <t xml:space="preserve">fuel(0.4)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</si>
  <si>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</si>
  <si>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fuel(3.16)</t>
  </si>
  <si>
    <t xml:space="preserve">fuel(5.04)</t>
  </si>
  <si>
    <t xml:space="preserve">fuel(5.64)</t>
  </si>
  <si>
    <t xml:space="preserve">fuel(7.33)</t>
  </si>
  <si>
    <t xml:space="preserve">fuel(2.60)</t>
  </si>
  <si>
    <t xml:space="preserve">tgt SL-1</t>
  </si>
  <si>
    <t xml:space="preserve">Disc 1-2</t>
  </si>
  <si>
    <t xml:space="preserve">Zn 3</t>
  </si>
  <si>
    <t xml:space="preserve">(1-5)</t>
  </si>
  <si>
    <t xml:space="preserve">(2-2) it</t>
  </si>
  <si>
    <t xml:space="preserve">(0-4) FT</t>
  </si>
  <si>
    <t xml:space="preserve">(ela-m2)</t>
  </si>
  <si>
    <t xml:space="preserve">(on-on)its2</t>
  </si>
  <si>
    <t xml:space="preserve">Disc IT</t>
  </si>
  <si>
    <t xml:space="preserve">fuel(1.69)</t>
  </si>
  <si>
    <t xml:space="preserve">fuel(4.69)</t>
  </si>
  <si>
    <t xml:space="preserve">fuel(.46)</t>
  </si>
  <si>
    <t xml:space="preserve">fuel(5.8)</t>
  </si>
  <si>
    <t xml:space="preserve">fuel(6.12)</t>
  </si>
  <si>
    <t xml:space="preserve">tgt 1-SL (Backhaul)</t>
  </si>
  <si>
    <t xml:space="preserve">Disc 1-1</t>
  </si>
  <si>
    <t xml:space="preserve">(1-6)</t>
  </si>
  <si>
    <t xml:space="preserve">(2-3)IT</t>
  </si>
  <si>
    <t xml:space="preserve">(0-5) FT</t>
  </si>
  <si>
    <t xml:space="preserve">(ela-m3)</t>
  </si>
  <si>
    <t xml:space="preserve">(ml-ml)its1</t>
  </si>
  <si>
    <t xml:space="preserve">fuel(0.2)</t>
  </si>
  <si>
    <t xml:space="preserve">fuel(5.53)</t>
  </si>
  <si>
    <t xml:space="preserve">fuel(0.91)</t>
  </si>
  <si>
    <t xml:space="preserve">fuel(6.72)</t>
  </si>
  <si>
    <t xml:space="preserve">fuel(7.05)</t>
  </si>
  <si>
    <t xml:space="preserve">(2-2)</t>
  </si>
  <si>
    <t xml:space="preserve">(2-4) it</t>
  </si>
  <si>
    <t xml:space="preserve">(0-6) FT</t>
  </si>
  <si>
    <t xml:space="preserve">(wla-wla)</t>
  </si>
  <si>
    <t xml:space="preserve">(m1-m2)</t>
  </si>
  <si>
    <t xml:space="preserve">Iroq Fuel</t>
  </si>
  <si>
    <t xml:space="preserve">(on-on)DISC</t>
  </si>
  <si>
    <t xml:space="preserve">fuel(2.81)</t>
  </si>
  <si>
    <t xml:space="preserve">fuel(7.42)</t>
  </si>
  <si>
    <t xml:space="preserve">fuel(1.91)</t>
  </si>
  <si>
    <t xml:space="preserve">fuel(3.72)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</si>
  <si>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</si>
  <si>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</si>
  <si>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</si>
  <si>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</si>
  <si>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</si>
  <si>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</si>
  <si>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(m1-m3)</t>
  </si>
  <si>
    <t xml:space="preserve">Z2 - Z2</t>
  </si>
  <si>
    <t xml:space="preserve">(rn-lch)Disc</t>
  </si>
  <si>
    <t xml:space="preserve">fuel(.91)</t>
  </si>
  <si>
    <t xml:space="preserve">fuel(0.45)</t>
  </si>
  <si>
    <t xml:space="preserve">fuel(.95)</t>
  </si>
  <si>
    <t xml:space="preserve">fuel(4.65)</t>
  </si>
  <si>
    <t xml:space="preserve">(2-4)</t>
  </si>
  <si>
    <t xml:space="preserve">(3-4) it</t>
  </si>
  <si>
    <t xml:space="preserve">(1-1) FT</t>
  </si>
  <si>
    <t xml:space="preserve">(wla-m1)</t>
  </si>
  <si>
    <t xml:space="preserve">(m2-m3)</t>
  </si>
  <si>
    <t xml:space="preserve">fuel(2.35)</t>
  </si>
  <si>
    <t xml:space="preserve">fuel(1.70)</t>
  </si>
  <si>
    <t xml:space="preserve">fuel(5.00)</t>
  </si>
  <si>
    <t xml:space="preserve">fuel(3.99)</t>
  </si>
  <si>
    <t xml:space="preserve">(2-5)</t>
  </si>
  <si>
    <t xml:space="preserve">(3-6) it</t>
  </si>
  <si>
    <t xml:space="preserve">(1-2) FT</t>
  </si>
  <si>
    <t xml:space="preserve">(m3-m3)</t>
  </si>
  <si>
    <t xml:space="preserve">fuel(4.34)</t>
  </si>
  <si>
    <t xml:space="preserve">fuel(4.72)</t>
  </si>
  <si>
    <t xml:space="preserve">fuel(3.69)</t>
  </si>
  <si>
    <t xml:space="preserve">(2-6)</t>
  </si>
  <si>
    <t xml:space="preserve">(4-4) it</t>
  </si>
  <si>
    <t xml:space="preserve">(1-3) FT</t>
  </si>
  <si>
    <t xml:space="preserve">fuel(5.18)</t>
  </si>
  <si>
    <t xml:space="preserve">fuel(1.90)</t>
  </si>
  <si>
    <t xml:space="preserve">fuel(4.29)</t>
  </si>
  <si>
    <t xml:space="preserve">(3-3)</t>
  </si>
  <si>
    <t xml:space="preserve">Transco  </t>
  </si>
  <si>
    <t xml:space="preserve">(4a-4a) it</t>
  </si>
  <si>
    <t xml:space="preserve">(1-4) FT</t>
  </si>
  <si>
    <t xml:space="preserve">(etx-stx)</t>
  </si>
  <si>
    <t xml:space="preserve">fuel (.45)</t>
  </si>
  <si>
    <t xml:space="preserve">fuel(0.59)</t>
  </si>
  <si>
    <t xml:space="preserve">fuel(5.06)</t>
  </si>
  <si>
    <t xml:space="preserve">(3-4) </t>
  </si>
  <si>
    <t xml:space="preserve">(1-5) FT</t>
  </si>
  <si>
    <t xml:space="preserve">(etx-wla)</t>
  </si>
  <si>
    <t xml:space="preserve">Transco it</t>
  </si>
  <si>
    <t xml:space="preserve">(6-6) it</t>
  </si>
  <si>
    <t xml:space="preserve">fuel(5.97)</t>
  </si>
  <si>
    <t xml:space="preserve">fuel(2.40)</t>
  </si>
  <si>
    <t xml:space="preserve">(3-5)</t>
  </si>
  <si>
    <t xml:space="preserve">(1-6) FT</t>
  </si>
  <si>
    <t xml:space="preserve">(etx-etx)</t>
  </si>
  <si>
    <t xml:space="preserve">Transco IT Backhaul</t>
  </si>
  <si>
    <t xml:space="preserve">fuel(3.88)</t>
  </si>
  <si>
    <t xml:space="preserve">fuel(6.67)</t>
  </si>
  <si>
    <t xml:space="preserve">(3-6)</t>
  </si>
  <si>
    <t xml:space="preserve">(2-5) FT</t>
  </si>
  <si>
    <t xml:space="preserve">(etx-ela )</t>
  </si>
  <si>
    <t xml:space="preserve">fuel(3.58)</t>
  </si>
  <si>
    <t xml:space="preserve">(4-4) </t>
  </si>
  <si>
    <t xml:space="preserve">(4-4) FT</t>
  </si>
  <si>
    <t xml:space="preserve">(etx-M1 )</t>
  </si>
  <si>
    <t xml:space="preserve">fuel(1.01)</t>
  </si>
  <si>
    <t xml:space="preserve">(4-5) </t>
  </si>
  <si>
    <t xml:space="preserve">(4-6) FT</t>
  </si>
  <si>
    <t xml:space="preserve">(etx-M2 )</t>
  </si>
  <si>
    <t xml:space="preserve">fuel(3.43)</t>
  </si>
  <si>
    <t xml:space="preserve">fuel(1.92)</t>
  </si>
  <si>
    <t xml:space="preserve">(4-6) </t>
  </si>
  <si>
    <t xml:space="preserve">(5-5) FT</t>
  </si>
  <si>
    <t xml:space="preserve">(etx-M3 )</t>
  </si>
  <si>
    <t xml:space="preserve">fuel(4.27)</t>
  </si>
  <si>
    <t xml:space="preserve">fuel(1.17)</t>
  </si>
  <si>
    <t xml:space="preserve">(4a-4a)</t>
  </si>
  <si>
    <t xml:space="preserve">TGP Backhaul</t>
  </si>
  <si>
    <t xml:space="preserve">      (5-5) FT</t>
  </si>
  <si>
    <t xml:space="preserve">(ela-ela)</t>
  </si>
  <si>
    <t xml:space="preserve">fuel(0.005)</t>
  </si>
  <si>
    <t xml:space="preserve">(5-5)</t>
  </si>
  <si>
    <t xml:space="preserve">(5-6)  FT</t>
  </si>
  <si>
    <t xml:space="preserve">(ela-m1)</t>
  </si>
  <si>
    <t xml:space="preserve">fuel(1.53)</t>
  </si>
  <si>
    <t xml:space="preserve">fuel(1.86)</t>
  </si>
  <si>
    <t xml:space="preserve">(5-6)</t>
  </si>
  <si>
    <t xml:space="preserve">(6-5)  FT</t>
  </si>
  <si>
    <t xml:space="preserve">fuel(2.37)</t>
  </si>
  <si>
    <t xml:space="preserve">fuel(1.27%)</t>
  </si>
  <si>
    <t xml:space="preserve">(6-6)</t>
  </si>
  <si>
    <t xml:space="preserve">(6-6)  FT</t>
  </si>
  <si>
    <t xml:space="preserve">fuel(0.85)</t>
  </si>
  <si>
    <t xml:space="preserve">Need to Check rates for the following, fuel has been updated</t>
  </si>
  <si>
    <t xml:space="preserve">Tenn NET 284</t>
  </si>
  <si>
    <t xml:space="preserve">(m1-m1)</t>
  </si>
  <si>
    <t xml:space="preserve">Cherokee Expansion</t>
  </si>
  <si>
    <t xml:space="preserve">Sheet No. 37M</t>
  </si>
  <si>
    <t xml:space="preserve">fuel(1.31)</t>
  </si>
  <si>
    <t xml:space="preserve">fuel(2.32)</t>
  </si>
  <si>
    <t xml:space="preserve">(4-4)</t>
  </si>
  <si>
    <t xml:space="preserve">(5-4) FT</t>
  </si>
  <si>
    <t xml:space="preserve">fuel(1.07)</t>
  </si>
  <si>
    <t xml:space="preserve">(L-L)  IT</t>
  </si>
  <si>
    <t xml:space="preserve">Z6 to Z6 FTA K# 2.2173</t>
  </si>
  <si>
    <t xml:space="preserve">Sheet No. 37E</t>
  </si>
  <si>
    <t xml:space="preserve">(0-l)  IT</t>
  </si>
  <si>
    <t xml:space="preserve">(m2-m2)</t>
  </si>
  <si>
    <t xml:space="preserve">fuel(.84)</t>
  </si>
  <si>
    <t xml:space="preserve">fuel(3.04)</t>
  </si>
  <si>
    <t xml:space="preserve">Transco FT-NT</t>
  </si>
  <si>
    <t xml:space="preserve">Sheet 50 Summer Apr-Oct</t>
  </si>
  <si>
    <t xml:space="preserve">(l-2)  IT</t>
  </si>
  <si>
    <t xml:space="preserve">Fuel (7.06)</t>
  </si>
  <si>
    <t xml:space="preserve">Incremental Leidy 2.239</t>
  </si>
  <si>
    <t xml:space="preserve">(5-5) IT</t>
  </si>
  <si>
    <t xml:space="preserve">Sheet No. 37A</t>
  </si>
  <si>
    <t xml:space="preserve">Formula ==&gt;</t>
  </si>
  <si>
    <t xml:space="preserve">Winter Fuel Nov - Mar</t>
  </si>
  <si>
    <t xml:space="preserve">Summer Apr-Nov</t>
  </si>
  <si>
    <t xml:space="preserve">Updtd Rates 12/1/99</t>
  </si>
  <si>
    <t xml:space="preserve">CDS and FT-1</t>
  </si>
  <si>
    <t xml:space="preserve">Updtd Fuel 12/1/2000</t>
  </si>
  <si>
    <t xml:space="preserve">(0-0)</t>
  </si>
  <si>
    <t xml:space="preserve">fuel(0.89)</t>
  </si>
  <si>
    <t xml:space="preserve">fuel(9.26)</t>
  </si>
  <si>
    <t xml:space="preserve">fuel(.58)</t>
  </si>
  <si>
    <t xml:space="preserve">(0-1)</t>
  </si>
  <si>
    <t xml:space="preserve">fuel(2.79)</t>
  </si>
  <si>
    <t xml:space="preserve">fuel(2.93)</t>
  </si>
  <si>
    <t xml:space="preserve">fuel(10.89)</t>
  </si>
  <si>
    <t xml:space="preserve">(0-2)</t>
  </si>
  <si>
    <t xml:space="preserve">fuel(5.16)</t>
  </si>
  <si>
    <t xml:space="preserve">fuel(4.28)</t>
  </si>
  <si>
    <t xml:space="preserve">fuel(8.12)</t>
  </si>
  <si>
    <t xml:space="preserve">(0-3)</t>
  </si>
  <si>
    <t xml:space="preserve">fuel(5.88)</t>
  </si>
  <si>
    <t xml:space="preserve">fuel(6.77)</t>
  </si>
  <si>
    <t xml:space="preserve">fuel(9.75)</t>
  </si>
  <si>
    <t xml:space="preserve">(0-4)</t>
  </si>
  <si>
    <t xml:space="preserve">fuel(6.79)</t>
  </si>
  <si>
    <t xml:space="preserve">fuel(7.61)</t>
  </si>
  <si>
    <t xml:space="preserve">(0-5)</t>
  </si>
  <si>
    <t xml:space="preserve">fuel(7.88)</t>
  </si>
  <si>
    <t xml:space="preserve">fuel(9.24)</t>
  </si>
  <si>
    <t xml:space="preserve">(0-6)</t>
  </si>
  <si>
    <t xml:space="preserve">fuel(8.71)</t>
  </si>
  <si>
    <t xml:space="preserve">fuel(1.75)</t>
  </si>
  <si>
    <t xml:space="preserve">fuel(4.98)</t>
  </si>
  <si>
    <t xml:space="preserve">(L-L)</t>
  </si>
  <si>
    <t xml:space="preserve">fuel(3.14)</t>
  </si>
  <si>
    <t xml:space="preserve">fuel(6.61)</t>
  </si>
  <si>
    <t xml:space="preserve">fuel(5.63)</t>
  </si>
  <si>
    <t xml:space="preserve">fuel(5.45)</t>
  </si>
  <si>
    <t xml:space="preserve">fuel(2.99)</t>
  </si>
  <si>
    <t xml:space="preserve">fuel(4.99)</t>
  </si>
  <si>
    <t xml:space="preserve">fuel(5.96)</t>
  </si>
  <si>
    <t xml:space="preserve">fuel(6.99)</t>
  </si>
  <si>
    <t xml:space="preserve">fuel(2.63)</t>
  </si>
  <si>
    <t xml:space="preserve">fuel(7.82)</t>
  </si>
  <si>
    <t xml:space="preserve">fuel(4.15)</t>
  </si>
  <si>
    <t xml:space="preserve">fuel(1.09)</t>
  </si>
  <si>
    <t xml:space="preserve">(4-6)</t>
  </si>
  <si>
    <t xml:space="preserve">fuel(2.17)</t>
  </si>
  <si>
    <t xml:space="preserve">fuel(5.12)</t>
  </si>
  <si>
    <t xml:space="preserve">fuel(1.28)</t>
  </si>
  <si>
    <t xml:space="preserve">(5-6) </t>
  </si>
  <si>
    <t xml:space="preserve">fuel(2.09)</t>
  </si>
  <si>
    <t xml:space="preserve">fuel(1.16)</t>
  </si>
  <si>
    <t xml:space="preserve">fuel(2.49)</t>
  </si>
  <si>
    <t xml:space="preserve">Tenn (Z5 &amp; Z6 Net 284)</t>
  </si>
  <si>
    <t xml:space="preserve">fuel(3.78)</t>
  </si>
  <si>
    <t xml:space="preserve">Storage GSS Sheet 27</t>
  </si>
  <si>
    <t xml:space="preserve">Injection</t>
  </si>
  <si>
    <t xml:space="preserve">Index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</si>
  <si>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</si>
  <si>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</si>
  <si>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</si>
  <si>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</si>
  <si>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</si>
  <si>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</si>
  <si>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</si>
  <si>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</si>
  <si>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</si>
  <si>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</si>
  <si>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</si>
  <si>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</si>
  <si>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</si>
  <si>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</si>
  <si>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</si>
  <si>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</si>
  <si>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</si>
  <si>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</si>
  <si>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</si>
  <si>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</si>
  <si>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</si>
  <si>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</si>
  <si>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</si>
  <si>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</si>
  <si>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</si>
  <si>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Commodity</t>
  </si>
  <si>
    <t xml:space="preserve">January 1999 Demand Calculations</t>
  </si>
  <si>
    <t xml:space="preserve">Factor</t>
  </si>
  <si>
    <t xml:space="preserve">[Factor = (12/365) x # days in Month]</t>
  </si>
  <si>
    <t xml:space="preserve">Contract</t>
  </si>
  <si>
    <t xml:space="preserve">Rate</t>
  </si>
  <si>
    <t xml:space="preserve">Vol </t>
  </si>
  <si>
    <t xml:space="preserve">Amount</t>
  </si>
  <si>
    <t xml:space="preserve">Etx</t>
  </si>
  <si>
    <t xml:space="preserve">1-1</t>
  </si>
  <si>
    <t xml:space="preserve">2-2</t>
  </si>
  <si>
    <t xml:space="preserve">3-3</t>
  </si>
  <si>
    <t xml:space="preserve">1-3</t>
  </si>
  <si>
    <t xml:space="preserve">Surcharge</t>
  </si>
  <si>
    <t xml:space="preserve">M3 Vol</t>
  </si>
  <si>
    <t xml:space="preserve">Unit Rate</t>
  </si>
  <si>
    <t xml:space="preserve">CDS</t>
  </si>
  <si>
    <t xml:space="preserve">Demand charges effective 8/1/98</t>
  </si>
  <si>
    <t xml:space="preserve">Vol #8939</t>
  </si>
  <si>
    <t xml:space="preserve">Vol #9504</t>
  </si>
  <si>
    <t xml:space="preserve">Vol #11677</t>
  </si>
  <si>
    <t xml:space="preserve">Vol #</t>
  </si>
  <si>
    <t xml:space="preserve">1-2</t>
  </si>
  <si>
    <t xml:space="preserve">Vol #11671</t>
  </si>
  <si>
    <t xml:space="preserve">Vol</t>
  </si>
  <si>
    <t xml:space="preserve">Vol #8943</t>
  </si>
  <si>
    <t xml:space="preserve">Vol #9509</t>
  </si>
  <si>
    <t xml:space="preserve">M2 Vol</t>
  </si>
  <si>
    <t xml:space="preserve">Peoples Natural Gas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</si>
  <si>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</si>
  <si>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</si>
  <si>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</si>
  <si>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</si>
  <si>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</si>
  <si>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</si>
  <si>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</si>
  <si>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</si>
  <si>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</si>
  <si>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</si>
  <si>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</si>
  <si>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</si>
  <si>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</si>
  <si>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</si>
  <si>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</si>
  <si>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</si>
  <si>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</si>
  <si>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</si>
  <si>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</si>
  <si>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</si>
  <si>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</si>
  <si>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</si>
  <si>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</si>
  <si>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</si>
  <si>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</si>
  <si>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</si>
  <si>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</si>
  <si>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</si>
  <si>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</si>
  <si>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</si>
  <si>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</si>
  <si>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</si>
  <si>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</si>
  <si>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</si>
  <si>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</si>
  <si>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</si>
  <si>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</si>
  <si>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</si>
  <si>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STX - ELA</t>
  </si>
  <si>
    <t xml:space="preserve">ELA BID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</si>
  <si>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</si>
  <si>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</si>
  <si>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</si>
  <si>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</si>
  <si>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</si>
  <si>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</si>
  <si>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</si>
  <si>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</si>
  <si>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</si>
  <si>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</si>
  <si>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</si>
  <si>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</si>
  <si>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</si>
  <si>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</si>
  <si>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</si>
  <si>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</si>
  <si>
    <t xml:space="preserve">Cashout Deal Tickets</t>
  </si>
  <si>
    <t xml:space="preserve">Deal</t>
  </si>
  <si>
    <t xml:space="preserve">Tenn 500 L Sale</t>
  </si>
  <si>
    <t xml:space="preserve">Tetco Transport </t>
  </si>
  <si>
    <t xml:space="preserve">Supply</t>
  </si>
  <si>
    <t xml:space="preserve">Market</t>
  </si>
  <si>
    <t xml:space="preserve">Stx - M2</t>
  </si>
  <si>
    <t xml:space="preserve">Stx - Wla</t>
  </si>
  <si>
    <t xml:space="preserve">Stx - Ela</t>
  </si>
  <si>
    <t xml:space="preserve">Stx - Stx</t>
  </si>
  <si>
    <t xml:space="preserve">Wla - M2</t>
  </si>
  <si>
    <t xml:space="preserve">Wla - M3</t>
  </si>
  <si>
    <t xml:space="preserve">Wla - Wla</t>
  </si>
  <si>
    <t xml:space="preserve">Entergy</t>
  </si>
  <si>
    <t xml:space="preserve">Acadian</t>
  </si>
  <si>
    <t xml:space="preserve">Wla - Ela</t>
  </si>
  <si>
    <t xml:space="preserve">Wla - Transco</t>
  </si>
  <si>
    <t xml:space="preserve">Venice - Ela</t>
  </si>
  <si>
    <t xml:space="preserve">Ela - Ela</t>
  </si>
  <si>
    <t xml:space="preserve">Acadian Desk</t>
  </si>
  <si>
    <t xml:space="preserve">Iberville</t>
  </si>
  <si>
    <t xml:space="preserve">Capacity Summary for April 2000</t>
  </si>
  <si>
    <t xml:space="preserve">MDQ</t>
  </si>
  <si>
    <t xml:space="preserve">Receipt Point</t>
  </si>
  <si>
    <t xml:space="preserve">Delivery Point</t>
  </si>
  <si>
    <t xml:space="preserve">Term</t>
  </si>
  <si>
    <t xml:space="preserve">Comments</t>
  </si>
  <si>
    <t xml:space="preserve">Algon</t>
  </si>
  <si>
    <t xml:space="preserve">N/A</t>
  </si>
  <si>
    <t xml:space="preserve">4/1 - 10/31</t>
  </si>
  <si>
    <t xml:space="preserve">Non - recallable</t>
  </si>
  <si>
    <t xml:space="preserve">4/1 - 4/30</t>
  </si>
  <si>
    <t xml:space="preserve">ENA's portion of Penn Fuel capacity for April</t>
  </si>
  <si>
    <t xml:space="preserve">Broad Run</t>
  </si>
  <si>
    <t xml:space="preserve">CALP capacity</t>
  </si>
  <si>
    <t xml:space="preserve">CES Retail  capacity, includes 54,000 of SST</t>
  </si>
  <si>
    <t xml:space="preserve">&lt;== MDQ fluctuates on daily basis.  "Doggone near baseload for April"</t>
  </si>
  <si>
    <t xml:space="preserve">DP&amp;L SST capacity.</t>
  </si>
  <si>
    <t xml:space="preserve">11/1/93 - 10/31/09</t>
  </si>
  <si>
    <t xml:space="preserve">Access Energy capacity</t>
  </si>
  <si>
    <t xml:space="preserve">2/1/00 - 3/31/05</t>
  </si>
  <si>
    <t xml:space="preserve">CES wholesale capacity</t>
  </si>
  <si>
    <t xml:space="preserve">2/1/00 - 3/31/02</t>
  </si>
  <si>
    <t xml:space="preserve">11/1/93 - 5/31/01</t>
  </si>
  <si>
    <t xml:space="preserve">500 L deliveries to LIG (500 L)</t>
  </si>
  <si>
    <t xml:space="preserve">800 L to HPL Sabine (800 L)</t>
  </si>
  <si>
    <t xml:space="preserve">500 L to Hattiesburg (500 Z1) - need to include take-or-pay surcharge</t>
  </si>
  <si>
    <t xml:space="preserve">800 L to Varibus (500 L)</t>
  </si>
  <si>
    <t xml:space="preserve">800 L to Trco/Kinder (800 L)</t>
  </si>
  <si>
    <t xml:space="preserve">500 L to FGT (500 L)</t>
  </si>
  <si>
    <t xml:space="preserve">500 L to Trco/Kinder (500 L)</t>
  </si>
  <si>
    <t xml:space="preserve">Z0 to Z6</t>
  </si>
  <si>
    <t xml:space="preserve">Z5 to Z4</t>
  </si>
  <si>
    <t xml:space="preserve">Z5 to Z5</t>
  </si>
  <si>
    <t xml:space="preserve">Mr. Tim Brennan</t>
  </si>
  <si>
    <t xml:space="preserve">Williams Field Services</t>
  </si>
  <si>
    <t xml:space="preserve">P.O. Box 1396</t>
  </si>
  <si>
    <t xml:space="preserve">Houston, TX  77251-1396</t>
  </si>
  <si>
    <t xml:space="preserve">Re:  Egan C Receipts for October, 1998</t>
  </si>
  <si>
    <t xml:space="preserve">Dear Tim:</t>
  </si>
  <si>
    <t xml:space="preserve">Following is a  schedule of receipts at Transco/Columbia Gulf Egan C for October 1998.  The volumes</t>
  </si>
  <si>
    <t xml:space="preserve">flowed on the discounted rate of $.03 from Egan C to Station 65.</t>
  </si>
  <si>
    <t xml:space="preserve">Date</t>
  </si>
  <si>
    <t xml:space="preserve">Please call me with any questions.  </t>
  </si>
  <si>
    <t xml:space="preserve">   </t>
  </si>
</sst>
</file>

<file path=xl/styles.xml><?xml version="1.0" encoding="utf-8"?>
<styleSheet xmlns="http://schemas.openxmlformats.org/spreadsheetml/2006/main">
  <numFmts count="45">
    <numFmt numFmtId="164" formatCode="General"/>
    <numFmt numFmtId="165" formatCode="[$-409]#,##0_);[RED]\(#,##0\)"/>
    <numFmt numFmtId="166" formatCode="[$-409]m/d/yyyy"/>
    <numFmt numFmtId="167" formatCode="@"/>
    <numFmt numFmtId="168" formatCode="[$-409]d\-mmm"/>
    <numFmt numFmtId="169" formatCode="#,##0.00000"/>
    <numFmt numFmtId="170" formatCode="\$#,##0.0000_);[RED]&quot;($&quot;#,##0.0000\)"/>
    <numFmt numFmtId="171" formatCode="0.00%"/>
    <numFmt numFmtId="172" formatCode="0"/>
    <numFmt numFmtId="173" formatCode="0.000%"/>
    <numFmt numFmtId="174" formatCode="#,##0"/>
    <numFmt numFmtId="175" formatCode="_(\$* #,##0.00_);_(\$* \(#,##0.00\);_(\$* \-??_);_(@_)"/>
    <numFmt numFmtId="176" formatCode="_(\$* #,##0.000_);_(\$* \(#,##0.000\);_(\$* \-??_);_(@_)"/>
    <numFmt numFmtId="177" formatCode="\$#,##0.00_);[RED]&quot;($&quot;#,##0.00\)"/>
    <numFmt numFmtId="178" formatCode="#,##0.000_);[RED]\(#,##0.000\)"/>
    <numFmt numFmtId="179" formatCode="_(* #,##0.00_);_(* \(#,##0.00\);_(* \-??_);_(@_)"/>
    <numFmt numFmtId="180" formatCode="# ?/?"/>
    <numFmt numFmtId="181" formatCode="_(\$* #,##0_);_(\$* \(#,##0\);_(\$* \-??_);_(@_)"/>
    <numFmt numFmtId="182" formatCode="#,##0.00"/>
    <numFmt numFmtId="183" formatCode="0.0000"/>
    <numFmt numFmtId="184" formatCode="_(\$* #,##0.0000_);_(\$* \(#,##0.0000\);_(\$* \-??_);_(@_)"/>
    <numFmt numFmtId="185" formatCode="#,##0.0000_);[RED]\(#,##0.0000\)"/>
    <numFmt numFmtId="186" formatCode="0_);\(0\)"/>
    <numFmt numFmtId="187" formatCode="[$-409]#,##0.00_);[RED]\(#,##0.00\)"/>
    <numFmt numFmtId="188" formatCode="_(* #,##0.000_);_(* \(#,##0.000\);_(* \-??_);_(@_)"/>
    <numFmt numFmtId="189" formatCode="_(* #,##0_);_(* \(#,##0\);_(* \-??_);_(@_)"/>
    <numFmt numFmtId="190" formatCode="_(* #,##0.0000_);_(* \(#,##0.0000\);_(* \-??_);_(@_)"/>
    <numFmt numFmtId="191" formatCode="0.000"/>
    <numFmt numFmtId="192" formatCode="[$-409]d\-mmm\-yy"/>
    <numFmt numFmtId="193" formatCode="\$#,##0.000"/>
    <numFmt numFmtId="194" formatCode="\$#,##0.0000_);&quot;($&quot;#,##0.0000\)"/>
    <numFmt numFmtId="195" formatCode="\$#,##0.00_);&quot;($&quot;#,##0.00\)"/>
    <numFmt numFmtId="196" formatCode="\$#,##0.000_);[RED]&quot;($&quot;#,##0.000\)"/>
    <numFmt numFmtId="197" formatCode="0%"/>
    <numFmt numFmtId="198" formatCode="0.0000%"/>
    <numFmt numFmtId="199" formatCode="[$-409]mmm\-yy"/>
    <numFmt numFmtId="200" formatCode="\$#,##0.00000_);[RED]&quot;($&quot;#,##0.00000\)"/>
    <numFmt numFmtId="201" formatCode="0.00"/>
    <numFmt numFmtId="202" formatCode="_(\$* #,##0.00000_);_(\$* \(#,##0.00000\);_(\$* \-??_);_(@_)"/>
    <numFmt numFmtId="203" formatCode="\$#,##0.0000"/>
    <numFmt numFmtId="204" formatCode="\$#,##0.00"/>
    <numFmt numFmtId="205" formatCode="#,##0.000"/>
    <numFmt numFmtId="206" formatCode="\$#,##0.000_);&quot;($&quot;#,##0.000\)"/>
    <numFmt numFmtId="207" formatCode="m/d"/>
    <numFmt numFmtId="208" formatCode="_(* #,##0_);_(* \(#,##0\);_(* \-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name val="Arial"/>
      <family val="0"/>
    </font>
    <font>
      <b val="true"/>
      <sz val="10"/>
      <color rgb="FF008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0"/>
    </font>
    <font>
      <u val="single"/>
      <sz val="10"/>
      <name val="Arial"/>
      <family val="0"/>
    </font>
    <font>
      <u val="single"/>
      <sz val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CC99FF"/>
      </patternFill>
    </fill>
    <fill>
      <patternFill patternType="solid">
        <fgColor rgb="FFE3E3E3"/>
        <bgColor rgb="FFCCFFCC"/>
      </patternFill>
    </fill>
    <fill>
      <patternFill patternType="solid">
        <fgColor rgb="FFCC99FF"/>
        <bgColor rgb="FFCC9CCC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FF8080"/>
        <bgColor rgb="FFCC9C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double"/>
      <right/>
      <top style="dashed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97" fontId="0" fillId="0" borderId="0" applyFont="true" applyBorder="false" applyAlignment="false" applyProtection="false"/>
  </cellStyleXfs>
  <cellXfs count="5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6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6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8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9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3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2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4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1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8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4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13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13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3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4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13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5" fontId="1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1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8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1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2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1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8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5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8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11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" fillId="11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" fillId="11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4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1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8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6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CC9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99"/>
    <col collapsed="false" customWidth="true" hidden="false" outlineLevel="0" max="3" min="3" style="2" width="11.28"/>
    <col collapsed="false" customWidth="true" hidden="false" outlineLevel="0" max="4" min="4" style="3" width="14.41"/>
    <col collapsed="false" customWidth="true" hidden="false" outlineLevel="0" max="5" min="5" style="3" width="3.7"/>
    <col collapsed="false" customWidth="true" hidden="false" outlineLevel="0" max="6" min="6" style="1" width="11.28"/>
    <col collapsed="false" customWidth="true" hidden="false" outlineLevel="0" max="7" min="7" style="4" width="15.56"/>
    <col collapsed="false" customWidth="true" hidden="false" outlineLevel="0" max="8" min="8" style="4" width="13.99"/>
    <col collapsed="false" customWidth="false" hidden="false" outlineLevel="0" max="9" min="9" style="1" width="9.14"/>
    <col collapsed="false" customWidth="true" hidden="false" outlineLevel="0" max="10" min="10" style="1" width="13.7"/>
    <col collapsed="false" customWidth="false" hidden="false" outlineLevel="0" max="11" min="11" style="1" width="9.14"/>
    <col collapsed="false" customWidth="true" hidden="false" outlineLevel="0" max="12" min="12" style="1" width="12.42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5" t="s">
        <v>0</v>
      </c>
      <c r="D1" s="2"/>
      <c r="E1" s="2"/>
      <c r="F1" s="6"/>
      <c r="G1" s="5"/>
      <c r="H1" s="5"/>
      <c r="I1" s="7"/>
      <c r="J1" s="8"/>
    </row>
    <row r="2" customFormat="false" ht="12.75" hidden="false" customHeight="false" outlineLevel="0" collapsed="false">
      <c r="A2" s="5"/>
      <c r="D2" s="9"/>
      <c r="E2" s="9"/>
      <c r="F2" s="6"/>
      <c r="G2" s="5"/>
      <c r="H2" s="5"/>
      <c r="I2" s="7"/>
      <c r="J2" s="8"/>
    </row>
    <row r="3" customFormat="false" ht="12.75" hidden="false" customHeight="false" outlineLevel="0" collapsed="false">
      <c r="A3" s="5"/>
      <c r="D3" s="9"/>
      <c r="E3" s="9"/>
      <c r="F3" s="6"/>
      <c r="G3" s="5" t="s">
        <v>1</v>
      </c>
      <c r="H3" s="5" t="s">
        <v>1</v>
      </c>
      <c r="I3" s="7"/>
      <c r="J3" s="8"/>
    </row>
    <row r="4" customFormat="false" ht="12.75" hidden="false" customHeight="false" outlineLevel="0" collapsed="false">
      <c r="A4" s="7"/>
      <c r="D4" s="2"/>
      <c r="E4" s="2"/>
      <c r="F4" s="6"/>
      <c r="G4" s="10"/>
      <c r="H4" s="5"/>
      <c r="I4" s="7"/>
      <c r="J4" s="8"/>
    </row>
    <row r="5" customFormat="false" ht="12.75" hidden="false" customHeight="false" outlineLevel="0" collapsed="false">
      <c r="A5" s="11" t="s">
        <v>2</v>
      </c>
      <c r="B5" s="12" t="s">
        <v>3</v>
      </c>
      <c r="C5" s="12" t="s">
        <v>4</v>
      </c>
      <c r="D5" s="12" t="s">
        <v>5</v>
      </c>
      <c r="E5" s="12"/>
      <c r="F5" s="13" t="s">
        <v>6</v>
      </c>
      <c r="G5" s="14" t="s">
        <v>7</v>
      </c>
      <c r="H5" s="14" t="s">
        <v>8</v>
      </c>
      <c r="I5" s="11" t="s">
        <v>6</v>
      </c>
      <c r="J5" s="14" t="s">
        <v>9</v>
      </c>
    </row>
    <row r="6" customFormat="false" ht="12.75" hidden="false" customHeight="false" outlineLevel="0" collapsed="false">
      <c r="A6" s="7" t="s">
        <v>10</v>
      </c>
      <c r="B6" s="2" t="n">
        <v>0.3051</v>
      </c>
      <c r="C6" s="2" t="n">
        <v>77177</v>
      </c>
      <c r="D6" s="2" t="s">
        <v>11</v>
      </c>
      <c r="E6" s="2"/>
      <c r="F6" s="6"/>
      <c r="G6" s="5" t="s">
        <v>12</v>
      </c>
      <c r="H6" s="5" t="s">
        <v>12</v>
      </c>
      <c r="I6" s="7" t="s">
        <v>13</v>
      </c>
      <c r="J6" s="5" t="s">
        <v>14</v>
      </c>
    </row>
    <row r="7" customFormat="false" ht="12.75" hidden="false" customHeight="false" outlineLevel="0" collapsed="false">
      <c r="A7" s="7" t="s">
        <v>10</v>
      </c>
      <c r="B7" s="2" t="n">
        <v>0.4983</v>
      </c>
      <c r="C7" s="2" t="n">
        <v>77169</v>
      </c>
      <c r="D7" s="2" t="s">
        <v>11</v>
      </c>
      <c r="E7" s="2"/>
      <c r="F7" s="6"/>
      <c r="G7" s="5" t="s">
        <v>12</v>
      </c>
      <c r="H7" s="5" t="s">
        <v>12</v>
      </c>
      <c r="I7" s="7" t="s">
        <v>13</v>
      </c>
      <c r="J7" s="5" t="s">
        <v>15</v>
      </c>
    </row>
    <row r="8" customFormat="false" ht="12.75" hidden="false" customHeight="false" outlineLevel="0" collapsed="false">
      <c r="A8" s="7" t="s">
        <v>10</v>
      </c>
      <c r="B8" s="2" t="n">
        <v>0.2999</v>
      </c>
      <c r="D8" s="2" t="s">
        <v>11</v>
      </c>
      <c r="E8" s="2"/>
      <c r="F8" s="6"/>
      <c r="G8" s="5" t="s">
        <v>12</v>
      </c>
      <c r="H8" s="5" t="s">
        <v>12</v>
      </c>
      <c r="I8" s="7" t="s">
        <v>13</v>
      </c>
      <c r="J8" s="5" t="s">
        <v>15</v>
      </c>
    </row>
    <row r="9" customFormat="false" ht="12.75" hidden="false" customHeight="false" outlineLevel="0" collapsed="false">
      <c r="A9" s="7" t="s">
        <v>10</v>
      </c>
      <c r="B9" s="2" t="n">
        <v>0.2774</v>
      </c>
      <c r="C9" s="2" t="n">
        <v>77175</v>
      </c>
      <c r="D9" s="2" t="s">
        <v>11</v>
      </c>
      <c r="E9" s="2"/>
      <c r="F9" s="6"/>
      <c r="G9" s="5" t="s">
        <v>12</v>
      </c>
      <c r="H9" s="5" t="s">
        <v>12</v>
      </c>
      <c r="I9" s="7" t="s">
        <v>13</v>
      </c>
      <c r="J9" s="5" t="s">
        <v>15</v>
      </c>
    </row>
    <row r="10" customFormat="false" ht="12.75" hidden="false" customHeight="false" outlineLevel="0" collapsed="false">
      <c r="A10" s="7" t="s">
        <v>10</v>
      </c>
      <c r="B10" s="2" t="n">
        <v>0.7537</v>
      </c>
      <c r="C10" s="2" t="n">
        <v>82420</v>
      </c>
      <c r="D10" s="2" t="s">
        <v>16</v>
      </c>
      <c r="E10" s="2"/>
      <c r="F10" s="6"/>
      <c r="G10" s="5" t="s">
        <v>12</v>
      </c>
      <c r="H10" s="5" t="s">
        <v>12</v>
      </c>
      <c r="I10" s="7" t="s">
        <v>13</v>
      </c>
      <c r="J10" s="5" t="s">
        <v>17</v>
      </c>
    </row>
    <row r="11" customFormat="false" ht="12.75" hidden="false" customHeight="false" outlineLevel="0" collapsed="false">
      <c r="A11" s="7" t="s">
        <v>10</v>
      </c>
      <c r="B11" s="2" t="n">
        <v>3.073</v>
      </c>
      <c r="C11" s="2" t="n">
        <v>96503</v>
      </c>
      <c r="D11" s="2" t="s">
        <v>18</v>
      </c>
      <c r="E11" s="2"/>
      <c r="F11" s="6"/>
      <c r="G11" s="5" t="s">
        <v>12</v>
      </c>
      <c r="H11" s="5" t="s">
        <v>12</v>
      </c>
      <c r="I11" s="7" t="s">
        <v>13</v>
      </c>
      <c r="J11" s="5" t="s">
        <v>19</v>
      </c>
    </row>
    <row r="12" customFormat="false" ht="12.75" hidden="false" customHeight="false" outlineLevel="0" collapsed="false">
      <c r="A12" s="7" t="s">
        <v>10</v>
      </c>
      <c r="B12" s="2" t="n">
        <v>1.8793</v>
      </c>
      <c r="C12" s="2" t="n">
        <v>104783</v>
      </c>
      <c r="D12" s="2" t="s">
        <v>20</v>
      </c>
      <c r="E12" s="2"/>
      <c r="F12" s="6"/>
      <c r="G12" s="5" t="s">
        <v>12</v>
      </c>
      <c r="H12" s="5" t="s">
        <v>12</v>
      </c>
      <c r="I12" s="7" t="s">
        <v>13</v>
      </c>
      <c r="J12" s="5" t="s">
        <v>21</v>
      </c>
    </row>
    <row r="13" customFormat="false" ht="12.75" hidden="false" customHeight="false" outlineLevel="0" collapsed="false">
      <c r="A13" s="7" t="s">
        <v>10</v>
      </c>
      <c r="B13" s="2" t="n">
        <v>0.9047</v>
      </c>
      <c r="C13" s="2" t="n">
        <v>168466</v>
      </c>
      <c r="D13" s="2" t="s">
        <v>22</v>
      </c>
      <c r="E13" s="2"/>
      <c r="F13" s="6"/>
      <c r="G13" s="5" t="s">
        <v>12</v>
      </c>
      <c r="H13" s="5" t="s">
        <v>12</v>
      </c>
      <c r="I13" s="7" t="s">
        <v>13</v>
      </c>
      <c r="J13" s="5" t="s">
        <v>23</v>
      </c>
    </row>
    <row r="15" customFormat="false" ht="12.75" hidden="false" customHeight="false" outlineLevel="0" collapsed="false">
      <c r="A15" s="1" t="s">
        <v>24</v>
      </c>
      <c r="B15" s="2" t="n">
        <v>2891</v>
      </c>
      <c r="D15" s="3" t="s">
        <v>11</v>
      </c>
      <c r="G15" s="4" t="s">
        <v>12</v>
      </c>
      <c r="H15" s="4" t="s">
        <v>12</v>
      </c>
    </row>
    <row r="16" customFormat="false" ht="12.75" hidden="false" customHeight="false" outlineLevel="0" collapsed="false">
      <c r="A16" s="1" t="s">
        <v>24</v>
      </c>
      <c r="B16" s="2" t="n">
        <v>80045</v>
      </c>
      <c r="D16" s="3" t="s">
        <v>13</v>
      </c>
    </row>
    <row r="18" customFormat="false" ht="12.75" hidden="false" customHeight="false" outlineLevel="0" collapsed="false">
      <c r="A18" s="1" t="s">
        <v>25</v>
      </c>
      <c r="B18" s="2" t="s">
        <v>26</v>
      </c>
      <c r="C18" s="2" t="n">
        <v>98243</v>
      </c>
      <c r="D18" s="3" t="s">
        <v>27</v>
      </c>
      <c r="G18" s="4" t="s">
        <v>12</v>
      </c>
      <c r="H18" s="4" t="s">
        <v>12</v>
      </c>
      <c r="J18" s="1" t="s">
        <v>28</v>
      </c>
    </row>
    <row r="19" customFormat="false" ht="12.75" hidden="false" customHeight="false" outlineLevel="0" collapsed="false">
      <c r="A19" s="1" t="s">
        <v>25</v>
      </c>
      <c r="B19" s="2" t="s">
        <v>26</v>
      </c>
      <c r="C19" s="2" t="n">
        <v>98567</v>
      </c>
      <c r="D19" s="3" t="s">
        <v>29</v>
      </c>
      <c r="G19" s="4" t="s">
        <v>12</v>
      </c>
      <c r="H19" s="4" t="s">
        <v>12</v>
      </c>
      <c r="J19" s="1" t="s">
        <v>30</v>
      </c>
    </row>
    <row r="20" customFormat="false" ht="12.75" hidden="false" customHeight="false" outlineLevel="0" collapsed="false">
      <c r="A20" s="1" t="s">
        <v>25</v>
      </c>
      <c r="B20" s="2" t="n">
        <v>600228</v>
      </c>
      <c r="C20" s="2" t="n">
        <v>77009</v>
      </c>
      <c r="D20" s="3" t="s">
        <v>31</v>
      </c>
      <c r="G20" s="4" t="s">
        <v>12</v>
      </c>
      <c r="H20" s="4" t="s">
        <v>12</v>
      </c>
      <c r="J20" s="1" t="s">
        <v>32</v>
      </c>
    </row>
    <row r="22" customFormat="false" ht="12.75" hidden="false" customHeight="false" outlineLevel="0" collapsed="false">
      <c r="A22" s="1" t="s">
        <v>33</v>
      </c>
      <c r="B22" s="2" t="s">
        <v>34</v>
      </c>
      <c r="C22" s="2" t="n">
        <v>168569</v>
      </c>
      <c r="D22" s="3" t="s">
        <v>35</v>
      </c>
      <c r="G22" s="4" t="s">
        <v>12</v>
      </c>
      <c r="H22" s="4" t="s">
        <v>12</v>
      </c>
      <c r="J22" s="1" t="s">
        <v>36</v>
      </c>
    </row>
    <row r="24" customFormat="false" ht="12.75" hidden="false" customHeight="false" outlineLevel="0" collapsed="false">
      <c r="A24" s="1" t="s">
        <v>37</v>
      </c>
      <c r="B24" s="2" t="n">
        <v>9310010</v>
      </c>
      <c r="D24" s="3" t="s">
        <v>38</v>
      </c>
    </row>
    <row r="26" customFormat="false" ht="12.75" hidden="false" customHeight="false" outlineLevel="0" collapsed="false">
      <c r="A26" s="1" t="s">
        <v>39</v>
      </c>
      <c r="B26" s="2" t="n">
        <v>38641</v>
      </c>
      <c r="C26" s="2" t="n">
        <v>93039</v>
      </c>
      <c r="D26" s="3" t="s">
        <v>40</v>
      </c>
      <c r="J26" s="1" t="s">
        <v>41</v>
      </c>
    </row>
    <row r="27" customFormat="false" ht="12.75" hidden="false" customHeight="false" outlineLevel="0" collapsed="false">
      <c r="A27" s="1" t="s">
        <v>39</v>
      </c>
      <c r="B27" s="2" t="n">
        <v>37556</v>
      </c>
      <c r="C27" s="2" t="n">
        <v>93037</v>
      </c>
      <c r="D27" s="3" t="s">
        <v>42</v>
      </c>
      <c r="J27" s="1" t="s">
        <v>43</v>
      </c>
    </row>
    <row r="28" customFormat="false" ht="12.75" hidden="false" customHeight="false" outlineLevel="0" collapsed="false">
      <c r="A28" s="1" t="s">
        <v>39</v>
      </c>
      <c r="B28" s="2" t="n">
        <v>39229</v>
      </c>
      <c r="C28" s="2" t="n">
        <v>93030</v>
      </c>
      <c r="D28" s="3" t="s">
        <v>44</v>
      </c>
      <c r="J28" s="1" t="s">
        <v>45</v>
      </c>
    </row>
    <row r="31" customFormat="false" ht="12.75" hidden="false" customHeight="false" outlineLevel="0" collapsed="false">
      <c r="A31" s="1" t="s">
        <v>46</v>
      </c>
      <c r="B31" s="2" t="n">
        <v>40998</v>
      </c>
      <c r="D31" s="3" t="s">
        <v>11</v>
      </c>
    </row>
    <row r="32" customFormat="false" ht="12.75" hidden="false" customHeight="false" outlineLevel="0" collapsed="false">
      <c r="A32" s="1" t="s">
        <v>46</v>
      </c>
      <c r="B32" s="2" t="n">
        <v>38021</v>
      </c>
      <c r="C32" s="2" t="n">
        <v>166118</v>
      </c>
      <c r="D32" s="3" t="s">
        <v>47</v>
      </c>
      <c r="G32" s="4" t="s">
        <v>12</v>
      </c>
      <c r="H32" s="4" t="s">
        <v>12</v>
      </c>
      <c r="J32" s="1" t="s">
        <v>36</v>
      </c>
    </row>
    <row r="34" customFormat="false" ht="12.75" hidden="false" customHeight="false" outlineLevel="0" collapsed="false">
      <c r="A34" s="1" t="s">
        <v>48</v>
      </c>
      <c r="B34" s="2" t="s">
        <v>49</v>
      </c>
      <c r="C34" s="2" t="n">
        <v>102637</v>
      </c>
      <c r="D34" s="3" t="s">
        <v>50</v>
      </c>
      <c r="F34" s="1" t="n">
        <v>60000</v>
      </c>
      <c r="J34" s="1" t="s">
        <v>51</v>
      </c>
    </row>
    <row r="35" customFormat="false" ht="13.5" hidden="false" customHeight="true" outlineLevel="0" collapsed="false">
      <c r="A35" s="15" t="s">
        <v>52</v>
      </c>
      <c r="B35" s="16" t="s">
        <v>48</v>
      </c>
      <c r="C35" s="16" t="s">
        <v>48</v>
      </c>
      <c r="D35" s="17" t="n">
        <v>35065</v>
      </c>
      <c r="E35" s="17"/>
      <c r="F35" s="17" t="s">
        <v>53</v>
      </c>
      <c r="G35" s="15" t="s">
        <v>54</v>
      </c>
      <c r="H35" s="18" t="n">
        <v>50000</v>
      </c>
      <c r="I35" s="16"/>
      <c r="J35" s="19" t="e">
        <f aca="false">0/#REF!</f>
        <v>#REF!</v>
      </c>
      <c r="K35" s="20" t="n">
        <v>0.198</v>
      </c>
      <c r="L35" s="20" t="n">
        <v>0</v>
      </c>
      <c r="M35" s="20" t="n">
        <v>0</v>
      </c>
      <c r="N35" s="20" t="n">
        <v>0.02</v>
      </c>
      <c r="O35" s="20" t="n">
        <f aca="false">+P35*2.2</f>
        <v>0.05016</v>
      </c>
      <c r="P35" s="21" t="n">
        <v>0.0228</v>
      </c>
      <c r="Q35" s="20" t="e">
        <f aca="false">SUM(J35:O35)</f>
        <v>#REF!</v>
      </c>
      <c r="R35" s="22" t="s">
        <v>55</v>
      </c>
      <c r="S35" s="16" t="n">
        <v>85315</v>
      </c>
      <c r="T35" s="15"/>
      <c r="U35" s="23" t="n">
        <v>0</v>
      </c>
      <c r="V35" s="23" t="n">
        <v>0</v>
      </c>
      <c r="W35" s="24" t="n">
        <v>77853</v>
      </c>
      <c r="X35" s="24"/>
    </row>
    <row r="36" customFormat="false" ht="13.5" hidden="false" customHeight="true" outlineLevel="0" collapsed="false">
      <c r="A36" s="15" t="s">
        <v>52</v>
      </c>
      <c r="B36" s="16" t="s">
        <v>48</v>
      </c>
      <c r="C36" s="16" t="s">
        <v>48</v>
      </c>
      <c r="D36" s="17" t="n">
        <v>35065</v>
      </c>
      <c r="E36" s="17"/>
      <c r="F36" s="17" t="s">
        <v>53</v>
      </c>
      <c r="G36" s="15" t="s">
        <v>56</v>
      </c>
      <c r="H36" s="18" t="n">
        <v>50001</v>
      </c>
      <c r="I36" s="16"/>
      <c r="J36" s="19" t="e">
        <f aca="false">0/#REF!</f>
        <v>#REF!</v>
      </c>
      <c r="K36" s="20" t="n">
        <v>0.198</v>
      </c>
      <c r="L36" s="20" t="n">
        <v>0</v>
      </c>
      <c r="M36" s="20" t="n">
        <v>0</v>
      </c>
      <c r="N36" s="20" t="n">
        <v>0.02</v>
      </c>
      <c r="O36" s="20" t="n">
        <f aca="false">+P36*2.2</f>
        <v>0.05016</v>
      </c>
      <c r="P36" s="21" t="n">
        <v>0.0228</v>
      </c>
      <c r="Q36" s="20" t="e">
        <f aca="false">SUM(J36:O36)</f>
        <v>#REF!</v>
      </c>
      <c r="R36" s="22" t="s">
        <v>57</v>
      </c>
      <c r="S36" s="16" t="n">
        <v>78123</v>
      </c>
      <c r="T36" s="15"/>
      <c r="U36" s="23" t="n">
        <v>0</v>
      </c>
      <c r="V36" s="23" t="n">
        <v>0</v>
      </c>
      <c r="W36" s="24" t="n">
        <v>77860</v>
      </c>
      <c r="X36" s="24"/>
    </row>
    <row r="37" customFormat="false" ht="13.5" hidden="false" customHeight="true" outlineLevel="0" collapsed="false">
      <c r="A37" s="15" t="s">
        <v>52</v>
      </c>
      <c r="B37" s="16" t="s">
        <v>48</v>
      </c>
      <c r="C37" s="16" t="s">
        <v>48</v>
      </c>
      <c r="D37" s="17" t="n">
        <v>35065</v>
      </c>
      <c r="E37" s="17"/>
      <c r="F37" s="17" t="s">
        <v>53</v>
      </c>
      <c r="G37" s="15" t="s">
        <v>58</v>
      </c>
      <c r="H37" s="18" t="n">
        <v>50002</v>
      </c>
      <c r="I37" s="16"/>
      <c r="J37" s="19" t="e">
        <f aca="false">0/#REF!</f>
        <v>#REF!</v>
      </c>
      <c r="K37" s="20" t="n">
        <v>0.198</v>
      </c>
      <c r="L37" s="20" t="n">
        <v>0</v>
      </c>
      <c r="M37" s="20" t="n">
        <v>0</v>
      </c>
      <c r="N37" s="20" t="n">
        <v>0.02</v>
      </c>
      <c r="O37" s="20" t="n">
        <f aca="false">+P37*2.2</f>
        <v>0.05016</v>
      </c>
      <c r="P37" s="21" t="n">
        <v>0.0228</v>
      </c>
      <c r="Q37" s="20" t="e">
        <f aca="false">SUM(J37:O37)</f>
        <v>#REF!</v>
      </c>
      <c r="R37" s="22" t="s">
        <v>59</v>
      </c>
      <c r="S37" s="16" t="n">
        <v>77922</v>
      </c>
      <c r="T37" s="15"/>
      <c r="U37" s="23" t="n">
        <v>0</v>
      </c>
      <c r="V37" s="23" t="n">
        <v>0</v>
      </c>
      <c r="W37" s="24" t="n">
        <v>80517</v>
      </c>
      <c r="X37" s="24"/>
    </row>
    <row r="38" customFormat="false" ht="13.5" hidden="false" customHeight="true" outlineLevel="0" collapsed="false">
      <c r="A38" s="15" t="s">
        <v>52</v>
      </c>
      <c r="B38" s="16" t="s">
        <v>48</v>
      </c>
      <c r="C38" s="16" t="s">
        <v>48</v>
      </c>
      <c r="D38" s="17" t="n">
        <v>35065</v>
      </c>
      <c r="E38" s="17"/>
      <c r="F38" s="17" t="s">
        <v>53</v>
      </c>
      <c r="G38" s="15" t="s">
        <v>60</v>
      </c>
      <c r="H38" s="18" t="n">
        <v>50003</v>
      </c>
      <c r="I38" s="16"/>
      <c r="J38" s="19" t="e">
        <f aca="false">0/#REF!</f>
        <v>#REF!</v>
      </c>
      <c r="K38" s="20" t="n">
        <v>0.198</v>
      </c>
      <c r="L38" s="20" t="n">
        <v>0</v>
      </c>
      <c r="M38" s="20" t="n">
        <v>0</v>
      </c>
      <c r="N38" s="20" t="n">
        <v>0.02</v>
      </c>
      <c r="O38" s="20" t="n">
        <f aca="false">+P38*2.2</f>
        <v>0.05016</v>
      </c>
      <c r="P38" s="21" t="n">
        <v>0.0228</v>
      </c>
      <c r="Q38" s="20" t="e">
        <f aca="false">SUM(J38:O38)</f>
        <v>#REF!</v>
      </c>
      <c r="R38" s="22" t="s">
        <v>61</v>
      </c>
      <c r="S38" s="16" t="n">
        <v>35087</v>
      </c>
      <c r="T38" s="15"/>
      <c r="U38" s="23" t="n">
        <v>0</v>
      </c>
      <c r="V38" s="23" t="n">
        <v>0</v>
      </c>
      <c r="W38" s="24" t="n">
        <v>80537</v>
      </c>
      <c r="X38" s="24"/>
    </row>
    <row r="39" customFormat="false" ht="13.5" hidden="false" customHeight="true" outlineLevel="0" collapsed="false">
      <c r="A39" s="15" t="s">
        <v>52</v>
      </c>
      <c r="B39" s="16" t="s">
        <v>48</v>
      </c>
      <c r="C39" s="16" t="s">
        <v>48</v>
      </c>
      <c r="D39" s="17" t="n">
        <v>35065</v>
      </c>
      <c r="E39" s="17"/>
      <c r="F39" s="17" t="s">
        <v>53</v>
      </c>
      <c r="G39" s="15" t="s">
        <v>62</v>
      </c>
      <c r="H39" s="18" t="n">
        <v>50004</v>
      </c>
      <c r="I39" s="16"/>
      <c r="J39" s="19" t="e">
        <f aca="false">0/#REF!</f>
        <v>#REF!</v>
      </c>
      <c r="K39" s="20" t="n">
        <v>0.198</v>
      </c>
      <c r="L39" s="20" t="n">
        <v>0</v>
      </c>
      <c r="M39" s="20" t="n">
        <v>0</v>
      </c>
      <c r="N39" s="20" t="n">
        <v>0.02</v>
      </c>
      <c r="O39" s="20" t="n">
        <f aca="false">+P39*2.2</f>
        <v>0.05016</v>
      </c>
      <c r="P39" s="21" t="n">
        <v>0.0228</v>
      </c>
      <c r="Q39" s="20" t="e">
        <f aca="false">SUM(J39:O39)</f>
        <v>#REF!</v>
      </c>
      <c r="R39" s="22" t="s">
        <v>63</v>
      </c>
      <c r="S39" s="16" t="n">
        <v>39194</v>
      </c>
      <c r="T39" s="15"/>
      <c r="U39" s="23" t="n">
        <v>0</v>
      </c>
      <c r="V39" s="23" t="n">
        <v>0</v>
      </c>
      <c r="W39" s="24" t="n">
        <v>80538</v>
      </c>
      <c r="X39" s="24"/>
    </row>
    <row r="40" customFormat="false" ht="13.5" hidden="false" customHeight="true" outlineLevel="0" collapsed="false">
      <c r="A40" s="15" t="s">
        <v>52</v>
      </c>
      <c r="B40" s="16" t="s">
        <v>48</v>
      </c>
      <c r="C40" s="16" t="s">
        <v>48</v>
      </c>
      <c r="D40" s="17" t="n">
        <v>35065</v>
      </c>
      <c r="E40" s="17"/>
      <c r="F40" s="17" t="s">
        <v>53</v>
      </c>
      <c r="G40" s="15" t="s">
        <v>64</v>
      </c>
      <c r="H40" s="18" t="n">
        <v>50000</v>
      </c>
      <c r="I40" s="16"/>
      <c r="J40" s="19" t="e">
        <f aca="false">0/#REF!</f>
        <v>#REF!</v>
      </c>
      <c r="K40" s="20" t="n">
        <v>0</v>
      </c>
      <c r="L40" s="20" t="n">
        <v>0</v>
      </c>
      <c r="M40" s="20" t="n">
        <v>0</v>
      </c>
      <c r="N40" s="20" t="n">
        <v>0.02</v>
      </c>
      <c r="O40" s="20" t="n">
        <f aca="false">+P40*2.2</f>
        <v>0</v>
      </c>
      <c r="P40" s="21" t="n">
        <v>0</v>
      </c>
      <c r="Q40" s="20" t="e">
        <f aca="false">SUM(J40:O40)</f>
        <v>#REF!</v>
      </c>
      <c r="R40" s="22" t="s">
        <v>65</v>
      </c>
      <c r="S40" s="16" t="n">
        <v>9185</v>
      </c>
      <c r="T40" s="15"/>
      <c r="U40" s="23" t="n">
        <v>0</v>
      </c>
      <c r="V40" s="23" t="n">
        <v>0</v>
      </c>
      <c r="W40" s="24" t="n">
        <v>77852</v>
      </c>
      <c r="X40" s="24"/>
    </row>
    <row r="41" customFormat="false" ht="13.5" hidden="false" customHeight="true" outlineLevel="0" collapsed="false">
      <c r="A41" s="15" t="s">
        <v>52</v>
      </c>
      <c r="B41" s="16" t="s">
        <v>48</v>
      </c>
      <c r="C41" s="16" t="s">
        <v>48</v>
      </c>
      <c r="D41" s="17" t="n">
        <v>35065</v>
      </c>
      <c r="E41" s="17"/>
      <c r="F41" s="17" t="s">
        <v>53</v>
      </c>
      <c r="G41" s="15" t="s">
        <v>66</v>
      </c>
      <c r="H41" s="18" t="n">
        <v>50001</v>
      </c>
      <c r="I41" s="16"/>
      <c r="J41" s="19" t="e">
        <f aca="false">0/#REF!</f>
        <v>#REF!</v>
      </c>
      <c r="K41" s="20" t="n">
        <v>0</v>
      </c>
      <c r="L41" s="20" t="n">
        <v>0</v>
      </c>
      <c r="M41" s="20" t="n">
        <v>0</v>
      </c>
      <c r="N41" s="20" t="n">
        <v>0.02</v>
      </c>
      <c r="O41" s="20" t="n">
        <f aca="false">+P41*2.2</f>
        <v>0</v>
      </c>
      <c r="P41" s="21" t="n">
        <v>0</v>
      </c>
      <c r="Q41" s="20" t="e">
        <f aca="false">SUM(J41:O41)</f>
        <v>#REF!</v>
      </c>
      <c r="R41" s="22" t="s">
        <v>67</v>
      </c>
      <c r="S41" s="16" t="n">
        <v>16377</v>
      </c>
      <c r="T41" s="15"/>
      <c r="U41" s="23" t="n">
        <v>0</v>
      </c>
      <c r="V41" s="23" t="n">
        <v>0</v>
      </c>
      <c r="W41" s="24" t="n">
        <v>77858</v>
      </c>
      <c r="X41" s="24"/>
    </row>
    <row r="42" customFormat="false" ht="13.5" hidden="false" customHeight="true" outlineLevel="0" collapsed="false">
      <c r="A42" s="15" t="s">
        <v>52</v>
      </c>
      <c r="B42" s="16" t="s">
        <v>48</v>
      </c>
      <c r="C42" s="16" t="s">
        <v>48</v>
      </c>
      <c r="D42" s="17" t="n">
        <v>35065</v>
      </c>
      <c r="E42" s="17"/>
      <c r="F42" s="17" t="s">
        <v>53</v>
      </c>
      <c r="G42" s="15" t="s">
        <v>68</v>
      </c>
      <c r="H42" s="18" t="n">
        <v>50002</v>
      </c>
      <c r="I42" s="16"/>
      <c r="J42" s="19" t="e">
        <f aca="false">0/#REF!</f>
        <v>#REF!</v>
      </c>
      <c r="K42" s="20" t="n">
        <v>0</v>
      </c>
      <c r="L42" s="20" t="n">
        <v>0</v>
      </c>
      <c r="M42" s="20" t="n">
        <v>0</v>
      </c>
      <c r="N42" s="20" t="n">
        <v>0.02</v>
      </c>
      <c r="O42" s="20" t="n">
        <f aca="false">+P42*2.2</f>
        <v>0</v>
      </c>
      <c r="P42" s="21" t="n">
        <v>0</v>
      </c>
      <c r="Q42" s="20" t="e">
        <f aca="false">SUM(J42:O42)</f>
        <v>#REF!</v>
      </c>
      <c r="R42" s="22" t="s">
        <v>69</v>
      </c>
      <c r="S42" s="16" t="n">
        <v>3578</v>
      </c>
      <c r="T42" s="15"/>
      <c r="U42" s="23" t="n">
        <v>0</v>
      </c>
      <c r="V42" s="23" t="n">
        <v>0</v>
      </c>
      <c r="W42" s="24" t="n">
        <v>77845</v>
      </c>
      <c r="X42" s="24"/>
    </row>
    <row r="43" customFormat="false" ht="13.5" hidden="false" customHeight="true" outlineLevel="0" collapsed="false">
      <c r="A43" s="15" t="s">
        <v>52</v>
      </c>
      <c r="B43" s="16" t="s">
        <v>48</v>
      </c>
      <c r="C43" s="16" t="s">
        <v>48</v>
      </c>
      <c r="D43" s="17" t="n">
        <v>35065</v>
      </c>
      <c r="E43" s="17"/>
      <c r="F43" s="17" t="s">
        <v>53</v>
      </c>
      <c r="G43" s="15" t="s">
        <v>70</v>
      </c>
      <c r="H43" s="18" t="n">
        <v>50003</v>
      </c>
      <c r="I43" s="16"/>
      <c r="J43" s="19" t="e">
        <f aca="false">0/#REF!</f>
        <v>#REF!</v>
      </c>
      <c r="K43" s="20" t="n">
        <v>0</v>
      </c>
      <c r="L43" s="20" t="n">
        <v>0</v>
      </c>
      <c r="M43" s="20" t="n">
        <v>0</v>
      </c>
      <c r="N43" s="20" t="n">
        <v>0.02</v>
      </c>
      <c r="O43" s="20" t="n">
        <f aca="false">+P43*2.2</f>
        <v>0</v>
      </c>
      <c r="P43" s="21" t="n">
        <v>0</v>
      </c>
      <c r="Q43" s="20" t="e">
        <f aca="false">SUM(J43:O43)</f>
        <v>#REF!</v>
      </c>
      <c r="R43" s="22" t="s">
        <v>71</v>
      </c>
      <c r="S43" s="16" t="n">
        <v>6913</v>
      </c>
      <c r="T43" s="15"/>
      <c r="U43" s="23" t="n">
        <v>0</v>
      </c>
      <c r="V43" s="23" t="n">
        <v>0</v>
      </c>
      <c r="W43" s="24" t="n">
        <v>77848</v>
      </c>
      <c r="X43" s="24"/>
    </row>
    <row r="44" customFormat="false" ht="13.5" hidden="false" customHeight="true" outlineLevel="0" collapsed="false">
      <c r="A44" s="15" t="s">
        <v>52</v>
      </c>
      <c r="B44" s="16" t="s">
        <v>48</v>
      </c>
      <c r="C44" s="16" t="s">
        <v>48</v>
      </c>
      <c r="D44" s="17" t="n">
        <v>35065</v>
      </c>
      <c r="E44" s="17"/>
      <c r="F44" s="17" t="s">
        <v>53</v>
      </c>
      <c r="G44" s="15" t="s">
        <v>72</v>
      </c>
      <c r="H44" s="18" t="n">
        <v>50004</v>
      </c>
      <c r="I44" s="16"/>
      <c r="J44" s="19" t="e">
        <f aca="false">0/#REF!</f>
        <v>#REF!</v>
      </c>
      <c r="K44" s="20" t="n">
        <v>0</v>
      </c>
      <c r="L44" s="20" t="n">
        <v>0</v>
      </c>
      <c r="M44" s="20" t="n">
        <v>0</v>
      </c>
      <c r="N44" s="20" t="n">
        <v>0.02</v>
      </c>
      <c r="O44" s="20" t="n">
        <f aca="false">+P44*2.2</f>
        <v>0</v>
      </c>
      <c r="P44" s="21" t="n">
        <v>0</v>
      </c>
      <c r="Q44" s="20" t="e">
        <f aca="false">SUM(J44:O44)</f>
        <v>#REF!</v>
      </c>
      <c r="R44" s="22" t="s">
        <v>73</v>
      </c>
      <c r="S44" s="16" t="n">
        <v>18556</v>
      </c>
      <c r="T44" s="15"/>
      <c r="U44" s="23" t="n">
        <v>0</v>
      </c>
      <c r="V44" s="23" t="n">
        <v>0</v>
      </c>
      <c r="W44" s="24" t="n">
        <v>77850</v>
      </c>
      <c r="X44" s="24"/>
    </row>
    <row r="46" customFormat="false" ht="12.75" hidden="false" customHeight="false" outlineLevel="0" collapsed="false">
      <c r="A46" s="1" t="s">
        <v>74</v>
      </c>
      <c r="B46" s="2" t="s">
        <v>75</v>
      </c>
      <c r="C46" s="2" t="n">
        <v>104749</v>
      </c>
      <c r="D46" s="3" t="s">
        <v>76</v>
      </c>
      <c r="G46" s="4" t="s">
        <v>77</v>
      </c>
      <c r="J46" s="1" t="s">
        <v>78</v>
      </c>
    </row>
    <row r="47" customFormat="false" ht="12.75" hidden="false" customHeight="false" outlineLevel="0" collapsed="false">
      <c r="A47" s="1" t="s">
        <v>74</v>
      </c>
      <c r="B47" s="2" t="s">
        <v>79</v>
      </c>
      <c r="C47" s="2" t="n">
        <v>82026</v>
      </c>
      <c r="D47" s="3" t="s">
        <v>11</v>
      </c>
      <c r="G47" s="4" t="s">
        <v>12</v>
      </c>
      <c r="H47" s="4" t="s">
        <v>12</v>
      </c>
    </row>
    <row r="49" customFormat="false" ht="12.75" hidden="false" customHeight="false" outlineLevel="0" collapsed="false">
      <c r="A49" s="1" t="s">
        <v>80</v>
      </c>
      <c r="B49" s="2" t="s">
        <v>81</v>
      </c>
      <c r="C49" s="2" t="n">
        <v>117510</v>
      </c>
      <c r="D49" s="3" t="s">
        <v>11</v>
      </c>
      <c r="J49" s="1" t="s">
        <v>82</v>
      </c>
    </row>
    <row r="51" customFormat="false" ht="12.75" hidden="false" customHeight="false" outlineLevel="0" collapsed="false">
      <c r="A51" s="1" t="s">
        <v>83</v>
      </c>
      <c r="B51" s="2" t="n">
        <v>15</v>
      </c>
      <c r="C51" s="2" t="n">
        <v>125711</v>
      </c>
      <c r="D51" s="3" t="s">
        <v>11</v>
      </c>
    </row>
    <row r="53" customFormat="false" ht="12.75" hidden="false" customHeight="false" outlineLevel="0" collapsed="false">
      <c r="A53" s="1" t="s">
        <v>84</v>
      </c>
      <c r="B53" s="2" t="s">
        <v>85</v>
      </c>
      <c r="C53" s="2" t="n">
        <v>124109</v>
      </c>
      <c r="D53" s="3" t="s">
        <v>86</v>
      </c>
    </row>
    <row r="54" customFormat="false" ht="12.75" hidden="false" customHeight="false" outlineLevel="0" collapsed="false">
      <c r="A54" s="1" t="s">
        <v>84</v>
      </c>
      <c r="B54" s="2" t="s">
        <v>87</v>
      </c>
      <c r="C54" s="2" t="n">
        <v>77753</v>
      </c>
      <c r="D54" s="3" t="s">
        <v>11</v>
      </c>
    </row>
    <row r="56" customFormat="false" ht="12.75" hidden="false" customHeight="false" outlineLevel="0" collapsed="false">
      <c r="A56" s="1" t="s">
        <v>88</v>
      </c>
      <c r="B56" s="2" t="s">
        <v>89</v>
      </c>
      <c r="C56" s="2" t="n">
        <v>220796</v>
      </c>
      <c r="D56" s="3" t="s">
        <v>11</v>
      </c>
      <c r="F56" s="1" t="s">
        <v>90</v>
      </c>
      <c r="J56" s="1" t="s">
        <v>91</v>
      </c>
    </row>
    <row r="59" customFormat="false" ht="12.75" hidden="false" customHeight="false" outlineLevel="0" collapsed="false">
      <c r="A59" s="15" t="s">
        <v>92</v>
      </c>
      <c r="B59" s="16" t="s">
        <v>93</v>
      </c>
      <c r="C59" s="16" t="s">
        <v>93</v>
      </c>
      <c r="D59" s="17" t="s">
        <v>90</v>
      </c>
      <c r="E59" s="17" t="s">
        <v>90</v>
      </c>
      <c r="F59" s="15" t="s">
        <v>94</v>
      </c>
      <c r="G59" s="15" t="s">
        <v>94</v>
      </c>
      <c r="H59" s="16" t="s">
        <v>11</v>
      </c>
      <c r="I59" s="19" t="n">
        <v>0</v>
      </c>
      <c r="J59" s="20" t="n">
        <v>0</v>
      </c>
      <c r="K59" s="20" t="n">
        <v>0.0022</v>
      </c>
      <c r="L59" s="20" t="n">
        <v>0.0072</v>
      </c>
      <c r="M59" s="20" t="n">
        <v>0.0131</v>
      </c>
      <c r="N59" s="25" t="n">
        <v>0</v>
      </c>
      <c r="O59" s="20" t="n">
        <f aca="false">SUM(I59:M59)</f>
        <v>0.0225</v>
      </c>
      <c r="P59" s="22" t="s">
        <v>95</v>
      </c>
      <c r="Q59" s="22" t="s">
        <v>95</v>
      </c>
      <c r="R59" s="16" t="n">
        <v>0</v>
      </c>
      <c r="S59" s="15" t="s">
        <v>96</v>
      </c>
      <c r="T59" s="23" t="n">
        <f aca="false">I59*I$1*R59</f>
        <v>0</v>
      </c>
      <c r="U59" s="23"/>
      <c r="V59" s="26"/>
      <c r="W59" s="26" t="n">
        <v>145336</v>
      </c>
      <c r="X59" s="24"/>
      <c r="Y5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14" min="12" style="564" width="9.14"/>
  </cols>
  <sheetData>
    <row r="1" customFormat="false" ht="12.75" hidden="false" customHeight="false" outlineLevel="0" collapsed="false">
      <c r="A1" s="565"/>
      <c r="B1" s="565"/>
      <c r="C1" s="565"/>
      <c r="D1" s="565"/>
      <c r="E1" s="565"/>
      <c r="F1" s="565"/>
      <c r="G1" s="565"/>
      <c r="H1" s="565"/>
      <c r="I1" s="565"/>
      <c r="J1" s="565"/>
    </row>
    <row r="2" customFormat="false" ht="12.75" hidden="false" customHeight="false" outlineLevel="0" collapsed="false">
      <c r="A2" s="565"/>
      <c r="B2" s="565"/>
      <c r="C2" s="565"/>
      <c r="D2" s="565"/>
      <c r="E2" s="565"/>
      <c r="F2" s="565"/>
      <c r="G2" s="565"/>
      <c r="H2" s="565"/>
      <c r="I2" s="565"/>
      <c r="J2" s="565"/>
    </row>
    <row r="3" customFormat="false" ht="12.75" hidden="false" customHeight="false" outlineLevel="0" collapsed="false">
      <c r="A3" s="565"/>
      <c r="B3" s="565"/>
      <c r="C3" s="565"/>
      <c r="D3" s="565"/>
      <c r="E3" s="565"/>
      <c r="F3" s="565"/>
      <c r="G3" s="565"/>
      <c r="H3" s="565"/>
      <c r="I3" s="565"/>
      <c r="J3" s="565"/>
    </row>
    <row r="4" customFormat="false" ht="12.75" hidden="false" customHeight="false" outlineLevel="0" collapsed="false">
      <c r="A4" s="565"/>
      <c r="B4" s="565"/>
      <c r="C4" s="565"/>
      <c r="D4" s="565"/>
      <c r="E4" s="565"/>
      <c r="F4" s="565"/>
      <c r="G4" s="565"/>
      <c r="H4" s="565"/>
      <c r="I4" s="565"/>
      <c r="J4" s="565"/>
    </row>
    <row r="5" customFormat="false" ht="12.75" hidden="false" customHeight="false" outlineLevel="0" collapsed="false">
      <c r="A5" s="565"/>
      <c r="B5" s="565"/>
      <c r="C5" s="565"/>
      <c r="D5" s="565"/>
      <c r="E5" s="565"/>
      <c r="F5" s="565"/>
      <c r="G5" s="565"/>
      <c r="H5" s="565"/>
      <c r="I5" s="565"/>
      <c r="J5" s="565"/>
    </row>
    <row r="6" customFormat="false" ht="12.75" hidden="false" customHeight="false" outlineLevel="0" collapsed="false">
      <c r="A6" s="565"/>
      <c r="B6" s="565"/>
      <c r="C6" s="565"/>
      <c r="D6" s="565"/>
      <c r="E6" s="565"/>
      <c r="F6" s="565"/>
      <c r="G6" s="565"/>
      <c r="H6" s="565"/>
      <c r="I6" s="565"/>
      <c r="J6" s="565"/>
    </row>
    <row r="7" customFormat="false" ht="12.75" hidden="false" customHeight="false" outlineLevel="0" collapsed="false">
      <c r="A7" s="565"/>
      <c r="B7" s="565"/>
      <c r="C7" s="565"/>
      <c r="D7" s="565"/>
      <c r="E7" s="565"/>
      <c r="F7" s="565"/>
      <c r="G7" s="565"/>
      <c r="H7" s="565"/>
      <c r="I7" s="565"/>
      <c r="J7" s="565"/>
    </row>
    <row r="8" customFormat="false" ht="12.75" hidden="false" customHeight="false" outlineLevel="0" collapsed="false">
      <c r="A8" s="565"/>
      <c r="B8" s="565"/>
      <c r="C8" s="565"/>
      <c r="D8" s="565"/>
      <c r="E8" s="565"/>
      <c r="F8" s="565"/>
      <c r="G8" s="565"/>
      <c r="H8" s="565"/>
      <c r="I8" s="565"/>
      <c r="J8" s="565"/>
    </row>
    <row r="9" customFormat="false" ht="12.75" hidden="false" customHeight="false" outlineLevel="0" collapsed="false">
      <c r="A9" s="565"/>
      <c r="B9" s="565" t="s">
        <v>25</v>
      </c>
      <c r="C9" s="565"/>
      <c r="D9" s="565"/>
      <c r="E9" s="565"/>
      <c r="F9" s="565"/>
      <c r="G9" s="565"/>
      <c r="H9" s="565"/>
      <c r="I9" s="565"/>
      <c r="J9" s="565"/>
    </row>
    <row r="10" customFormat="false" ht="12.75" hidden="false" customHeight="false" outlineLevel="0" collapsed="false">
      <c r="A10" s="565"/>
      <c r="B10" s="565"/>
      <c r="C10" s="565"/>
      <c r="D10" s="565"/>
      <c r="E10" s="565" t="s">
        <v>1005</v>
      </c>
      <c r="F10" s="565" t="s">
        <v>1006</v>
      </c>
      <c r="G10" s="565"/>
      <c r="H10" s="565" t="s">
        <v>1006</v>
      </c>
      <c r="I10" s="565"/>
      <c r="J10" s="565"/>
    </row>
    <row r="11" customFormat="false" ht="12.75" hidden="false" customHeight="false" outlineLevel="0" collapsed="false">
      <c r="A11" s="565"/>
      <c r="B11" s="566" t="s">
        <v>1007</v>
      </c>
      <c r="C11" s="566" t="s">
        <v>1008</v>
      </c>
      <c r="D11" s="566" t="s">
        <v>1009</v>
      </c>
      <c r="E11" s="566" t="s">
        <v>1010</v>
      </c>
      <c r="F11" s="566" t="s">
        <v>1011</v>
      </c>
      <c r="G11" s="566" t="s">
        <v>1012</v>
      </c>
      <c r="H11" s="566" t="s">
        <v>1012</v>
      </c>
      <c r="I11" s="566" t="s">
        <v>1013</v>
      </c>
      <c r="J11" s="565"/>
    </row>
    <row r="12" customFormat="false" ht="12.75" hidden="false" customHeight="false" outlineLevel="0" collapsed="false">
      <c r="A12" s="565"/>
      <c r="B12" s="567" t="s">
        <v>1014</v>
      </c>
      <c r="C12" s="568" t="n">
        <v>5000</v>
      </c>
      <c r="D12" s="569" t="n">
        <f aca="false">+C12/C17</f>
        <v>0.333333333333333</v>
      </c>
      <c r="E12" s="569" t="n">
        <f aca="false">+'Offseason Rate'!E42</f>
        <v>0.452756705195825</v>
      </c>
      <c r="F12" s="569" t="n">
        <f aca="false">+D12*E12</f>
        <v>0.150918901731942</v>
      </c>
      <c r="G12" s="569" t="n">
        <v>-0.0825</v>
      </c>
      <c r="H12" s="569" t="n">
        <f aca="false">+G12*D12</f>
        <v>-0.0275</v>
      </c>
      <c r="I12" s="569" t="n">
        <f aca="false">+F12+H12</f>
        <v>0.123418901731942</v>
      </c>
      <c r="J12" s="565"/>
    </row>
    <row r="13" customFormat="false" ht="12.75" hidden="false" customHeight="false" outlineLevel="0" collapsed="false">
      <c r="A13" s="565"/>
      <c r="B13" s="567" t="s">
        <v>1015</v>
      </c>
      <c r="C13" s="568" t="n">
        <v>5000</v>
      </c>
      <c r="D13" s="569" t="n">
        <f aca="false">+C13/C17</f>
        <v>0.333333333333333</v>
      </c>
      <c r="E13" s="569" t="n">
        <f aca="false">+'Offseason Rate'!E67</f>
        <v>0.346291966759003</v>
      </c>
      <c r="F13" s="569" t="n">
        <f aca="false">+D13*E13</f>
        <v>0.115430655586334</v>
      </c>
      <c r="G13" s="569" t="n">
        <v>-0.0575</v>
      </c>
      <c r="H13" s="569" t="n">
        <f aca="false">+G13*D13</f>
        <v>-0.0191666666666667</v>
      </c>
      <c r="I13" s="569" t="n">
        <f aca="false">+F13+H13</f>
        <v>0.0962639889196676</v>
      </c>
      <c r="J13" s="565"/>
    </row>
    <row r="14" customFormat="false" ht="12.75" hidden="false" customHeight="false" outlineLevel="0" collapsed="false">
      <c r="A14" s="565"/>
      <c r="B14" s="567" t="s">
        <v>1016</v>
      </c>
      <c r="C14" s="568" t="n">
        <v>5000</v>
      </c>
      <c r="D14" s="569" t="n">
        <f aca="false">+C14/C17</f>
        <v>0.333333333333333</v>
      </c>
      <c r="E14" s="569" t="n">
        <f aca="false">+'Offseason Rate'!E107</f>
        <v>0.365117408550022</v>
      </c>
      <c r="F14" s="569" t="n">
        <f aca="false">+D14*E14</f>
        <v>0.121705802850007</v>
      </c>
      <c r="G14" s="569" t="n">
        <v>-0.045</v>
      </c>
      <c r="H14" s="569" t="n">
        <f aca="false">+G14*D14</f>
        <v>-0.015</v>
      </c>
      <c r="I14" s="569" t="n">
        <f aca="false">+F14+H14</f>
        <v>0.106705802850007</v>
      </c>
      <c r="J14" s="565"/>
    </row>
    <row r="15" customFormat="false" ht="12.75" hidden="false" customHeight="false" outlineLevel="0" collapsed="false">
      <c r="A15" s="565"/>
      <c r="B15" s="567" t="s">
        <v>1017</v>
      </c>
      <c r="C15" s="568" t="n">
        <v>0</v>
      </c>
      <c r="D15" s="569" t="n">
        <f aca="false">+C15/C17</f>
        <v>0</v>
      </c>
      <c r="E15" s="569" t="n">
        <f aca="false">+'Offseason Rate'!E122</f>
        <v>0.276923985437413</v>
      </c>
      <c r="F15" s="569" t="n">
        <f aca="false">+D15*E15</f>
        <v>0</v>
      </c>
      <c r="G15" s="569" t="n">
        <v>0</v>
      </c>
      <c r="H15" s="569" t="n">
        <f aca="false">+G15*D15</f>
        <v>0</v>
      </c>
      <c r="I15" s="569" t="n">
        <f aca="false">+F15+H15</f>
        <v>0</v>
      </c>
      <c r="J15" s="565"/>
    </row>
    <row r="16" customFormat="false" ht="12.75" hidden="false" customHeight="false" outlineLevel="0" collapsed="false">
      <c r="A16" s="565"/>
      <c r="B16" s="567" t="s">
        <v>1018</v>
      </c>
      <c r="C16" s="570" t="n">
        <v>0</v>
      </c>
      <c r="D16" s="571" t="n">
        <f aca="false">+C16/C17</f>
        <v>0</v>
      </c>
      <c r="E16" s="569" t="n">
        <f aca="false">+'Offseason Rate'!E107</f>
        <v>0.365117408550022</v>
      </c>
      <c r="F16" s="571" t="n">
        <f aca="false">+D16*E16</f>
        <v>0</v>
      </c>
      <c r="G16" s="569" t="n">
        <v>0</v>
      </c>
      <c r="H16" s="569" t="n">
        <f aca="false">+G16*D16</f>
        <v>0</v>
      </c>
      <c r="I16" s="571" t="n">
        <f aca="false">+F16+H16</f>
        <v>0</v>
      </c>
      <c r="J16" s="565"/>
    </row>
    <row r="17" customFormat="false" ht="12.75" hidden="false" customHeight="false" outlineLevel="0" collapsed="false">
      <c r="A17" s="565"/>
      <c r="B17" s="565"/>
      <c r="C17" s="568" t="n">
        <f aca="false">SUM(C12:C16)</f>
        <v>15000</v>
      </c>
      <c r="D17" s="569" t="n">
        <f aca="false">SUM(D12:D16)</f>
        <v>1</v>
      </c>
      <c r="E17" s="565"/>
      <c r="F17" s="569" t="n">
        <f aca="false">SUM(F12:F16)</f>
        <v>0.388055360168283</v>
      </c>
      <c r="G17" s="565"/>
      <c r="H17" s="565"/>
      <c r="I17" s="572" t="n">
        <f aca="false">SUM(I12:I16)</f>
        <v>0.326388693501617</v>
      </c>
      <c r="J17" s="565"/>
    </row>
    <row r="18" customFormat="false" ht="12.75" hidden="false" customHeight="false" outlineLevel="0" collapsed="false">
      <c r="A18" s="565"/>
      <c r="B18" s="565"/>
      <c r="C18" s="565"/>
      <c r="D18" s="565"/>
      <c r="E18" s="565"/>
      <c r="F18" s="565"/>
      <c r="G18" s="565"/>
      <c r="H18" s="565" t="s">
        <v>1019</v>
      </c>
      <c r="I18" s="573" t="n">
        <v>0.215</v>
      </c>
      <c r="J18" s="565"/>
    </row>
    <row r="19" customFormat="false" ht="13.5" hidden="false" customHeight="false" outlineLevel="0" collapsed="false">
      <c r="A19" s="565"/>
      <c r="B19" s="565"/>
      <c r="C19" s="565"/>
      <c r="D19" s="565"/>
      <c r="E19" s="565"/>
      <c r="F19" s="565"/>
      <c r="G19" s="565"/>
      <c r="H19" s="574" t="s">
        <v>1020</v>
      </c>
      <c r="I19" s="575" t="n">
        <f aca="false">+I18-I17</f>
        <v>-0.111388693501617</v>
      </c>
      <c r="J19" s="565"/>
    </row>
    <row r="20" customFormat="false" ht="13.5" hidden="false" customHeight="false" outlineLevel="0" collapsed="false">
      <c r="A20" s="565"/>
      <c r="B20" s="565"/>
      <c r="C20" s="565"/>
      <c r="D20" s="565"/>
      <c r="E20" s="565"/>
      <c r="F20" s="565"/>
      <c r="G20" s="565"/>
      <c r="H20" s="565"/>
      <c r="I20" s="569"/>
      <c r="J20" s="565"/>
    </row>
    <row r="21" customFormat="false" ht="12.75" hidden="false" customHeight="false" outlineLevel="0" collapsed="false">
      <c r="A21" s="565"/>
      <c r="B21" s="565"/>
      <c r="C21" s="565"/>
      <c r="D21" s="565"/>
      <c r="E21" s="565"/>
      <c r="F21" s="565"/>
      <c r="G21" s="565"/>
      <c r="H21" s="565"/>
      <c r="I21" s="565"/>
      <c r="J21" s="565"/>
    </row>
    <row r="22" customFormat="false" ht="12.75" hidden="false" customHeight="false" outlineLevel="0" collapsed="false">
      <c r="A22" s="565"/>
      <c r="B22" s="565"/>
      <c r="C22" s="565"/>
      <c r="D22" s="565"/>
      <c r="E22" s="565"/>
      <c r="F22" s="565"/>
      <c r="G22" s="565"/>
      <c r="H22" s="565"/>
      <c r="I22" s="565"/>
      <c r="J22" s="565"/>
    </row>
    <row r="23" customFormat="false" ht="12.75" hidden="false" customHeight="false" outlineLevel="0" collapsed="false">
      <c r="A23" s="565"/>
      <c r="B23" s="565"/>
      <c r="C23" s="565"/>
      <c r="D23" s="565"/>
      <c r="E23" s="565"/>
      <c r="F23" s="565" t="s">
        <v>1006</v>
      </c>
      <c r="G23" s="565"/>
      <c r="H23" s="565" t="s">
        <v>1006</v>
      </c>
      <c r="I23" s="565"/>
      <c r="J23" s="565"/>
    </row>
    <row r="24" customFormat="false" ht="12.75" hidden="false" customHeight="false" outlineLevel="0" collapsed="false">
      <c r="A24" s="565"/>
      <c r="B24" s="566" t="s">
        <v>1007</v>
      </c>
      <c r="C24" s="566" t="s">
        <v>1008</v>
      </c>
      <c r="D24" s="566" t="s">
        <v>1009</v>
      </c>
      <c r="E24" s="566" t="s">
        <v>1010</v>
      </c>
      <c r="F24" s="566" t="s">
        <v>1011</v>
      </c>
      <c r="G24" s="566" t="s">
        <v>1012</v>
      </c>
      <c r="H24" s="566" t="s">
        <v>1012</v>
      </c>
      <c r="I24" s="566" t="s">
        <v>1013</v>
      </c>
      <c r="J24" s="565"/>
    </row>
    <row r="25" customFormat="false" ht="12.75" hidden="false" customHeight="false" outlineLevel="0" collapsed="false">
      <c r="A25" s="565"/>
      <c r="B25" s="567" t="s">
        <v>1021</v>
      </c>
      <c r="C25" s="568" t="n">
        <v>0</v>
      </c>
      <c r="D25" s="569" t="n">
        <f aca="false">+C25/C30</f>
        <v>0</v>
      </c>
      <c r="E25" s="569" t="e">
        <f aca="false">+#REF!</f>
        <v>#REF!</v>
      </c>
      <c r="F25" s="569" t="e">
        <f aca="false">+D25*E25</f>
        <v>#REF!</v>
      </c>
      <c r="G25" s="569" t="n">
        <v>-0.07</v>
      </c>
      <c r="H25" s="569" t="n">
        <f aca="false">+G25*D25</f>
        <v>-0</v>
      </c>
      <c r="I25" s="569" t="e">
        <f aca="false">+F25+H25</f>
        <v>#REF!</v>
      </c>
      <c r="J25" s="565"/>
    </row>
    <row r="26" customFormat="false" ht="12.75" hidden="false" customHeight="false" outlineLevel="0" collapsed="false">
      <c r="A26" s="565"/>
      <c r="B26" s="567" t="s">
        <v>1022</v>
      </c>
      <c r="C26" s="568" t="n">
        <v>0</v>
      </c>
      <c r="D26" s="569" t="n">
        <f aca="false">+C26/C30</f>
        <v>0</v>
      </c>
      <c r="E26" s="569" t="e">
        <f aca="false">+#REF!</f>
        <v>#REF!</v>
      </c>
      <c r="F26" s="569" t="e">
        <f aca="false">+D26*E26</f>
        <v>#REF!</v>
      </c>
      <c r="G26" s="569" t="n">
        <v>-0.05</v>
      </c>
      <c r="H26" s="569" t="n">
        <f aca="false">+G26*D26</f>
        <v>-0</v>
      </c>
      <c r="I26" s="569" t="e">
        <f aca="false">+F26+H26</f>
        <v>#REF!</v>
      </c>
      <c r="J26" s="565"/>
    </row>
    <row r="27" customFormat="false" ht="12.75" hidden="false" customHeight="false" outlineLevel="0" collapsed="false">
      <c r="A27" s="565"/>
      <c r="B27" s="567" t="s">
        <v>1023</v>
      </c>
      <c r="C27" s="568" t="n">
        <v>5000</v>
      </c>
      <c r="D27" s="569" t="n">
        <f aca="false">+C27/C30</f>
        <v>1</v>
      </c>
      <c r="E27" s="569" t="e">
        <f aca="false">+#REF!</f>
        <v>#REF!</v>
      </c>
      <c r="F27" s="569" t="e">
        <f aca="false">+D27*E27</f>
        <v>#REF!</v>
      </c>
      <c r="G27" s="569" t="n">
        <v>-0.035</v>
      </c>
      <c r="H27" s="569" t="n">
        <f aca="false">+G27*D27</f>
        <v>-0.035</v>
      </c>
      <c r="I27" s="569" t="e">
        <f aca="false">+F27+H27</f>
        <v>#REF!</v>
      </c>
      <c r="J27" s="565"/>
    </row>
    <row r="28" customFormat="false" ht="12.75" hidden="false" customHeight="false" outlineLevel="0" collapsed="false">
      <c r="A28" s="565"/>
      <c r="B28" s="567" t="s">
        <v>1024</v>
      </c>
      <c r="C28" s="568" t="n">
        <v>0</v>
      </c>
      <c r="D28" s="569" t="n">
        <f aca="false">+C28/C30</f>
        <v>0</v>
      </c>
      <c r="E28" s="569" t="e">
        <f aca="false">+#REF!</f>
        <v>#REF!</v>
      </c>
      <c r="F28" s="569" t="e">
        <f aca="false">+D28*E28</f>
        <v>#REF!</v>
      </c>
      <c r="G28" s="569" t="n">
        <v>-0.01</v>
      </c>
      <c r="H28" s="569" t="n">
        <f aca="false">+G28*D28</f>
        <v>-0</v>
      </c>
      <c r="I28" s="569" t="e">
        <f aca="false">+F28+H28</f>
        <v>#REF!</v>
      </c>
      <c r="J28" s="565"/>
    </row>
    <row r="29" customFormat="false" ht="12.75" hidden="false" customHeight="false" outlineLevel="0" collapsed="false">
      <c r="A29" s="565"/>
      <c r="B29" s="567" t="s">
        <v>1025</v>
      </c>
      <c r="C29" s="570" t="n">
        <v>0</v>
      </c>
      <c r="D29" s="571" t="n">
        <f aca="false">+C29/C30</f>
        <v>0</v>
      </c>
      <c r="E29" s="569" t="e">
        <f aca="false">+#REF!</f>
        <v>#REF!</v>
      </c>
      <c r="F29" s="571" t="e">
        <f aca="false">+D29*E29</f>
        <v>#REF!</v>
      </c>
      <c r="G29" s="569" t="n">
        <v>-0.0725</v>
      </c>
      <c r="H29" s="569" t="n">
        <f aca="false">+G29*D29</f>
        <v>-0</v>
      </c>
      <c r="I29" s="571" t="e">
        <f aca="false">+F29+H29</f>
        <v>#REF!</v>
      </c>
      <c r="J29" s="565"/>
    </row>
    <row r="30" customFormat="false" ht="12.75" hidden="false" customHeight="false" outlineLevel="0" collapsed="false">
      <c r="A30" s="565"/>
      <c r="B30" s="565"/>
      <c r="C30" s="568" t="n">
        <f aca="false">SUM(C25:C29)</f>
        <v>5000</v>
      </c>
      <c r="D30" s="569" t="n">
        <f aca="false">SUM(D25:D29)</f>
        <v>1</v>
      </c>
      <c r="E30" s="565"/>
      <c r="F30" s="569" t="e">
        <f aca="false">SUM(F25:F29)</f>
        <v>#REF!</v>
      </c>
      <c r="G30" s="565"/>
      <c r="H30" s="565"/>
      <c r="I30" s="572" t="e">
        <f aca="false">SUM(I25:I29)</f>
        <v>#REF!</v>
      </c>
      <c r="J30" s="565"/>
    </row>
    <row r="31" customFormat="false" ht="12.75" hidden="false" customHeight="false" outlineLevel="0" collapsed="false">
      <c r="A31" s="565"/>
      <c r="B31" s="565"/>
      <c r="C31" s="565"/>
      <c r="D31" s="565"/>
      <c r="E31" s="565"/>
      <c r="F31" s="565"/>
      <c r="G31" s="565"/>
      <c r="H31" s="576" t="s">
        <v>1026</v>
      </c>
      <c r="I31" s="573" t="n">
        <v>0.1525</v>
      </c>
      <c r="J31" s="565"/>
    </row>
    <row r="32" customFormat="false" ht="13.5" hidden="false" customHeight="false" outlineLevel="0" collapsed="false">
      <c r="A32" s="565"/>
      <c r="B32" s="565"/>
      <c r="C32" s="565"/>
      <c r="D32" s="565"/>
      <c r="E32" s="565"/>
      <c r="F32" s="565"/>
      <c r="G32" s="565"/>
      <c r="H32" s="574" t="s">
        <v>1020</v>
      </c>
      <c r="I32" s="577" t="e">
        <f aca="false">+I31-I30</f>
        <v>#REF!</v>
      </c>
      <c r="J32" s="565"/>
    </row>
    <row r="33" customFormat="false" ht="13.5" hidden="false" customHeight="false" outlineLevel="0" collapsed="false">
      <c r="A33" s="565"/>
      <c r="B33" s="565"/>
      <c r="C33" s="565"/>
      <c r="D33" s="565"/>
      <c r="E33" s="565"/>
      <c r="F33" s="565"/>
      <c r="G33" s="565"/>
      <c r="H33" s="565"/>
      <c r="I33" s="569"/>
      <c r="J33" s="565"/>
    </row>
    <row r="34" customFormat="false" ht="12.75" hidden="false" customHeight="false" outlineLevel="0" collapsed="false">
      <c r="A34" s="565"/>
      <c r="B34" s="574" t="s">
        <v>93</v>
      </c>
      <c r="C34" s="565"/>
      <c r="D34" s="565"/>
      <c r="E34" s="565"/>
      <c r="F34" s="565" t="s">
        <v>1006</v>
      </c>
      <c r="G34" s="565"/>
      <c r="H34" s="565" t="s">
        <v>1006</v>
      </c>
      <c r="I34" s="565"/>
      <c r="J34" s="565"/>
    </row>
    <row r="35" customFormat="false" ht="12.75" hidden="false" customHeight="false" outlineLevel="0" collapsed="false">
      <c r="A35" s="565"/>
      <c r="B35" s="566" t="s">
        <v>1007</v>
      </c>
      <c r="C35" s="566" t="s">
        <v>1008</v>
      </c>
      <c r="D35" s="566" t="s">
        <v>1009</v>
      </c>
      <c r="E35" s="566" t="s">
        <v>1010</v>
      </c>
      <c r="F35" s="566" t="s">
        <v>1011</v>
      </c>
      <c r="G35" s="566" t="s">
        <v>1012</v>
      </c>
      <c r="H35" s="566" t="s">
        <v>1012</v>
      </c>
      <c r="I35" s="566" t="s">
        <v>1013</v>
      </c>
      <c r="J35" s="565"/>
    </row>
    <row r="36" customFormat="false" ht="12.75" hidden="false" customHeight="false" outlineLevel="0" collapsed="false">
      <c r="A36" s="565"/>
      <c r="B36" s="565" t="s">
        <v>1027</v>
      </c>
      <c r="C36" s="568" t="n">
        <v>17</v>
      </c>
      <c r="D36" s="569" t="n">
        <f aca="false">+C36/C39</f>
        <v>0.17</v>
      </c>
      <c r="E36" s="569" t="n">
        <f aca="false">+Rates!B42</f>
        <v>0.306614449031439</v>
      </c>
      <c r="F36" s="569" t="n">
        <f aca="false">+D36*E36</f>
        <v>0.0521244563353445</v>
      </c>
      <c r="G36" s="569" t="n">
        <v>-0.06</v>
      </c>
      <c r="H36" s="569" t="n">
        <f aca="false">+G36*D36</f>
        <v>-0.0102</v>
      </c>
      <c r="I36" s="569" t="n">
        <f aca="false">+F36+H36</f>
        <v>0.0419244563353445</v>
      </c>
      <c r="J36" s="565"/>
    </row>
    <row r="37" customFormat="false" ht="12.75" hidden="false" customHeight="false" outlineLevel="0" collapsed="false">
      <c r="A37" s="565"/>
      <c r="B37" s="565" t="s">
        <v>1028</v>
      </c>
      <c r="C37" s="568" t="n">
        <v>25</v>
      </c>
      <c r="D37" s="569" t="n">
        <f aca="false">+C37/C39</f>
        <v>0.25</v>
      </c>
      <c r="E37" s="569" t="n">
        <f aca="false">+Rates!B67</f>
        <v>0.293841615692892</v>
      </c>
      <c r="F37" s="569" t="n">
        <f aca="false">+D37*E37</f>
        <v>0.0734604039232229</v>
      </c>
      <c r="G37" s="569" t="n">
        <v>-0.015</v>
      </c>
      <c r="H37" s="569" t="n">
        <f aca="false">+G37*D37</f>
        <v>-0.00375</v>
      </c>
      <c r="I37" s="569" t="n">
        <f aca="false">+F37+H37</f>
        <v>0.0697104039232229</v>
      </c>
      <c r="J37" s="565"/>
    </row>
    <row r="38" customFormat="false" ht="12.75" hidden="false" customHeight="false" outlineLevel="0" collapsed="false">
      <c r="A38" s="565"/>
      <c r="B38" s="565" t="s">
        <v>1029</v>
      </c>
      <c r="C38" s="570" t="n">
        <v>58</v>
      </c>
      <c r="D38" s="571" t="n">
        <f aca="false">+C38/C39</f>
        <v>0.58</v>
      </c>
      <c r="E38" s="569" t="n">
        <f aca="false">+Rates!B87</f>
        <v>0.28081570109152</v>
      </c>
      <c r="F38" s="571" t="n">
        <f aca="false">+D38*E38</f>
        <v>0.162873106633081</v>
      </c>
      <c r="G38" s="569" t="n">
        <v>0.0175</v>
      </c>
      <c r="H38" s="569" t="n">
        <f aca="false">+G38*D38</f>
        <v>0.01015</v>
      </c>
      <c r="I38" s="569" t="n">
        <f aca="false">+F38+H38</f>
        <v>0.173023106633081</v>
      </c>
      <c r="J38" s="565"/>
    </row>
    <row r="39" customFormat="false" ht="12.75" hidden="false" customHeight="false" outlineLevel="0" collapsed="false">
      <c r="A39" s="565"/>
      <c r="B39" s="565"/>
      <c r="C39" s="568" t="n">
        <f aca="false">SUM(C36:C38)</f>
        <v>100</v>
      </c>
      <c r="D39" s="569" t="n">
        <f aca="false">SUM(D36:D38)</f>
        <v>1</v>
      </c>
      <c r="E39" s="565"/>
      <c r="F39" s="569" t="n">
        <f aca="false">SUM(F36:F38)</f>
        <v>0.288457966891649</v>
      </c>
      <c r="G39" s="565"/>
      <c r="H39" s="569" t="n">
        <f aca="false">SUM(H36:H38)</f>
        <v>-0.0038</v>
      </c>
      <c r="I39" s="572" t="n">
        <f aca="false">SUM(I36:I38)</f>
        <v>0.284657966891649</v>
      </c>
      <c r="J39" s="565"/>
    </row>
    <row r="40" customFormat="false" ht="12.75" hidden="false" customHeight="false" outlineLevel="0" collapsed="false">
      <c r="A40" s="565"/>
      <c r="B40" s="565"/>
      <c r="C40" s="565"/>
      <c r="D40" s="565"/>
      <c r="E40" s="565"/>
      <c r="F40" s="565"/>
      <c r="G40" s="565"/>
      <c r="H40" s="565" t="s">
        <v>1030</v>
      </c>
      <c r="I40" s="573" t="n">
        <v>0.55</v>
      </c>
      <c r="J40" s="565"/>
    </row>
    <row r="41" customFormat="false" ht="13.5" hidden="false" customHeight="false" outlineLevel="0" collapsed="false">
      <c r="A41" s="565"/>
      <c r="B41" s="565"/>
      <c r="C41" s="565"/>
      <c r="D41" s="565"/>
      <c r="E41" s="565"/>
      <c r="F41" s="565"/>
      <c r="G41" s="565"/>
      <c r="H41" s="574" t="s">
        <v>1020</v>
      </c>
      <c r="I41" s="575" t="n">
        <f aca="false">+I40-I39</f>
        <v>0.265342033108351</v>
      </c>
      <c r="J41" s="565"/>
      <c r="K41" s="578"/>
    </row>
    <row r="42" customFormat="false" ht="13.5" hidden="false" customHeight="false" outlineLevel="0" collapsed="false">
      <c r="A42" s="565"/>
      <c r="B42" s="565"/>
      <c r="C42" s="565"/>
      <c r="D42" s="565"/>
      <c r="E42" s="565"/>
      <c r="F42" s="565"/>
      <c r="G42" s="565"/>
      <c r="H42" s="565"/>
      <c r="I42" s="565"/>
      <c r="J42" s="565"/>
      <c r="K42" s="578"/>
    </row>
    <row r="43" customFormat="false" ht="12.75" hidden="false" customHeight="false" outlineLevel="0" collapsed="false">
      <c r="A43" s="565"/>
      <c r="B43" s="565"/>
      <c r="C43" s="565"/>
      <c r="D43" s="565"/>
      <c r="E43" s="565"/>
      <c r="F43" s="565"/>
      <c r="G43" s="565"/>
      <c r="H43" s="565"/>
      <c r="I43" s="565"/>
      <c r="J43" s="565"/>
      <c r="K43" s="579"/>
    </row>
    <row r="44" customFormat="false" ht="12.75" hidden="false" customHeight="false" outlineLevel="0" collapsed="false">
      <c r="A44" s="565"/>
      <c r="B44" s="574" t="s">
        <v>39</v>
      </c>
      <c r="C44" s="565" t="s">
        <v>281</v>
      </c>
      <c r="D44" s="565" t="s">
        <v>559</v>
      </c>
      <c r="E44" s="565" t="s">
        <v>491</v>
      </c>
      <c r="F44" s="565" t="s">
        <v>1031</v>
      </c>
      <c r="G44" s="565" t="s">
        <v>1032</v>
      </c>
      <c r="H44" s="565" t="s">
        <v>1033</v>
      </c>
      <c r="I44" s="574" t="s">
        <v>1020</v>
      </c>
      <c r="J44" s="565"/>
    </row>
    <row r="45" customFormat="false" ht="12.75" hidden="false" customHeight="false" outlineLevel="0" collapsed="false">
      <c r="A45" s="565"/>
      <c r="B45" s="565" t="s">
        <v>1034</v>
      </c>
      <c r="C45" s="573" t="e">
        <f aca="false">+#REF!</f>
        <v>#REF!</v>
      </c>
      <c r="D45" s="573" t="e">
        <f aca="false">+#REF!</f>
        <v>#REF!</v>
      </c>
      <c r="E45" s="573" t="e">
        <f aca="false">+D45+C45</f>
        <v>#REF!</v>
      </c>
      <c r="F45" s="573" t="n">
        <v>0</v>
      </c>
      <c r="G45" s="573" t="n">
        <v>-0.0225</v>
      </c>
      <c r="H45" s="573" t="n">
        <v>0.1325</v>
      </c>
      <c r="I45" s="573" t="e">
        <f aca="false">+H45-G45-F45-E45</f>
        <v>#REF!</v>
      </c>
      <c r="J45" s="565"/>
    </row>
    <row r="46" customFormat="false" ht="12.75" hidden="false" customHeight="false" outlineLevel="0" collapsed="false">
      <c r="A46" s="565"/>
      <c r="B46" s="565" t="s">
        <v>1035</v>
      </c>
      <c r="C46" s="573" t="e">
        <f aca="false">+#REF!</f>
        <v>#REF!</v>
      </c>
      <c r="D46" s="573" t="e">
        <f aca="false">+#REF!</f>
        <v>#REF!</v>
      </c>
      <c r="E46" s="573" t="e">
        <f aca="false">+D46+C46</f>
        <v>#REF!</v>
      </c>
      <c r="F46" s="573" t="n">
        <v>0</v>
      </c>
      <c r="G46" s="573" t="n">
        <v>-0.0225</v>
      </c>
      <c r="H46" s="573" t="n">
        <v>0.1325</v>
      </c>
      <c r="I46" s="580" t="e">
        <f aca="false">+H46-G46-F46-E46</f>
        <v>#REF!</v>
      </c>
      <c r="J46" s="565"/>
    </row>
    <row r="47" customFormat="false" ht="12.75" hidden="false" customHeight="false" outlineLevel="0" collapsed="false">
      <c r="A47" s="565"/>
      <c r="B47" s="565"/>
      <c r="C47" s="565"/>
      <c r="D47" s="565"/>
      <c r="E47" s="565"/>
      <c r="F47" s="565"/>
      <c r="G47" s="565"/>
      <c r="H47" s="565"/>
      <c r="I47" s="565"/>
      <c r="J47" s="565"/>
    </row>
    <row r="48" customFormat="false" ht="12.75" hidden="false" customHeight="false" outlineLevel="0" collapsed="false">
      <c r="A48" s="565"/>
      <c r="B48" s="565"/>
      <c r="C48" s="565"/>
      <c r="D48" s="565"/>
      <c r="E48" s="565"/>
      <c r="F48" s="565"/>
      <c r="G48" s="565"/>
      <c r="H48" s="565"/>
      <c r="I48" s="565"/>
      <c r="J48" s="565"/>
    </row>
    <row r="49" customFormat="false" ht="12.75" hidden="false" customHeight="false" outlineLevel="0" collapsed="false">
      <c r="A49" s="565"/>
      <c r="B49" s="574" t="s">
        <v>648</v>
      </c>
      <c r="C49" s="565" t="s">
        <v>981</v>
      </c>
      <c r="D49" s="565" t="s">
        <v>1036</v>
      </c>
      <c r="E49" s="565" t="s">
        <v>1031</v>
      </c>
      <c r="F49" s="565" t="s">
        <v>1037</v>
      </c>
      <c r="H49" s="565"/>
      <c r="I49" s="574" t="s">
        <v>1020</v>
      </c>
      <c r="J49" s="565"/>
    </row>
    <row r="50" customFormat="false" ht="12.75" hidden="false" customHeight="false" outlineLevel="0" collapsed="false">
      <c r="A50" s="565"/>
      <c r="B50" s="565" t="s">
        <v>1038</v>
      </c>
      <c r="C50" s="573" t="e">
        <f aca="false">+#REF!</f>
        <v>#REF!</v>
      </c>
      <c r="D50" s="581" t="n">
        <v>-0.0725</v>
      </c>
      <c r="E50" s="573" t="n">
        <v>0</v>
      </c>
      <c r="F50" s="573" t="n">
        <v>0.2175</v>
      </c>
      <c r="H50" s="565"/>
      <c r="I50" s="580" t="e">
        <f aca="false">+F50-D50-E50-C50</f>
        <v>#REF!</v>
      </c>
      <c r="J50" s="565"/>
    </row>
    <row r="51" customFormat="false" ht="12.75" hidden="false" customHeight="false" outlineLevel="0" collapsed="false">
      <c r="A51" s="565"/>
      <c r="B51" s="565" t="s">
        <v>1039</v>
      </c>
      <c r="C51" s="573" t="e">
        <f aca="false">+#REF!</f>
        <v>#REF!</v>
      </c>
      <c r="D51" s="581" t="n">
        <v>-0.06</v>
      </c>
      <c r="E51" s="573" t="n">
        <v>0</v>
      </c>
      <c r="F51" s="573" t="n">
        <v>0.2175</v>
      </c>
      <c r="H51" s="565"/>
      <c r="I51" s="580" t="e">
        <f aca="false">+F51-D51-E51-C51</f>
        <v>#REF!</v>
      </c>
      <c r="J51" s="565"/>
    </row>
    <row r="52" customFormat="false" ht="12.75" hidden="false" customHeight="false" outlineLevel="0" collapsed="false">
      <c r="A52" s="565"/>
      <c r="B52" s="565"/>
      <c r="C52" s="573"/>
      <c r="D52" s="581"/>
      <c r="E52" s="573"/>
      <c r="F52" s="573"/>
      <c r="H52" s="565"/>
      <c r="I52" s="580"/>
      <c r="J52" s="565"/>
    </row>
    <row r="53" customFormat="false" ht="12.75" hidden="false" customHeight="false" outlineLevel="0" collapsed="false">
      <c r="A53" s="565"/>
      <c r="B53" s="565"/>
      <c r="C53" s="573"/>
      <c r="D53" s="581"/>
      <c r="E53" s="573"/>
      <c r="F53" s="573"/>
      <c r="H53" s="565"/>
      <c r="I53" s="580"/>
      <c r="J53" s="565"/>
    </row>
    <row r="54" customFormat="false" ht="12.75" hidden="false" customHeight="false" outlineLevel="0" collapsed="false">
      <c r="A54" s="565"/>
      <c r="B54" s="565"/>
      <c r="C54" s="573"/>
      <c r="D54" s="581"/>
      <c r="E54" s="573"/>
      <c r="F54" s="573"/>
      <c r="H54" s="565"/>
      <c r="I54" s="580"/>
      <c r="J54" s="565"/>
    </row>
    <row r="55" customFormat="false" ht="12.75" hidden="false" customHeight="false" outlineLevel="0" collapsed="false">
      <c r="A55" s="565"/>
      <c r="B55" s="565" t="s">
        <v>1040</v>
      </c>
      <c r="C55" s="573" t="e">
        <f aca="false">+#REF!</f>
        <v>#REF!</v>
      </c>
      <c r="D55" s="581" t="n">
        <v>-0.0725</v>
      </c>
      <c r="E55" s="573" t="n">
        <v>0</v>
      </c>
      <c r="F55" s="573" t="n">
        <v>0.2525</v>
      </c>
      <c r="H55" s="565"/>
      <c r="I55" s="580" t="e">
        <f aca="false">+F55-D55-E55-C55</f>
        <v>#REF!</v>
      </c>
      <c r="J55" s="565"/>
    </row>
    <row r="56" customFormat="false" ht="12.75" hidden="false" customHeight="false" outlineLevel="0" collapsed="false">
      <c r="A56" s="565"/>
      <c r="B56" s="565" t="s">
        <v>1041</v>
      </c>
      <c r="C56" s="573" t="e">
        <f aca="false">+#REF!</f>
        <v>#REF!</v>
      </c>
      <c r="D56" s="581" t="n">
        <v>-0.06</v>
      </c>
      <c r="E56" s="573" t="n">
        <v>0</v>
      </c>
      <c r="F56" s="573" t="n">
        <v>0.2525</v>
      </c>
      <c r="H56" s="565"/>
      <c r="I56" s="580" t="e">
        <f aca="false">+F56-D56-E56-C56</f>
        <v>#REF!</v>
      </c>
      <c r="J56" s="565"/>
    </row>
    <row r="57" customFormat="false" ht="12.75" hidden="false" customHeight="false" outlineLevel="0" collapsed="false">
      <c r="A57" s="565" t="s">
        <v>1042</v>
      </c>
      <c r="B57" s="565" t="s">
        <v>1041</v>
      </c>
      <c r="C57" s="573" t="e">
        <f aca="false">+#REF!</f>
        <v>#REF!</v>
      </c>
      <c r="D57" s="581" t="n">
        <v>-0.05</v>
      </c>
      <c r="E57" s="573" t="n">
        <v>0.021</v>
      </c>
      <c r="F57" s="573" t="n">
        <v>0</v>
      </c>
      <c r="H57" s="565"/>
      <c r="I57" s="580" t="e">
        <f aca="false">+F57-D57-E57-C57</f>
        <v>#REF!</v>
      </c>
      <c r="J57" s="565"/>
    </row>
    <row r="58" customFormat="false" ht="12.75" hidden="false" customHeight="false" outlineLevel="0" collapsed="false">
      <c r="A58" s="565"/>
      <c r="B58" s="565"/>
      <c r="C58" s="565"/>
      <c r="D58" s="565"/>
      <c r="E58" s="565"/>
      <c r="F58" s="565"/>
      <c r="G58" s="565"/>
      <c r="H58" s="565"/>
      <c r="I58" s="565"/>
      <c r="J58" s="565"/>
    </row>
    <row r="59" customFormat="false" ht="12.75" hidden="false" customHeight="false" outlineLevel="0" collapsed="false">
      <c r="A59" s="565"/>
      <c r="B59" s="565"/>
      <c r="C59" s="565"/>
      <c r="D59" s="565"/>
      <c r="E59" s="565"/>
      <c r="F59" s="565"/>
      <c r="G59" s="565"/>
      <c r="H59" s="565"/>
      <c r="I59" s="565"/>
      <c r="J59" s="565"/>
    </row>
    <row r="60" customFormat="false" ht="12.75" hidden="false" customHeight="false" outlineLevel="0" collapsed="false">
      <c r="A60" s="565"/>
      <c r="B60" s="565"/>
      <c r="C60" s="565"/>
      <c r="D60" s="565"/>
      <c r="E60" s="565"/>
      <c r="F60" s="565"/>
      <c r="G60" s="565"/>
      <c r="H60" s="565"/>
      <c r="I60" s="565"/>
      <c r="J60" s="565"/>
    </row>
    <row r="61" customFormat="false" ht="12.75" hidden="false" customHeight="false" outlineLevel="0" collapsed="false">
      <c r="A61" s="565"/>
      <c r="B61" s="574" t="s">
        <v>648</v>
      </c>
      <c r="C61" s="565" t="s">
        <v>981</v>
      </c>
      <c r="D61" s="565" t="s">
        <v>1036</v>
      </c>
      <c r="E61" s="565" t="s">
        <v>1031</v>
      </c>
      <c r="F61" s="565" t="s">
        <v>1037</v>
      </c>
      <c r="H61" s="565"/>
      <c r="I61" s="574" t="s">
        <v>1020</v>
      </c>
      <c r="J61" s="565"/>
    </row>
    <row r="62" customFormat="false" ht="12.75" hidden="false" customHeight="false" outlineLevel="0" collapsed="false">
      <c r="A62" s="565"/>
      <c r="B62" s="565" t="s">
        <v>1038</v>
      </c>
      <c r="C62" s="573" t="n">
        <f aca="false">+Rates!H32</f>
        <v>0.332468407750632</v>
      </c>
      <c r="D62" s="581" t="n">
        <v>-0.0725</v>
      </c>
      <c r="E62" s="573" t="n">
        <v>0</v>
      </c>
      <c r="F62" s="573" t="n">
        <v>0.2175</v>
      </c>
      <c r="H62" s="565"/>
      <c r="I62" s="580" t="n">
        <f aca="false">+F62-D62-E62-C62</f>
        <v>-0.0424684077506323</v>
      </c>
      <c r="J62" s="565"/>
    </row>
    <row r="63" customFormat="false" ht="12.75" hidden="false" customHeight="false" outlineLevel="0" collapsed="false">
      <c r="A63" s="565"/>
      <c r="B63" s="565" t="s">
        <v>1039</v>
      </c>
      <c r="C63" s="573" t="n">
        <f aca="false">+Rates!H67</f>
        <v>0.287044885591892</v>
      </c>
      <c r="D63" s="581" t="n">
        <v>-0.06</v>
      </c>
      <c r="E63" s="573" t="n">
        <v>0</v>
      </c>
      <c r="F63" s="573" t="n">
        <v>0.2175</v>
      </c>
      <c r="H63" s="565"/>
      <c r="I63" s="580" t="n">
        <f aca="false">+F63-D63-E63-C63</f>
        <v>-0.00954488559189226</v>
      </c>
      <c r="J63" s="565"/>
    </row>
    <row r="64" customFormat="false" ht="12.75" hidden="false" customHeight="false" outlineLevel="0" collapsed="false">
      <c r="A64" s="565"/>
      <c r="B64" s="565" t="s">
        <v>1040</v>
      </c>
      <c r="C64" s="573" t="n">
        <f aca="false">+Rates!H37</f>
        <v>0.390881528662421</v>
      </c>
      <c r="D64" s="581" t="n">
        <v>-0.0725</v>
      </c>
      <c r="E64" s="573" t="n">
        <v>0</v>
      </c>
      <c r="F64" s="573" t="n">
        <v>0.2525</v>
      </c>
      <c r="H64" s="565"/>
      <c r="I64" s="580" t="n">
        <f aca="false">+F64-D64-E64-C64</f>
        <v>-0.0658815286624208</v>
      </c>
      <c r="J64" s="565"/>
    </row>
    <row r="65" customFormat="false" ht="12.75" hidden="false" customHeight="false" outlineLevel="0" collapsed="false">
      <c r="A65" s="565"/>
      <c r="B65" s="565" t="s">
        <v>1041</v>
      </c>
      <c r="C65" s="573" t="n">
        <f aca="false">+Rates!H72</f>
        <v>0.345572487887087</v>
      </c>
      <c r="D65" s="581" t="n">
        <v>-0.06</v>
      </c>
      <c r="E65" s="573" t="n">
        <v>0</v>
      </c>
      <c r="F65" s="573" t="n">
        <v>0.2525</v>
      </c>
      <c r="H65" s="565"/>
      <c r="I65" s="580" t="n">
        <f aca="false">+F65-D65-E65-C65</f>
        <v>-0.0330724878870867</v>
      </c>
      <c r="J65" s="565"/>
    </row>
    <row r="66" customFormat="false" ht="12.75" hidden="false" customHeight="false" outlineLevel="0" collapsed="false">
      <c r="A66" s="565"/>
      <c r="B66" s="565"/>
      <c r="C66" s="565"/>
      <c r="D66" s="565"/>
      <c r="E66" s="565"/>
      <c r="F66" s="565"/>
      <c r="G66" s="565"/>
      <c r="H66" s="565"/>
      <c r="I66" s="565"/>
      <c r="J66" s="565"/>
    </row>
    <row r="67" customFormat="false" ht="12.75" hidden="false" customHeight="false" outlineLevel="0" collapsed="false">
      <c r="A67" s="565"/>
      <c r="B67" s="565"/>
      <c r="C67" s="565"/>
      <c r="D67" s="565"/>
      <c r="E67" s="565"/>
      <c r="F67" s="565"/>
      <c r="G67" s="565"/>
      <c r="H67" s="565"/>
      <c r="I67" s="565"/>
      <c r="J67" s="565"/>
    </row>
    <row r="68" customFormat="false" ht="12.75" hidden="false" customHeight="false" outlineLevel="0" collapsed="false">
      <c r="A68" s="565"/>
      <c r="B68" s="565"/>
      <c r="C68" s="565"/>
      <c r="D68" s="565"/>
      <c r="E68" s="565"/>
      <c r="F68" s="565"/>
      <c r="G68" s="565"/>
      <c r="H68" s="565"/>
      <c r="I68" s="565"/>
      <c r="J68" s="565"/>
    </row>
    <row r="69" customFormat="false" ht="12.75" hidden="false" customHeight="false" outlineLevel="0" collapsed="false">
      <c r="A69" s="565"/>
      <c r="B69" s="565"/>
      <c r="C69" s="565"/>
      <c r="D69" s="565"/>
      <c r="E69" s="565"/>
      <c r="F69" s="565"/>
      <c r="G69" s="565"/>
      <c r="H69" s="565"/>
      <c r="I69" s="565"/>
      <c r="J69" s="565"/>
    </row>
    <row r="70" customFormat="false" ht="12.75" hidden="false" customHeight="false" outlineLevel="0" collapsed="false">
      <c r="A70" s="565"/>
      <c r="B70" s="565"/>
      <c r="C70" s="565"/>
      <c r="D70" s="565"/>
      <c r="E70" s="565"/>
      <c r="F70" s="565"/>
      <c r="G70" s="565"/>
      <c r="H70" s="565"/>
      <c r="I70" s="565"/>
      <c r="J70" s="565"/>
    </row>
    <row r="71" customFormat="false" ht="12.75" hidden="false" customHeight="false" outlineLevel="0" collapsed="false">
      <c r="A71" s="565"/>
      <c r="B71" s="565" t="s">
        <v>25</v>
      </c>
      <c r="C71" s="565"/>
      <c r="D71" s="565"/>
      <c r="E71" s="565"/>
      <c r="F71" s="565"/>
      <c r="G71" s="565"/>
      <c r="H71" s="565"/>
      <c r="I71" s="565"/>
      <c r="J71" s="565"/>
    </row>
    <row r="72" customFormat="false" ht="12.75" hidden="false" customHeight="false" outlineLevel="0" collapsed="false">
      <c r="A72" s="565"/>
      <c r="B72" s="565"/>
      <c r="C72" s="565"/>
      <c r="D72" s="565"/>
      <c r="E72" s="565"/>
      <c r="F72" s="565" t="s">
        <v>1006</v>
      </c>
      <c r="G72" s="565"/>
      <c r="H72" s="565" t="s">
        <v>1006</v>
      </c>
      <c r="I72" s="565"/>
      <c r="J72" s="565"/>
    </row>
    <row r="73" customFormat="false" ht="12.75" hidden="false" customHeight="false" outlineLevel="0" collapsed="false">
      <c r="A73" s="565"/>
      <c r="B73" s="566" t="s">
        <v>1007</v>
      </c>
      <c r="C73" s="566" t="s">
        <v>1008</v>
      </c>
      <c r="D73" s="566" t="s">
        <v>1009</v>
      </c>
      <c r="E73" s="566" t="s">
        <v>1010</v>
      </c>
      <c r="F73" s="566" t="s">
        <v>1011</v>
      </c>
      <c r="G73" s="566" t="s">
        <v>1012</v>
      </c>
      <c r="H73" s="566" t="s">
        <v>1012</v>
      </c>
      <c r="I73" s="566" t="s">
        <v>1013</v>
      </c>
      <c r="J73" s="565"/>
    </row>
    <row r="74" customFormat="false" ht="12.75" hidden="false" customHeight="false" outlineLevel="0" collapsed="false">
      <c r="A74" s="565"/>
      <c r="B74" s="567" t="s">
        <v>1043</v>
      </c>
      <c r="C74" s="568" t="n">
        <v>5000</v>
      </c>
      <c r="D74" s="569" t="n">
        <f aca="false">+C74/C74</f>
        <v>1</v>
      </c>
      <c r="E74" s="569" t="e">
        <f aca="false">+#REF!</f>
        <v>#REF!</v>
      </c>
      <c r="F74" s="569" t="e">
        <f aca="false">+D74*E74</f>
        <v>#REF!</v>
      </c>
      <c r="G74" s="569" t="n">
        <v>-0.23</v>
      </c>
      <c r="H74" s="569" t="n">
        <f aca="false">+G74*D74</f>
        <v>-0.23</v>
      </c>
      <c r="I74" s="569" t="e">
        <f aca="false">+F74+H74</f>
        <v>#REF!</v>
      </c>
      <c r="J74" s="565"/>
    </row>
    <row r="75" customFormat="false" ht="12.75" hidden="false" customHeight="false" outlineLevel="0" collapsed="false">
      <c r="A75" s="565"/>
      <c r="B75" s="567" t="s">
        <v>1044</v>
      </c>
      <c r="C75" s="568" t="s">
        <v>1</v>
      </c>
      <c r="D75" s="569" t="s">
        <v>1</v>
      </c>
      <c r="E75" s="569" t="s">
        <v>1</v>
      </c>
      <c r="F75" s="569" t="s">
        <v>267</v>
      </c>
      <c r="G75" s="569" t="s">
        <v>1</v>
      </c>
      <c r="H75" s="569" t="s">
        <v>1</v>
      </c>
      <c r="I75" s="569" t="n">
        <v>-0.05</v>
      </c>
      <c r="J75" s="565"/>
    </row>
    <row r="76" customFormat="false" ht="12.75" hidden="false" customHeight="false" outlineLevel="0" collapsed="false">
      <c r="A76" s="565"/>
      <c r="B76" s="565"/>
      <c r="C76" s="565"/>
      <c r="D76" s="565"/>
      <c r="E76" s="565"/>
      <c r="F76" s="565"/>
      <c r="G76" s="565"/>
      <c r="H76" s="565"/>
      <c r="I76" s="565"/>
      <c r="J76" s="565"/>
    </row>
    <row r="77" customFormat="false" ht="12.75" hidden="false" customHeight="false" outlineLevel="0" collapsed="false">
      <c r="A77" s="565"/>
      <c r="B77" s="565"/>
      <c r="C77" s="565"/>
      <c r="D77" s="565"/>
      <c r="E77" s="565"/>
      <c r="F77" s="565"/>
      <c r="G77" s="565"/>
      <c r="H77" s="565"/>
      <c r="I77" s="565"/>
      <c r="J77" s="565"/>
    </row>
    <row r="78" customFormat="false" ht="12.75" hidden="false" customHeight="false" outlineLevel="0" collapsed="false">
      <c r="A78" s="565"/>
      <c r="B78" s="567" t="s">
        <v>1015</v>
      </c>
      <c r="C78" s="568" t="n">
        <v>0</v>
      </c>
      <c r="D78" s="569" t="e">
        <f aca="false">+C78/C82</f>
        <v>#DIV/0!</v>
      </c>
      <c r="E78" s="569" t="e">
        <f aca="false">+#REF!</f>
        <v>#REF!</v>
      </c>
      <c r="F78" s="569" t="e">
        <f aca="false">+D78*E78</f>
        <v>#REF!</v>
      </c>
      <c r="G78" s="569" t="n">
        <v>-0.07</v>
      </c>
      <c r="H78" s="569" t="e">
        <f aca="false">+G78*D78</f>
        <v>#DIV/0!</v>
      </c>
      <c r="I78" s="569" t="e">
        <f aca="false">+F78+H78</f>
        <v>#DIV/0!</v>
      </c>
      <c r="J78" s="565"/>
    </row>
    <row r="79" customFormat="false" ht="12.75" hidden="false" customHeight="false" outlineLevel="0" collapsed="false">
      <c r="A79" s="565"/>
      <c r="B79" s="565"/>
      <c r="C79" s="565"/>
      <c r="D79" s="565"/>
      <c r="E79" s="565"/>
      <c r="F79" s="565"/>
      <c r="G79" s="565"/>
      <c r="H79" s="565"/>
      <c r="I79" s="565"/>
      <c r="J79" s="565"/>
    </row>
    <row r="80" customFormat="false" ht="12.75" hidden="false" customHeight="false" outlineLevel="0" collapsed="false">
      <c r="A80" s="565"/>
      <c r="B80" s="565"/>
      <c r="C80" s="565"/>
      <c r="D80" s="565"/>
      <c r="E80" s="565"/>
      <c r="F80" s="565"/>
      <c r="G80" s="565"/>
      <c r="H80" s="565"/>
      <c r="I80" s="565"/>
      <c r="J80" s="565"/>
    </row>
    <row r="81" customFormat="false" ht="12.75" hidden="false" customHeight="false" outlineLevel="0" collapsed="false">
      <c r="A81" s="565"/>
      <c r="B81" s="565"/>
      <c r="C81" s="565"/>
      <c r="D81" s="565"/>
      <c r="E81" s="565"/>
      <c r="F81" s="565"/>
      <c r="G81" s="565"/>
      <c r="H81" s="565"/>
      <c r="I81" s="565"/>
      <c r="J81" s="565"/>
    </row>
    <row r="100" customFormat="false" ht="12.75" hidden="false" customHeight="false" outlineLevel="0" collapsed="false">
      <c r="M100" s="564" t="s">
        <v>1045</v>
      </c>
      <c r="N100" s="564" t="s">
        <v>1046</v>
      </c>
    </row>
    <row r="101" customFormat="false" ht="12.75" hidden="false" customHeight="false" outlineLevel="0" collapsed="false">
      <c r="B101" s="574" t="s">
        <v>648</v>
      </c>
      <c r="C101" s="566" t="s">
        <v>1008</v>
      </c>
      <c r="D101" s="566" t="s">
        <v>1009</v>
      </c>
      <c r="E101" s="565" t="s">
        <v>981</v>
      </c>
      <c r="F101" s="565" t="s">
        <v>1036</v>
      </c>
      <c r="G101" s="565" t="s">
        <v>1047</v>
      </c>
      <c r="H101" s="565" t="s">
        <v>1048</v>
      </c>
      <c r="I101" s="565" t="s">
        <v>1037</v>
      </c>
      <c r="J101" s="565"/>
      <c r="K101" s="574" t="s">
        <v>1020</v>
      </c>
      <c r="L101" s="564" t="s">
        <v>1049</v>
      </c>
      <c r="M101" s="564" t="s">
        <v>1050</v>
      </c>
      <c r="N101" s="564" t="s">
        <v>1051</v>
      </c>
    </row>
    <row r="102" customFormat="false" ht="12.75" hidden="false" customHeight="false" outlineLevel="0" collapsed="false">
      <c r="B102" s="565" t="s">
        <v>1038</v>
      </c>
      <c r="C102" s="568" t="n">
        <v>1163</v>
      </c>
      <c r="D102" s="569" t="n">
        <f aca="false">+C102/C105</f>
        <v>0.358397534668721</v>
      </c>
      <c r="E102" s="573" t="e">
        <f aca="false">+#REF!</f>
        <v>#REF!</v>
      </c>
      <c r="F102" s="581" t="n">
        <v>-0.0725</v>
      </c>
      <c r="G102" s="582" t="e">
        <f aca="false">+D102*E102</f>
        <v>#REF!</v>
      </c>
      <c r="H102" s="573" t="n">
        <f aca="false">+F102*D102</f>
        <v>-0.0259838212634823</v>
      </c>
      <c r="I102" s="573" t="n">
        <v>0.2175</v>
      </c>
      <c r="J102" s="565"/>
      <c r="K102" s="583" t="e">
        <f aca="false">(+G102*H102)</f>
        <v>#REF!</v>
      </c>
      <c r="L102" s="564" t="n">
        <f aca="false">+I102-F102</f>
        <v>0.29</v>
      </c>
      <c r="M102" s="564" t="e">
        <f aca="false">+L102-E102</f>
        <v>#REF!</v>
      </c>
      <c r="N102" s="564" t="e">
        <f aca="false">+M102*5</f>
        <v>#REF!</v>
      </c>
      <c r="O102" s="0" t="e">
        <f aca="false">+N102*D102</f>
        <v>#REF!</v>
      </c>
    </row>
    <row r="103" customFormat="false" ht="12.75" hidden="false" customHeight="false" outlineLevel="0" collapsed="false">
      <c r="B103" s="565" t="s">
        <v>1039</v>
      </c>
      <c r="C103" s="568" t="n">
        <v>2082</v>
      </c>
      <c r="D103" s="569" t="n">
        <f aca="false">+C103/C105</f>
        <v>0.641602465331279</v>
      </c>
      <c r="E103" s="573" t="e">
        <f aca="false">+#REF!</f>
        <v>#REF!</v>
      </c>
      <c r="F103" s="581" t="n">
        <v>-0.06</v>
      </c>
      <c r="G103" s="582" t="e">
        <f aca="false">+D103*E103</f>
        <v>#REF!</v>
      </c>
      <c r="H103" s="573" t="n">
        <f aca="false">+F103*D103</f>
        <v>-0.0384961479198767</v>
      </c>
      <c r="I103" s="573" t="n">
        <v>0.2175</v>
      </c>
      <c r="J103" s="565"/>
      <c r="K103" s="583" t="e">
        <f aca="false">(+G103*H103)</f>
        <v>#REF!</v>
      </c>
      <c r="L103" s="564" t="n">
        <f aca="false">+I103-F103</f>
        <v>0.2775</v>
      </c>
      <c r="M103" s="564" t="e">
        <f aca="false">+L103-E103</f>
        <v>#REF!</v>
      </c>
      <c r="N103" s="564" t="e">
        <f aca="false">+M103*5</f>
        <v>#REF!</v>
      </c>
      <c r="O103" s="0" t="e">
        <f aca="false">+N103*D103</f>
        <v>#REF!</v>
      </c>
    </row>
    <row r="104" customFormat="false" ht="12.75" hidden="false" customHeight="false" outlineLevel="0" collapsed="false">
      <c r="C104" s="570" t="n">
        <v>0</v>
      </c>
      <c r="D104" s="571" t="n">
        <f aca="false">+C104/C105</f>
        <v>0</v>
      </c>
      <c r="O104" s="0" t="e">
        <f aca="false">SUM(O102:O103)</f>
        <v>#REF!</v>
      </c>
    </row>
    <row r="105" customFormat="false" ht="12.75" hidden="false" customHeight="false" outlineLevel="0" collapsed="false">
      <c r="C105" s="568" t="n">
        <f aca="false">SUM(C102:C104)</f>
        <v>3245</v>
      </c>
      <c r="D105" s="569" t="n">
        <f aca="false">SUM(D102:D104)</f>
        <v>1</v>
      </c>
    </row>
    <row r="106" customFormat="false" ht="12.75" hidden="false" customHeight="false" outlineLevel="0" collapsed="false">
      <c r="C106" s="579" t="n">
        <f aca="false">+C102*F102</f>
        <v>-84.3175</v>
      </c>
    </row>
    <row r="107" customFormat="false" ht="12.75" hidden="false" customHeight="false" outlineLevel="0" collapsed="false">
      <c r="C107" s="579" t="n">
        <f aca="false">+C103*F103</f>
        <v>-124.92</v>
      </c>
    </row>
    <row r="108" customFormat="false" ht="12.75" hidden="false" customHeight="false" outlineLevel="0" collapsed="false">
      <c r="C108" s="579" t="n">
        <f aca="false">+C107+C106</f>
        <v>-209.2375</v>
      </c>
      <c r="D108" s="0" t="n">
        <f aca="false">+C108/C105</f>
        <v>-0.064479969183359</v>
      </c>
      <c r="I108" s="0" t="s">
        <v>1</v>
      </c>
    </row>
    <row r="109" customFormat="false" ht="12.75" hidden="false" customHeight="false" outlineLevel="0" collapsed="false">
      <c r="A109" s="565"/>
      <c r="B109" s="574" t="s">
        <v>648</v>
      </c>
      <c r="C109" s="565" t="s">
        <v>1</v>
      </c>
      <c r="D109" s="566" t="s">
        <v>1009</v>
      </c>
      <c r="E109" s="565" t="s">
        <v>1052</v>
      </c>
      <c r="F109" s="565" t="s">
        <v>1053</v>
      </c>
      <c r="G109" s="0" t="s">
        <v>1047</v>
      </c>
      <c r="H109" s="565" t="s">
        <v>1048</v>
      </c>
      <c r="I109" s="565" t="s">
        <v>1037</v>
      </c>
      <c r="J109" s="565"/>
      <c r="K109" s="574" t="s">
        <v>1020</v>
      </c>
    </row>
    <row r="110" customFormat="false" ht="12.75" hidden="false" customHeight="false" outlineLevel="0" collapsed="false">
      <c r="A110" s="565"/>
      <c r="B110" s="565" t="s">
        <v>1038</v>
      </c>
      <c r="C110" s="568" t="n">
        <v>1163</v>
      </c>
      <c r="D110" s="569" t="n">
        <f aca="false">+C110/C113</f>
        <v>0.358397534668721</v>
      </c>
      <c r="E110" s="573" t="n">
        <f aca="false">+Rates!H32</f>
        <v>0.332468407750632</v>
      </c>
      <c r="F110" s="581" t="n">
        <v>-0.0725</v>
      </c>
      <c r="G110" s="582" t="n">
        <f aca="false">+D110*E110</f>
        <v>0.119155857693062</v>
      </c>
      <c r="H110" s="573" t="n">
        <f aca="false">+F110*D110</f>
        <v>-0.0259838212634823</v>
      </c>
      <c r="I110" s="573" t="n">
        <v>0.2175</v>
      </c>
      <c r="J110" s="565"/>
      <c r="K110" s="583" t="n">
        <f aca="false">(+G110*H110)</f>
        <v>-0.00309612450879345</v>
      </c>
      <c r="L110" s="564" t="n">
        <f aca="false">+I110-F110</f>
        <v>0.29</v>
      </c>
      <c r="M110" s="564" t="n">
        <f aca="false">+L110-E110</f>
        <v>-0.0424684077506323</v>
      </c>
      <c r="N110" s="564" t="n">
        <f aca="false">+M110*7</f>
        <v>-0.297278854254426</v>
      </c>
      <c r="O110" s="0" t="n">
        <f aca="false">+N110*D110</f>
        <v>-0.106544008473928</v>
      </c>
    </row>
    <row r="111" customFormat="false" ht="12.75" hidden="false" customHeight="false" outlineLevel="0" collapsed="false">
      <c r="A111" s="565"/>
      <c r="B111" s="565" t="s">
        <v>1054</v>
      </c>
      <c r="C111" s="568" t="n">
        <v>2082</v>
      </c>
      <c r="D111" s="569" t="n">
        <f aca="false">+C111/C113</f>
        <v>0.641602465331279</v>
      </c>
      <c r="E111" s="573" t="n">
        <f aca="false">+Rates!H67</f>
        <v>0.287044885591892</v>
      </c>
      <c r="F111" s="573" t="n">
        <v>-0.06</v>
      </c>
      <c r="G111" s="582" t="n">
        <f aca="false">+D111*E111</f>
        <v>0.184168706256493</v>
      </c>
      <c r="H111" s="573" t="n">
        <f aca="false">+F111*D111</f>
        <v>-0.0384961479198767</v>
      </c>
      <c r="I111" s="573" t="n">
        <v>0.2175</v>
      </c>
      <c r="J111" s="565"/>
      <c r="K111" s="583" t="n">
        <f aca="false">(+G111*H111)</f>
        <v>-0.00708978575826228</v>
      </c>
      <c r="L111" s="564" t="n">
        <f aca="false">+I111-F111</f>
        <v>0.2775</v>
      </c>
      <c r="M111" s="564" t="n">
        <f aca="false">+L111-E111</f>
        <v>-0.00954488559189226</v>
      </c>
      <c r="N111" s="564" t="n">
        <f aca="false">+M111*7</f>
        <v>-0.0668141991432458</v>
      </c>
      <c r="O111" s="0" t="n">
        <f aca="false">+N111*D111</f>
        <v>-0.0428681548894415</v>
      </c>
    </row>
    <row r="112" customFormat="false" ht="12.75" hidden="false" customHeight="false" outlineLevel="0" collapsed="false">
      <c r="A112" s="565"/>
      <c r="B112" s="565"/>
      <c r="C112" s="573" t="n">
        <v>0</v>
      </c>
      <c r="D112" s="571" t="n">
        <f aca="false">+C112/C113</f>
        <v>0</v>
      </c>
      <c r="E112" s="573"/>
      <c r="F112" s="573" t="s">
        <v>1</v>
      </c>
      <c r="H112" s="565"/>
      <c r="I112" s="580"/>
      <c r="J112" s="565"/>
      <c r="O112" s="0" t="n">
        <f aca="false">SUM(O110:O111)</f>
        <v>-0.14941216336337</v>
      </c>
    </row>
    <row r="113" customFormat="false" ht="12.75" hidden="false" customHeight="false" outlineLevel="0" collapsed="false">
      <c r="C113" s="568" t="n">
        <f aca="false">SUM(C110:C112)</f>
        <v>3245</v>
      </c>
      <c r="D113" s="569" t="n">
        <f aca="false">SUM(D110:D112)</f>
        <v>1</v>
      </c>
      <c r="M113" s="564" t="n">
        <f aca="false">AVERAGE(M110:M111)</f>
        <v>-0.0260066466712623</v>
      </c>
    </row>
    <row r="114" customFormat="false" ht="12.75" hidden="false" customHeight="false" outlineLevel="0" collapsed="false">
      <c r="O114" s="0" t="e">
        <f aca="false">+O112+O104</f>
        <v>#REF!</v>
      </c>
    </row>
    <row r="115" customFormat="false" ht="12.75" hidden="false" customHeight="false" outlineLevel="0" collapsed="false">
      <c r="O115" s="0" t="e">
        <f aca="false">+O114/12</f>
        <v>#REF!</v>
      </c>
    </row>
    <row r="116" customFormat="false" ht="12.75" hidden="false" customHeight="false" outlineLevel="0" collapsed="false">
      <c r="M116" s="564" t="n">
        <f aca="false">+M113+M105</f>
        <v>-0.0260066466712623</v>
      </c>
    </row>
    <row r="131" customFormat="false" ht="12.75" hidden="false" customHeight="false" outlineLevel="0" collapsed="false">
      <c r="B131" s="574" t="s">
        <v>648</v>
      </c>
      <c r="C131" s="566" t="s">
        <v>1008</v>
      </c>
      <c r="D131" s="566" t="s">
        <v>1009</v>
      </c>
      <c r="E131" s="565" t="s">
        <v>981</v>
      </c>
      <c r="F131" s="565" t="s">
        <v>1036</v>
      </c>
      <c r="G131" s="565" t="s">
        <v>1047</v>
      </c>
      <c r="H131" s="565" t="s">
        <v>1048</v>
      </c>
      <c r="I131" s="565" t="s">
        <v>1055</v>
      </c>
      <c r="J131" s="565"/>
      <c r="K131" s="574" t="s">
        <v>1</v>
      </c>
      <c r="L131" s="564" t="s">
        <v>1049</v>
      </c>
      <c r="M131" s="564" t="s">
        <v>1050</v>
      </c>
      <c r="N131" s="564" t="s">
        <v>1051</v>
      </c>
    </row>
    <row r="132" customFormat="false" ht="12.75" hidden="false" customHeight="false" outlineLevel="0" collapsed="false">
      <c r="B132" s="565" t="s">
        <v>1040</v>
      </c>
      <c r="C132" s="568" t="n">
        <v>1163</v>
      </c>
      <c r="D132" s="569" t="n">
        <f aca="false">+C132/C135</f>
        <v>0.358397534668721</v>
      </c>
      <c r="E132" s="573" t="e">
        <f aca="false">+#REF!</f>
        <v>#REF!</v>
      </c>
      <c r="F132" s="581" t="n">
        <v>-0.0725</v>
      </c>
      <c r="G132" s="582" t="e">
        <f aca="false">+D132*E132</f>
        <v>#REF!</v>
      </c>
      <c r="H132" s="573" t="n">
        <f aca="false">+F132*D132</f>
        <v>-0.0259838212634823</v>
      </c>
      <c r="I132" s="573" t="n">
        <v>0.2525</v>
      </c>
      <c r="J132" s="565"/>
      <c r="K132" s="583" t="s">
        <v>1</v>
      </c>
      <c r="L132" s="564" t="n">
        <f aca="false">+I132-F132</f>
        <v>0.325</v>
      </c>
      <c r="M132" s="564" t="e">
        <f aca="false">+L132-E132</f>
        <v>#REF!</v>
      </c>
      <c r="N132" s="564" t="e">
        <f aca="false">+M132*5</f>
        <v>#REF!</v>
      </c>
      <c r="O132" s="0" t="e">
        <f aca="false">+N132*D132</f>
        <v>#REF!</v>
      </c>
    </row>
    <row r="133" customFormat="false" ht="12.75" hidden="false" customHeight="false" outlineLevel="0" collapsed="false">
      <c r="B133" s="565" t="s">
        <v>1041</v>
      </c>
      <c r="C133" s="568" t="n">
        <v>2082</v>
      </c>
      <c r="D133" s="569" t="n">
        <f aca="false">+C133/C135</f>
        <v>0.641602465331279</v>
      </c>
      <c r="E133" s="573" t="e">
        <f aca="false">+#REF!</f>
        <v>#REF!</v>
      </c>
      <c r="F133" s="581" t="n">
        <v>-0.06</v>
      </c>
      <c r="G133" s="582" t="e">
        <f aca="false">+D133*E133</f>
        <v>#REF!</v>
      </c>
      <c r="H133" s="573" t="n">
        <f aca="false">+F133*D133</f>
        <v>-0.0384961479198767</v>
      </c>
      <c r="I133" s="573" t="n">
        <v>0.2525</v>
      </c>
      <c r="J133" s="565"/>
      <c r="K133" s="583" t="s">
        <v>1</v>
      </c>
      <c r="L133" s="564" t="n">
        <f aca="false">+I133-F133</f>
        <v>0.3125</v>
      </c>
      <c r="M133" s="564" t="e">
        <f aca="false">+L133-E133</f>
        <v>#REF!</v>
      </c>
      <c r="N133" s="564" t="e">
        <f aca="false">+M133*5</f>
        <v>#REF!</v>
      </c>
      <c r="O133" s="0" t="e">
        <f aca="false">+N133*D133</f>
        <v>#REF!</v>
      </c>
    </row>
    <row r="134" customFormat="false" ht="12.75" hidden="false" customHeight="false" outlineLevel="0" collapsed="false">
      <c r="C134" s="570" t="n">
        <v>0</v>
      </c>
      <c r="D134" s="571" t="n">
        <f aca="false">+C134/C135</f>
        <v>0</v>
      </c>
      <c r="O134" s="0" t="e">
        <f aca="false">SUM(O132:O133)</f>
        <v>#REF!</v>
      </c>
    </row>
    <row r="135" customFormat="false" ht="12.75" hidden="false" customHeight="false" outlineLevel="0" collapsed="false">
      <c r="C135" s="568" t="n">
        <f aca="false">SUM(C132:C134)</f>
        <v>3245</v>
      </c>
      <c r="D135" s="569" t="n">
        <f aca="false">SUM(D132:D134)</f>
        <v>1</v>
      </c>
    </row>
    <row r="136" customFormat="false" ht="12.75" hidden="false" customHeight="false" outlineLevel="0" collapsed="false">
      <c r="C136" s="579" t="n">
        <f aca="false">+C132*F132</f>
        <v>-84.3175</v>
      </c>
    </row>
    <row r="137" customFormat="false" ht="12.75" hidden="false" customHeight="false" outlineLevel="0" collapsed="false">
      <c r="C137" s="579" t="n">
        <f aca="false">+C133*F133</f>
        <v>-124.92</v>
      </c>
    </row>
    <row r="138" customFormat="false" ht="12.75" hidden="false" customHeight="false" outlineLevel="0" collapsed="false">
      <c r="C138" s="579" t="n">
        <f aca="false">+C137+C136</f>
        <v>-209.2375</v>
      </c>
      <c r="D138" s="0" t="n">
        <f aca="false">+C138/C135</f>
        <v>-0.064479969183359</v>
      </c>
      <c r="I138" s="0" t="s">
        <v>1</v>
      </c>
    </row>
    <row r="139" customFormat="false" ht="12.75" hidden="false" customHeight="false" outlineLevel="0" collapsed="false">
      <c r="A139" s="565"/>
      <c r="B139" s="574" t="s">
        <v>648</v>
      </c>
      <c r="C139" s="565" t="s">
        <v>1</v>
      </c>
      <c r="D139" s="566" t="s">
        <v>1009</v>
      </c>
      <c r="E139" s="565" t="s">
        <v>1052</v>
      </c>
      <c r="F139" s="565" t="s">
        <v>1053</v>
      </c>
      <c r="G139" s="0" t="s">
        <v>1047</v>
      </c>
      <c r="H139" s="565" t="s">
        <v>1048</v>
      </c>
      <c r="I139" s="565" t="s">
        <v>1037</v>
      </c>
      <c r="J139" s="565"/>
      <c r="K139" s="574" t="s">
        <v>1</v>
      </c>
    </row>
    <row r="140" customFormat="false" ht="12.75" hidden="false" customHeight="false" outlineLevel="0" collapsed="false">
      <c r="A140" s="565"/>
      <c r="B140" s="565" t="s">
        <v>1040</v>
      </c>
      <c r="C140" s="568" t="n">
        <v>1163</v>
      </c>
      <c r="D140" s="569" t="n">
        <f aca="false">+C140/C143</f>
        <v>0.358397534668721</v>
      </c>
      <c r="E140" s="573" t="n">
        <f aca="false">+Rates!H37</f>
        <v>0.390881528662421</v>
      </c>
      <c r="F140" s="581" t="n">
        <v>-0.0725</v>
      </c>
      <c r="G140" s="582" t="n">
        <f aca="false">+D140*E140</f>
        <v>0.140090976220153</v>
      </c>
      <c r="H140" s="573" t="n">
        <f aca="false">+F140*D140</f>
        <v>-0.0259838212634823</v>
      </c>
      <c r="I140" s="573" t="n">
        <v>0.2525</v>
      </c>
      <c r="J140" s="565"/>
      <c r="K140" s="583" t="s">
        <v>1</v>
      </c>
      <c r="L140" s="564" t="n">
        <f aca="false">+I140-F140</f>
        <v>0.325</v>
      </c>
      <c r="M140" s="564" t="n">
        <f aca="false">+L140-E140</f>
        <v>-0.0658815286624208</v>
      </c>
      <c r="N140" s="564" t="n">
        <f aca="false">+M140*7</f>
        <v>-0.461170700636945</v>
      </c>
      <c r="O140" s="0" t="n">
        <f aca="false">+N140*D140</f>
        <v>-0.165282442169728</v>
      </c>
    </row>
    <row r="141" customFormat="false" ht="12.75" hidden="false" customHeight="false" outlineLevel="0" collapsed="false">
      <c r="A141" s="565"/>
      <c r="B141" s="565" t="s">
        <v>1056</v>
      </c>
      <c r="C141" s="568" t="n">
        <v>2082</v>
      </c>
      <c r="D141" s="569" t="n">
        <f aca="false">+C141/C143</f>
        <v>0.641602465331279</v>
      </c>
      <c r="E141" s="573" t="n">
        <f aca="false">+Rates!H72</f>
        <v>0.345572487887087</v>
      </c>
      <c r="F141" s="573" t="n">
        <v>-0.06</v>
      </c>
      <c r="G141" s="582" t="n">
        <f aca="false">+D141*E141</f>
        <v>0.221720160179018</v>
      </c>
      <c r="H141" s="573" t="n">
        <f aca="false">+F141*D141</f>
        <v>-0.0384961479198767</v>
      </c>
      <c r="I141" s="573" t="n">
        <v>0.2525</v>
      </c>
      <c r="J141" s="565"/>
      <c r="K141" s="583" t="s">
        <v>1</v>
      </c>
      <c r="L141" s="564" t="n">
        <f aca="false">+I141-F141</f>
        <v>0.3125</v>
      </c>
      <c r="M141" s="564" t="n">
        <f aca="false">+L141-E141</f>
        <v>-0.0330724878870867</v>
      </c>
      <c r="N141" s="564" t="n">
        <f aca="false">+M141*7</f>
        <v>-0.231507415209607</v>
      </c>
      <c r="O141" s="0" t="n">
        <f aca="false">+N141*D141</f>
        <v>-0.148535728340956</v>
      </c>
    </row>
    <row r="142" customFormat="false" ht="12.75" hidden="false" customHeight="false" outlineLevel="0" collapsed="false">
      <c r="A142" s="565"/>
      <c r="B142" s="565"/>
      <c r="C142" s="573" t="n">
        <v>0</v>
      </c>
      <c r="D142" s="571" t="n">
        <f aca="false">+C142/C143</f>
        <v>0</v>
      </c>
      <c r="E142" s="573"/>
      <c r="F142" s="573" t="s">
        <v>1</v>
      </c>
      <c r="H142" s="565"/>
      <c r="I142" s="580"/>
      <c r="J142" s="565"/>
      <c r="O142" s="0" t="n">
        <f aca="false">SUM(O140:O141)</f>
        <v>-0.313818170510684</v>
      </c>
    </row>
    <row r="143" customFormat="false" ht="12.75" hidden="false" customHeight="false" outlineLevel="0" collapsed="false">
      <c r="C143" s="568" t="n">
        <f aca="false">SUM(C140:C142)</f>
        <v>3245</v>
      </c>
      <c r="D143" s="569" t="n">
        <f aca="false">SUM(D140:D142)</f>
        <v>1</v>
      </c>
      <c r="M143" s="564" t="n">
        <f aca="false">AVERAGE(M140:M141)</f>
        <v>-0.0494770082747537</v>
      </c>
    </row>
    <row r="144" customFormat="false" ht="12.75" hidden="false" customHeight="false" outlineLevel="0" collapsed="false">
      <c r="O144" s="0" t="e">
        <f aca="false">+O142+O134</f>
        <v>#REF!</v>
      </c>
    </row>
    <row r="145" customFormat="false" ht="12.75" hidden="false" customHeight="false" outlineLevel="0" collapsed="false">
      <c r="O145" s="0" t="e">
        <f aca="false">+O144/12</f>
        <v>#REF!</v>
      </c>
    </row>
    <row r="146" customFormat="false" ht="12.75" hidden="false" customHeight="false" outlineLevel="0" collapsed="false">
      <c r="M146" s="564" t="n">
        <f aca="false">+M143+M135</f>
        <v>-0.0494770082747537</v>
      </c>
    </row>
    <row r="151" customFormat="false" ht="12.75" hidden="false" customHeight="false" outlineLevel="0" collapsed="false">
      <c r="B151" s="574" t="s">
        <v>648</v>
      </c>
      <c r="C151" s="566" t="s">
        <v>1008</v>
      </c>
      <c r="D151" s="566" t="s">
        <v>1009</v>
      </c>
      <c r="E151" s="565" t="s">
        <v>981</v>
      </c>
      <c r="F151" s="565" t="s">
        <v>1036</v>
      </c>
      <c r="G151" s="565" t="s">
        <v>1047</v>
      </c>
      <c r="H151" s="565" t="s">
        <v>1048</v>
      </c>
      <c r="I151" s="565" t="s">
        <v>1057</v>
      </c>
      <c r="J151" s="565"/>
      <c r="K151" s="574" t="s">
        <v>1</v>
      </c>
      <c r="L151" s="564" t="s">
        <v>1049</v>
      </c>
      <c r="M151" s="564" t="s">
        <v>1050</v>
      </c>
      <c r="N151" s="564" t="s">
        <v>1051</v>
      </c>
    </row>
    <row r="152" customFormat="false" ht="12.75" hidden="false" customHeight="false" outlineLevel="0" collapsed="false">
      <c r="B152" s="565" t="s">
        <v>1058</v>
      </c>
      <c r="C152" s="568" t="n">
        <v>1163</v>
      </c>
      <c r="D152" s="569" t="n">
        <f aca="false">+C152/C155</f>
        <v>0.358397534668721</v>
      </c>
      <c r="E152" s="573" t="e">
        <f aca="false">+#REF!</f>
        <v>#REF!</v>
      </c>
      <c r="F152" s="581" t="n">
        <v>-0.0725</v>
      </c>
      <c r="G152" s="582" t="e">
        <f aca="false">+D152*E152</f>
        <v>#REF!</v>
      </c>
      <c r="H152" s="573" t="n">
        <f aca="false">+F152*D152</f>
        <v>-0.0259838212634823</v>
      </c>
      <c r="I152" s="573" t="n">
        <v>0.285</v>
      </c>
      <c r="J152" s="565"/>
      <c r="K152" s="583" t="s">
        <v>1</v>
      </c>
      <c r="L152" s="564" t="n">
        <f aca="false">+I152-F152</f>
        <v>0.3575</v>
      </c>
      <c r="M152" s="564" t="e">
        <f aca="false">+L152-E152</f>
        <v>#REF!</v>
      </c>
      <c r="N152" s="564" t="e">
        <f aca="false">+M152*5</f>
        <v>#REF!</v>
      </c>
      <c r="O152" s="0" t="e">
        <f aca="false">+N152*D152</f>
        <v>#REF!</v>
      </c>
    </row>
    <row r="153" customFormat="false" ht="12.75" hidden="false" customHeight="false" outlineLevel="0" collapsed="false">
      <c r="B153" s="565" t="s">
        <v>1059</v>
      </c>
      <c r="C153" s="568" t="n">
        <v>2082</v>
      </c>
      <c r="D153" s="569" t="n">
        <f aca="false">+C153/C155</f>
        <v>0.641602465331279</v>
      </c>
      <c r="E153" s="573" t="e">
        <f aca="false">+#REF!</f>
        <v>#REF!</v>
      </c>
      <c r="F153" s="581" t="n">
        <v>-0.06</v>
      </c>
      <c r="G153" s="582" t="e">
        <f aca="false">+D153*E153</f>
        <v>#REF!</v>
      </c>
      <c r="H153" s="573" t="n">
        <f aca="false">+F153*D153</f>
        <v>-0.0384961479198767</v>
      </c>
      <c r="I153" s="573" t="n">
        <v>0.285</v>
      </c>
      <c r="J153" s="565"/>
      <c r="K153" s="583" t="s">
        <v>1</v>
      </c>
      <c r="L153" s="564" t="n">
        <f aca="false">+I153-F153</f>
        <v>0.345</v>
      </c>
      <c r="M153" s="564" t="e">
        <f aca="false">+L153-E153</f>
        <v>#REF!</v>
      </c>
      <c r="N153" s="564" t="e">
        <f aca="false">+M153*5</f>
        <v>#REF!</v>
      </c>
      <c r="O153" s="0" t="e">
        <f aca="false">+N153*D153</f>
        <v>#REF!</v>
      </c>
    </row>
    <row r="154" customFormat="false" ht="12.75" hidden="false" customHeight="false" outlineLevel="0" collapsed="false">
      <c r="C154" s="570" t="n">
        <v>0</v>
      </c>
      <c r="D154" s="571" t="n">
        <f aca="false">+C154/C155</f>
        <v>0</v>
      </c>
      <c r="O154" s="0" t="e">
        <f aca="false">SUM(O152:O153)</f>
        <v>#REF!</v>
      </c>
    </row>
    <row r="155" customFormat="false" ht="12.75" hidden="false" customHeight="false" outlineLevel="0" collapsed="false">
      <c r="C155" s="568" t="n">
        <f aca="false">SUM(C152:C154)</f>
        <v>3245</v>
      </c>
      <c r="D155" s="569" t="n">
        <f aca="false">SUM(D152:D154)</f>
        <v>1</v>
      </c>
    </row>
    <row r="156" customFormat="false" ht="12.75" hidden="false" customHeight="false" outlineLevel="0" collapsed="false">
      <c r="C156" s="579" t="n">
        <f aca="false">+C152*F152</f>
        <v>-84.3175</v>
      </c>
    </row>
    <row r="157" customFormat="false" ht="12.75" hidden="false" customHeight="false" outlineLevel="0" collapsed="false">
      <c r="C157" s="579" t="n">
        <f aca="false">+C153*F153</f>
        <v>-124.92</v>
      </c>
    </row>
    <row r="158" customFormat="false" ht="12.75" hidden="false" customHeight="false" outlineLevel="0" collapsed="false">
      <c r="C158" s="579" t="n">
        <f aca="false">+C157+C156</f>
        <v>-209.2375</v>
      </c>
      <c r="D158" s="0" t="n">
        <f aca="false">+C158/C155</f>
        <v>-0.064479969183359</v>
      </c>
      <c r="I158" s="0" t="s">
        <v>1</v>
      </c>
    </row>
    <row r="159" customFormat="false" ht="12.75" hidden="false" customHeight="false" outlineLevel="0" collapsed="false">
      <c r="B159" s="574" t="s">
        <v>648</v>
      </c>
      <c r="C159" s="565" t="s">
        <v>1</v>
      </c>
      <c r="D159" s="566" t="s">
        <v>1009</v>
      </c>
      <c r="E159" s="565" t="s">
        <v>1052</v>
      </c>
      <c r="F159" s="565" t="s">
        <v>1053</v>
      </c>
      <c r="G159" s="0" t="s">
        <v>1047</v>
      </c>
      <c r="H159" s="565" t="s">
        <v>1048</v>
      </c>
      <c r="I159" s="565" t="s">
        <v>1057</v>
      </c>
      <c r="J159" s="565"/>
      <c r="K159" s="574" t="s">
        <v>1</v>
      </c>
    </row>
    <row r="160" customFormat="false" ht="12.75" hidden="false" customHeight="false" outlineLevel="0" collapsed="false">
      <c r="B160" s="565" t="s">
        <v>1058</v>
      </c>
      <c r="C160" s="568" t="n">
        <v>1163</v>
      </c>
      <c r="D160" s="569" t="n">
        <f aca="false">+C160/C163</f>
        <v>0.358397534668721</v>
      </c>
      <c r="E160" s="573" t="n">
        <f aca="false">+Rates!H42</f>
        <v>0.448040308747856</v>
      </c>
      <c r="F160" s="581" t="n">
        <v>-0.0725</v>
      </c>
      <c r="G160" s="582" t="n">
        <f aca="false">+D160*E160</f>
        <v>0.160576542087444</v>
      </c>
      <c r="H160" s="573" t="n">
        <f aca="false">+F160*D160</f>
        <v>-0.0259838212634823</v>
      </c>
      <c r="I160" s="573" t="n">
        <v>0.285</v>
      </c>
      <c r="J160" s="565"/>
      <c r="K160" s="583" t="s">
        <v>1</v>
      </c>
      <c r="L160" s="564" t="n">
        <f aca="false">+I160-F160</f>
        <v>0.3575</v>
      </c>
      <c r="M160" s="564" t="n">
        <f aca="false">+L160-E160</f>
        <v>-0.0905403087478561</v>
      </c>
      <c r="N160" s="564" t="n">
        <f aca="false">+M160*7</f>
        <v>-0.633782161234993</v>
      </c>
      <c r="O160" s="0" t="n">
        <f aca="false">+N160*D160</f>
        <v>-0.227145964103635</v>
      </c>
    </row>
    <row r="161" customFormat="false" ht="12.75" hidden="false" customHeight="false" outlineLevel="0" collapsed="false">
      <c r="B161" s="565" t="s">
        <v>1060</v>
      </c>
      <c r="C161" s="568" t="n">
        <v>2082</v>
      </c>
      <c r="D161" s="569" t="n">
        <f aca="false">+C161/C163</f>
        <v>0.641602465331279</v>
      </c>
      <c r="E161" s="573" t="n">
        <f aca="false">+Rates!H77</f>
        <v>0.401675103690312</v>
      </c>
      <c r="F161" s="573" t="n">
        <v>-0.06</v>
      </c>
      <c r="G161" s="582" t="n">
        <f aca="false">+D161*E161</f>
        <v>0.257715736789901</v>
      </c>
      <c r="H161" s="573" t="n">
        <f aca="false">+F161*D161</f>
        <v>-0.0384961479198767</v>
      </c>
      <c r="I161" s="573" t="n">
        <v>0.285</v>
      </c>
      <c r="J161" s="565"/>
      <c r="K161" s="583" t="s">
        <v>1</v>
      </c>
      <c r="L161" s="564" t="n">
        <f aca="false">+I161-F161</f>
        <v>0.345</v>
      </c>
      <c r="M161" s="564" t="n">
        <f aca="false">+L161-E161</f>
        <v>-0.0566751036903116</v>
      </c>
      <c r="N161" s="564" t="n">
        <f aca="false">+M161*7</f>
        <v>-0.396725725832181</v>
      </c>
      <c r="O161" s="0" t="n">
        <f aca="false">+N161*D161</f>
        <v>-0.254540203754268</v>
      </c>
    </row>
    <row r="162" customFormat="false" ht="12.75" hidden="false" customHeight="false" outlineLevel="0" collapsed="false">
      <c r="B162" s="565"/>
      <c r="C162" s="573" t="n">
        <v>0</v>
      </c>
      <c r="D162" s="571" t="n">
        <f aca="false">+C162/C163</f>
        <v>0</v>
      </c>
      <c r="E162" s="573"/>
      <c r="F162" s="573" t="s">
        <v>1</v>
      </c>
      <c r="H162" s="565"/>
      <c r="I162" s="580"/>
      <c r="J162" s="565"/>
      <c r="O162" s="0" t="n">
        <f aca="false">SUM(O160:O161)</f>
        <v>-0.481686167857904</v>
      </c>
    </row>
    <row r="163" customFormat="false" ht="12.75" hidden="false" customHeight="false" outlineLevel="0" collapsed="false">
      <c r="C163" s="568" t="n">
        <f aca="false">SUM(C160:C162)</f>
        <v>3245</v>
      </c>
      <c r="D163" s="569" t="n">
        <f aca="false">SUM(D160:D162)</f>
        <v>1</v>
      </c>
      <c r="M163" s="564" t="n">
        <f aca="false">AVERAGE(M160:M161)</f>
        <v>-0.0736077062190839</v>
      </c>
    </row>
    <row r="164" customFormat="false" ht="12.75" hidden="false" customHeight="false" outlineLevel="0" collapsed="false">
      <c r="O164" s="0" t="e">
        <f aca="false">+O162+O154</f>
        <v>#REF!</v>
      </c>
    </row>
    <row r="165" customFormat="false" ht="12.75" hidden="false" customHeight="false" outlineLevel="0" collapsed="false">
      <c r="O165" s="0" t="e">
        <f aca="false">+O164/12</f>
        <v>#REF!</v>
      </c>
    </row>
    <row r="166" customFormat="false" ht="12.75" hidden="false" customHeight="false" outlineLevel="0" collapsed="false">
      <c r="M166" s="564" t="n">
        <f aca="false">+M163+M155</f>
        <v>-0.0736077062190839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13"/>
    <col collapsed="false" customWidth="true" hidden="false" outlineLevel="0" max="4" min="4" style="0" width="3.7"/>
    <col collapsed="false" customWidth="true" hidden="false" outlineLevel="0" max="6" min="6" style="0" width="3.28"/>
  </cols>
  <sheetData>
    <row r="1" customFormat="false" ht="12.75" hidden="false" customHeight="false" outlineLevel="0" collapsed="false">
      <c r="A1" s="0" t="s">
        <v>1061</v>
      </c>
    </row>
    <row r="2" customFormat="false" ht="12.75" hidden="false" customHeight="false" outlineLevel="0" collapsed="false">
      <c r="C2" s="0" t="s">
        <v>1062</v>
      </c>
      <c r="E2" s="0" t="s">
        <v>645</v>
      </c>
    </row>
    <row r="3" customFormat="false" ht="12.75" hidden="false" customHeight="false" outlineLevel="0" collapsed="false">
      <c r="A3" s="0" t="s">
        <v>1063</v>
      </c>
      <c r="C3" s="0" t="n">
        <v>307497</v>
      </c>
      <c r="E3" s="544" t="n">
        <v>1.6</v>
      </c>
    </row>
    <row r="8" customFormat="false" ht="12.75" hidden="false" customHeight="false" outlineLevel="0" collapsed="false">
      <c r="A8" s="0" t="s">
        <v>1064</v>
      </c>
    </row>
    <row r="9" customFormat="false" ht="12.75" hidden="false" customHeight="false" outlineLevel="0" collapsed="false">
      <c r="B9" s="584" t="s">
        <v>485</v>
      </c>
      <c r="C9" s="584"/>
      <c r="D9" s="584"/>
      <c r="E9" s="584"/>
      <c r="F9" s="584"/>
      <c r="G9" s="584"/>
    </row>
    <row r="10" customFormat="false" ht="12.75" hidden="false" customHeight="false" outlineLevel="0" collapsed="false">
      <c r="B10" s="0" t="s">
        <v>1062</v>
      </c>
      <c r="C10" s="0" t="s">
        <v>9</v>
      </c>
      <c r="E10" s="0" t="s">
        <v>1065</v>
      </c>
      <c r="G10" s="0" t="s">
        <v>1066</v>
      </c>
    </row>
    <row r="11" customFormat="false" ht="12.75" hidden="false" customHeight="false" outlineLevel="0" collapsed="false">
      <c r="B11" s="0" t="n">
        <v>68900</v>
      </c>
      <c r="C11" s="0" t="s">
        <v>1067</v>
      </c>
    </row>
    <row r="12" customFormat="false" ht="12.75" hidden="false" customHeight="false" outlineLevel="0" collapsed="false">
      <c r="B12" s="0" t="n">
        <v>79139</v>
      </c>
      <c r="C12" s="0" t="s">
        <v>1068</v>
      </c>
    </row>
    <row r="13" customFormat="false" ht="12.75" hidden="false" customHeight="false" outlineLevel="0" collapsed="false">
      <c r="B13" s="0" t="n">
        <v>82058</v>
      </c>
      <c r="C13" s="0" t="s">
        <v>1069</v>
      </c>
    </row>
    <row r="14" customFormat="false" ht="12.75" hidden="false" customHeight="false" outlineLevel="0" collapsed="false">
      <c r="B14" s="0" t="n">
        <v>83440</v>
      </c>
      <c r="C14" s="0" t="s">
        <v>1069</v>
      </c>
    </row>
    <row r="15" customFormat="false" ht="12.75" hidden="false" customHeight="false" outlineLevel="0" collapsed="false">
      <c r="B15" s="0" t="n">
        <v>35535</v>
      </c>
      <c r="C15" s="0" t="s">
        <v>1070</v>
      </c>
    </row>
    <row r="20" customFormat="false" ht="12.75" hidden="false" customHeight="false" outlineLevel="0" collapsed="false">
      <c r="B20" s="584" t="s">
        <v>486</v>
      </c>
      <c r="C20" s="584"/>
      <c r="D20" s="584"/>
      <c r="E20" s="584"/>
      <c r="F20" s="584"/>
      <c r="G20" s="584"/>
    </row>
    <row r="21" customFormat="false" ht="12.75" hidden="false" customHeight="false" outlineLevel="0" collapsed="false">
      <c r="B21" s="0" t="s">
        <v>1062</v>
      </c>
      <c r="C21" s="0" t="s">
        <v>9</v>
      </c>
      <c r="E21" s="0" t="s">
        <v>1065</v>
      </c>
      <c r="G21" s="0" t="s">
        <v>1066</v>
      </c>
    </row>
    <row r="22" customFormat="false" ht="12.75" hidden="false" customHeight="false" outlineLevel="0" collapsed="false">
      <c r="B22" s="0" t="n">
        <v>68903</v>
      </c>
      <c r="C22" s="0" t="s">
        <v>1071</v>
      </c>
    </row>
    <row r="23" customFormat="false" ht="12.75" hidden="false" customHeight="false" outlineLevel="0" collapsed="false">
      <c r="B23" s="0" t="n">
        <v>68904</v>
      </c>
      <c r="C23" s="0" t="s">
        <v>1072</v>
      </c>
    </row>
    <row r="24" customFormat="false" ht="12.75" hidden="false" customHeight="false" outlineLevel="0" collapsed="false">
      <c r="B24" s="0" t="n">
        <v>79798</v>
      </c>
      <c r="C24" s="0" t="s">
        <v>1073</v>
      </c>
    </row>
    <row r="25" customFormat="false" ht="12.75" hidden="false" customHeight="false" outlineLevel="0" collapsed="false">
      <c r="C25" s="0" t="s">
        <v>1074</v>
      </c>
    </row>
    <row r="26" customFormat="false" ht="12.75" hidden="false" customHeight="false" outlineLevel="0" collapsed="false">
      <c r="B26" s="0" t="n">
        <v>79801</v>
      </c>
      <c r="C26" s="0" t="s">
        <v>1069</v>
      </c>
    </row>
    <row r="27" customFormat="false" ht="12.75" hidden="false" customHeight="false" outlineLevel="0" collapsed="false">
      <c r="C27" s="0" t="s">
        <v>1075</v>
      </c>
    </row>
    <row r="28" customFormat="false" ht="12.75" hidden="false" customHeight="false" outlineLevel="0" collapsed="false">
      <c r="B28" s="0" t="n">
        <v>83404</v>
      </c>
      <c r="C28" s="0" t="s">
        <v>1076</v>
      </c>
    </row>
    <row r="29" customFormat="false" ht="12.75" hidden="false" customHeight="false" outlineLevel="0" collapsed="false">
      <c r="C29" s="0" t="s">
        <v>1074</v>
      </c>
    </row>
    <row r="30" customFormat="false" ht="12.75" hidden="false" customHeight="false" outlineLevel="0" collapsed="false">
      <c r="B30" s="0" t="n">
        <v>79141</v>
      </c>
      <c r="C30" s="0" t="s">
        <v>1073</v>
      </c>
    </row>
    <row r="31" customFormat="false" ht="12.75" hidden="false" customHeight="false" outlineLevel="0" collapsed="false">
      <c r="B31" s="0" t="n">
        <v>79139</v>
      </c>
      <c r="C31" s="0" t="s">
        <v>1068</v>
      </c>
    </row>
    <row r="32" customFormat="false" ht="12.75" hidden="false" customHeight="false" outlineLevel="0" collapsed="false">
      <c r="B32" s="0" t="n">
        <v>79136</v>
      </c>
      <c r="C32" s="0" t="s">
        <v>1077</v>
      </c>
    </row>
    <row r="35" customFormat="false" ht="12.75" hidden="false" customHeight="false" outlineLevel="0" collapsed="false">
      <c r="B35" s="584" t="s">
        <v>370</v>
      </c>
      <c r="C35" s="584"/>
      <c r="D35" s="584"/>
      <c r="E35" s="584"/>
      <c r="F35" s="584"/>
      <c r="G35" s="584"/>
    </row>
    <row r="36" customFormat="false" ht="12.75" hidden="false" customHeight="false" outlineLevel="0" collapsed="false">
      <c r="B36" s="0" t="s">
        <v>1062</v>
      </c>
      <c r="C36" s="0" t="s">
        <v>9</v>
      </c>
      <c r="E36" s="0" t="s">
        <v>1065</v>
      </c>
      <c r="G36" s="0" t="s">
        <v>1066</v>
      </c>
    </row>
    <row r="37" customFormat="false" ht="12.75" hidden="false" customHeight="false" outlineLevel="0" collapsed="false">
      <c r="B37" s="0" t="n">
        <v>75839</v>
      </c>
      <c r="C37" s="0" t="s">
        <v>1078</v>
      </c>
    </row>
    <row r="38" customFormat="false" ht="12.75" hidden="false" customHeight="false" outlineLevel="0" collapsed="false">
      <c r="B38" s="0" t="n">
        <v>79811</v>
      </c>
      <c r="C38" s="0" t="s">
        <v>1079</v>
      </c>
    </row>
    <row r="39" customFormat="false" ht="12.75" hidden="false" customHeight="false" outlineLevel="0" collapsed="false">
      <c r="C39" s="0" t="s">
        <v>1080</v>
      </c>
    </row>
    <row r="40" customFormat="false" ht="12.75" hidden="false" customHeight="false" outlineLevel="0" collapsed="false">
      <c r="B40" s="0" t="n">
        <v>83404</v>
      </c>
      <c r="C40" s="0" t="s">
        <v>1076</v>
      </c>
    </row>
    <row r="41" customFormat="false" ht="12.75" hidden="false" customHeight="false" outlineLevel="0" collapsed="false">
      <c r="B41" s="0" t="n">
        <v>81129</v>
      </c>
      <c r="C41" s="0" t="s">
        <v>1079</v>
      </c>
    </row>
    <row r="42" customFormat="false" ht="12.75" hidden="false" customHeight="false" outlineLevel="0" collapsed="false">
      <c r="B42" s="0" t="n">
        <v>82058</v>
      </c>
      <c r="C42" s="0" t="s">
        <v>1069</v>
      </c>
    </row>
    <row r="43" customFormat="false" ht="12.75" hidden="false" customHeight="false" outlineLevel="0" collapsed="false">
      <c r="C43" s="0" t="s">
        <v>1081</v>
      </c>
    </row>
    <row r="44" customFormat="false" ht="12.75" hidden="false" customHeight="false" outlineLevel="0" collapsed="false">
      <c r="B44" s="0" t="n">
        <v>83440</v>
      </c>
      <c r="C44" s="0" t="s">
        <v>1069</v>
      </c>
    </row>
    <row r="45" customFormat="false" ht="12.75" hidden="false" customHeight="false" outlineLevel="0" collapsed="false">
      <c r="C45" s="0" t="s">
        <v>1075</v>
      </c>
    </row>
  </sheetData>
  <mergeCells count="3">
    <mergeCell ref="B9:G9"/>
    <mergeCell ref="B20:G20"/>
    <mergeCell ref="B35:G3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41"/>
    <col collapsed="false" customWidth="true" hidden="false" outlineLevel="0" max="3" min="3" style="585" width="10.28"/>
    <col collapsed="false" customWidth="true" hidden="false" outlineLevel="0" max="4" min="4" style="0" width="3.28"/>
    <col collapsed="false" customWidth="true" hidden="false" outlineLevel="0" max="6" min="6" style="0" width="3.14"/>
  </cols>
  <sheetData>
    <row r="1" customFormat="false" ht="12.75" hidden="false" customHeight="false" outlineLevel="0" collapsed="false">
      <c r="A1" s="543" t="s">
        <v>1082</v>
      </c>
    </row>
    <row r="4" customFormat="false" ht="12.75" hidden="false" customHeight="false" outlineLevel="0" collapsed="false">
      <c r="A4" s="586" t="s">
        <v>2</v>
      </c>
      <c r="C4" s="287" t="s">
        <v>1083</v>
      </c>
      <c r="E4" s="0" t="s">
        <v>980</v>
      </c>
      <c r="G4" s="0" t="s">
        <v>1084</v>
      </c>
      <c r="I4" s="0" t="s">
        <v>1085</v>
      </c>
      <c r="K4" s="0" t="s">
        <v>1086</v>
      </c>
      <c r="M4" s="0" t="s">
        <v>1087</v>
      </c>
    </row>
    <row r="5" customFormat="false" ht="12.75" hidden="false" customHeight="false" outlineLevel="0" collapsed="false">
      <c r="A5" s="0" t="s">
        <v>1088</v>
      </c>
      <c r="C5" s="585" t="s">
        <v>1089</v>
      </c>
    </row>
    <row r="7" customFormat="false" ht="12.75" hidden="false" customHeight="false" outlineLevel="0" collapsed="false">
      <c r="A7" s="0" t="s">
        <v>48</v>
      </c>
      <c r="C7" s="585" t="n">
        <v>15000</v>
      </c>
      <c r="E7" s="0" t="s">
        <v>171</v>
      </c>
      <c r="G7" s="0" t="s">
        <v>169</v>
      </c>
      <c r="I7" s="0" t="s">
        <v>168</v>
      </c>
      <c r="K7" s="0" t="s">
        <v>1090</v>
      </c>
      <c r="M7" s="0" t="s">
        <v>1091</v>
      </c>
    </row>
    <row r="8" customFormat="false" ht="12.75" hidden="false" customHeight="false" outlineLevel="0" collapsed="false">
      <c r="C8" s="585" t="n">
        <v>3947</v>
      </c>
      <c r="E8" s="0" t="s">
        <v>178</v>
      </c>
      <c r="G8" s="0" t="s">
        <v>173</v>
      </c>
      <c r="I8" s="0" t="s">
        <v>177</v>
      </c>
      <c r="K8" s="0" t="s">
        <v>1090</v>
      </c>
      <c r="M8" s="0" t="s">
        <v>1091</v>
      </c>
    </row>
    <row r="10" customFormat="false" ht="12.75" hidden="false" customHeight="false" outlineLevel="0" collapsed="false">
      <c r="A10" s="0" t="s">
        <v>134</v>
      </c>
      <c r="C10" s="585" t="n">
        <v>4000</v>
      </c>
      <c r="E10" s="0" t="n">
        <v>66930</v>
      </c>
    </row>
    <row r="11" customFormat="false" ht="12.75" hidden="false" customHeight="false" outlineLevel="0" collapsed="false">
      <c r="C11" s="585" t="n">
        <v>4000</v>
      </c>
      <c r="E11" s="0" t="n">
        <v>66931</v>
      </c>
    </row>
    <row r="12" customFormat="false" ht="12.75" hidden="false" customHeight="false" outlineLevel="0" collapsed="false">
      <c r="C12" s="585" t="n">
        <v>4000</v>
      </c>
      <c r="E12" s="0" t="n">
        <v>66932</v>
      </c>
    </row>
    <row r="13" customFormat="false" ht="12.75" hidden="false" customHeight="false" outlineLevel="0" collapsed="false">
      <c r="C13" s="585" t="n">
        <v>20000</v>
      </c>
      <c r="E13" s="0" t="n">
        <v>66965</v>
      </c>
    </row>
    <row r="15" customFormat="false" ht="12.75" hidden="false" customHeight="false" outlineLevel="0" collapsed="false">
      <c r="C15" s="585" t="n">
        <v>2329</v>
      </c>
      <c r="E15" s="0" t="n">
        <v>65071</v>
      </c>
      <c r="G15" s="0" t="s">
        <v>213</v>
      </c>
      <c r="I15" s="0" t="s">
        <v>201</v>
      </c>
      <c r="K15" s="0" t="s">
        <v>1092</v>
      </c>
      <c r="M15" s="0" t="s">
        <v>1093</v>
      </c>
    </row>
    <row r="16" customFormat="false" ht="12.75" hidden="false" customHeight="false" outlineLevel="0" collapsed="false">
      <c r="C16" s="585" t="n">
        <v>40000</v>
      </c>
      <c r="E16" s="0" t="n">
        <v>64231</v>
      </c>
      <c r="G16" s="0" t="s">
        <v>1094</v>
      </c>
      <c r="M16" s="0" t="s">
        <v>1095</v>
      </c>
    </row>
    <row r="18" customFormat="false" ht="12.75" hidden="false" customHeight="false" outlineLevel="0" collapsed="false">
      <c r="C18" s="585" t="n">
        <v>134000</v>
      </c>
      <c r="E18" s="0" t="s">
        <v>187</v>
      </c>
      <c r="G18" s="0" t="s">
        <v>187</v>
      </c>
      <c r="M18" s="0" t="s">
        <v>1096</v>
      </c>
    </row>
    <row r="20" customFormat="false" ht="12.75" hidden="false" customHeight="false" outlineLevel="0" collapsed="false">
      <c r="C20" s="585" t="n">
        <v>80000</v>
      </c>
      <c r="E20" s="0" t="s">
        <v>1097</v>
      </c>
      <c r="M20" s="0" t="s">
        <v>1098</v>
      </c>
    </row>
    <row r="22" customFormat="false" ht="12.75" hidden="false" customHeight="false" outlineLevel="0" collapsed="false">
      <c r="A22" s="0" t="s">
        <v>128</v>
      </c>
      <c r="C22" s="585" t="n">
        <v>15000</v>
      </c>
      <c r="E22" s="0" t="n">
        <v>37861</v>
      </c>
      <c r="G22" s="0" t="s">
        <v>282</v>
      </c>
      <c r="I22" s="0" t="s">
        <v>213</v>
      </c>
      <c r="K22" s="0" t="s">
        <v>1099</v>
      </c>
      <c r="M22" s="0" t="s">
        <v>1100</v>
      </c>
    </row>
    <row r="23" customFormat="false" ht="12.75" hidden="false" customHeight="false" outlineLevel="0" collapsed="false">
      <c r="C23" s="585" t="n">
        <v>15000</v>
      </c>
      <c r="E23" s="0" t="n">
        <v>58654</v>
      </c>
      <c r="G23" s="0" t="s">
        <v>282</v>
      </c>
      <c r="I23" s="0" t="s">
        <v>213</v>
      </c>
      <c r="K23" s="0" t="s">
        <v>1101</v>
      </c>
      <c r="M23" s="0" t="s">
        <v>1102</v>
      </c>
    </row>
    <row r="24" customFormat="false" ht="12.75" hidden="false" customHeight="false" outlineLevel="0" collapsed="false">
      <c r="C24" s="585" t="n">
        <v>30000</v>
      </c>
      <c r="E24" s="0" t="n">
        <v>63115</v>
      </c>
      <c r="G24" s="0" t="s">
        <v>282</v>
      </c>
      <c r="I24" s="0" t="s">
        <v>213</v>
      </c>
      <c r="K24" s="0" t="s">
        <v>1103</v>
      </c>
      <c r="M24" s="0" t="s">
        <v>1102</v>
      </c>
    </row>
    <row r="26" customFormat="false" ht="12.75" hidden="false" customHeight="false" outlineLevel="0" collapsed="false">
      <c r="C26" s="585" t="n">
        <v>20000</v>
      </c>
      <c r="E26" s="0" t="n">
        <v>37393</v>
      </c>
      <c r="G26" s="0" t="s">
        <v>281</v>
      </c>
      <c r="I26" s="0" t="s">
        <v>282</v>
      </c>
      <c r="K26" s="0" t="s">
        <v>1104</v>
      </c>
      <c r="M26" s="0" t="s">
        <v>1100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C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565" width="10.13"/>
    <col collapsed="false" customWidth="true" hidden="false" outlineLevel="0" max="2" min="2" style="568" width="1.85"/>
    <col collapsed="false" customWidth="false" hidden="false" outlineLevel="0" max="3" min="3" style="565" width="9.14"/>
    <col collapsed="false" customWidth="true" hidden="false" outlineLevel="0" max="4" min="4" style="565" width="12.7"/>
    <col collapsed="false" customWidth="false" hidden="false" outlineLevel="0" max="5" min="5" style="565" width="9.14"/>
    <col collapsed="false" customWidth="true" hidden="false" outlineLevel="0" max="6" min="6" style="565" width="12.7"/>
    <col collapsed="false" customWidth="false" hidden="false" outlineLevel="0" max="257" min="7" style="565" width="9.14"/>
  </cols>
  <sheetData>
    <row r="1" customFormat="false" ht="12.75" hidden="false" customHeight="false" outlineLevel="0" collapsed="false">
      <c r="A1" s="0"/>
      <c r="B1" s="587"/>
    </row>
    <row r="2" customFormat="false" ht="12" hidden="false" customHeight="false" outlineLevel="0" collapsed="false">
      <c r="A2" s="565" t="s">
        <v>24</v>
      </c>
    </row>
    <row r="3" customFormat="false" ht="12" hidden="false" customHeight="false" outlineLevel="0" collapsed="false">
      <c r="A3" s="565" t="n">
        <v>26964</v>
      </c>
      <c r="C3" s="565" t="s">
        <v>1105</v>
      </c>
    </row>
    <row r="4" customFormat="false" ht="12" hidden="false" customHeight="false" outlineLevel="0" collapsed="false">
      <c r="A4" s="565" t="n">
        <v>26586</v>
      </c>
      <c r="C4" s="565" t="s">
        <v>1106</v>
      </c>
    </row>
    <row r="5" customFormat="false" ht="12" hidden="false" customHeight="false" outlineLevel="0" collapsed="false">
      <c r="A5" s="565" t="n">
        <v>26070</v>
      </c>
      <c r="C5" s="588" t="s">
        <v>1107</v>
      </c>
    </row>
    <row r="6" customFormat="false" ht="12" hidden="false" customHeight="false" outlineLevel="0" collapsed="false">
      <c r="A6" s="565" t="n">
        <v>26901</v>
      </c>
      <c r="C6" s="588" t="s">
        <v>1108</v>
      </c>
    </row>
    <row r="7" customFormat="false" ht="12" hidden="false" customHeight="false" outlineLevel="0" collapsed="false">
      <c r="A7" s="565" t="n">
        <v>24787</v>
      </c>
      <c r="C7" s="565" t="s">
        <v>1109</v>
      </c>
    </row>
    <row r="8" customFormat="false" ht="12" hidden="false" customHeight="false" outlineLevel="0" collapsed="false">
      <c r="A8" s="565" t="n">
        <v>25431</v>
      </c>
      <c r="C8" s="565" t="s">
        <v>1110</v>
      </c>
    </row>
    <row r="9" customFormat="false" ht="12" hidden="false" customHeight="false" outlineLevel="0" collapsed="false">
      <c r="A9" s="565" t="n">
        <v>24976</v>
      </c>
      <c r="C9" s="565" t="s">
        <v>1111</v>
      </c>
    </row>
    <row r="10" customFormat="false" ht="12" hidden="false" customHeight="false" outlineLevel="0" collapsed="false">
      <c r="A10" s="565" t="n">
        <v>25635</v>
      </c>
      <c r="C10" s="565" t="s">
        <v>1112</v>
      </c>
    </row>
    <row r="11" customFormat="false" ht="12" hidden="false" customHeight="false" outlineLevel="0" collapsed="false">
      <c r="A11" s="565" t="n">
        <v>24530</v>
      </c>
      <c r="C11" s="565" t="s">
        <v>1113</v>
      </c>
    </row>
    <row r="12" customFormat="false" ht="12" hidden="false" customHeight="false" outlineLevel="0" collapsed="false">
      <c r="A12" s="565" t="n">
        <v>24566</v>
      </c>
      <c r="C12" s="565" t="s">
        <v>1114</v>
      </c>
    </row>
    <row r="15" customFormat="false" ht="12" hidden="false" customHeight="false" outlineLevel="0" collapsed="false">
      <c r="A15" s="565" t="s">
        <v>1115</v>
      </c>
    </row>
    <row r="16" customFormat="false" ht="12" hidden="false" customHeight="false" outlineLevel="0" collapsed="false">
      <c r="A16" s="565" t="s">
        <v>1116</v>
      </c>
    </row>
    <row r="17" customFormat="false" ht="12" hidden="false" customHeight="false" outlineLevel="0" collapsed="false">
      <c r="A17" s="565" t="s">
        <v>1117</v>
      </c>
    </row>
    <row r="18" customFormat="false" ht="12" hidden="false" customHeight="false" outlineLevel="0" collapsed="false">
      <c r="A18" s="589" t="s">
        <v>1118</v>
      </c>
      <c r="C18" s="573"/>
      <c r="E18" s="573"/>
    </row>
    <row r="19" customFormat="false" ht="12" hidden="false" customHeight="false" outlineLevel="0" collapsed="false">
      <c r="A19" s="589"/>
      <c r="C19" s="573"/>
      <c r="E19" s="573"/>
    </row>
    <row r="20" customFormat="false" ht="12" hidden="false" customHeight="false" outlineLevel="0" collapsed="false">
      <c r="A20" s="589" t="s">
        <v>1119</v>
      </c>
      <c r="C20" s="573"/>
      <c r="E20" s="573"/>
    </row>
    <row r="21" customFormat="false" ht="12" hidden="false" customHeight="false" outlineLevel="0" collapsed="false">
      <c r="A21" s="589"/>
      <c r="C21" s="573"/>
      <c r="E21" s="573"/>
    </row>
    <row r="22" customFormat="false" ht="12" hidden="false" customHeight="false" outlineLevel="0" collapsed="false">
      <c r="A22" s="589" t="s">
        <v>1120</v>
      </c>
      <c r="C22" s="573"/>
      <c r="E22" s="573"/>
    </row>
    <row r="23" customFormat="false" ht="12" hidden="false" customHeight="false" outlineLevel="0" collapsed="false">
      <c r="A23" s="589"/>
      <c r="C23" s="573"/>
      <c r="E23" s="573"/>
    </row>
    <row r="24" customFormat="false" ht="12" hidden="false" customHeight="false" outlineLevel="0" collapsed="false">
      <c r="A24" s="589" t="s">
        <v>1121</v>
      </c>
      <c r="C24" s="573"/>
      <c r="E24" s="573"/>
    </row>
    <row r="25" customFormat="false" ht="12" hidden="false" customHeight="false" outlineLevel="0" collapsed="false">
      <c r="A25" s="589" t="s">
        <v>1122</v>
      </c>
      <c r="C25" s="573"/>
      <c r="E25" s="573"/>
    </row>
    <row r="26" customFormat="false" ht="12" hidden="false" customHeight="false" outlineLevel="0" collapsed="false">
      <c r="A26" s="589"/>
      <c r="C26" s="573"/>
      <c r="E26" s="573"/>
      <c r="M26" s="573" t="s">
        <v>1123</v>
      </c>
      <c r="N26" s="565" t="s">
        <v>6</v>
      </c>
    </row>
    <row r="27" customFormat="false" ht="12" hidden="false" customHeight="false" outlineLevel="0" collapsed="false">
      <c r="A27" s="589"/>
      <c r="C27" s="573" t="s">
        <v>1123</v>
      </c>
      <c r="D27" s="565" t="s">
        <v>6</v>
      </c>
      <c r="E27" s="573"/>
      <c r="M27" s="573"/>
    </row>
    <row r="28" customFormat="false" ht="12" hidden="false" customHeight="false" outlineLevel="0" collapsed="false">
      <c r="A28" s="589"/>
      <c r="C28" s="573"/>
      <c r="E28" s="573"/>
      <c r="M28" s="590" t="n">
        <v>36070</v>
      </c>
      <c r="N28" s="591" t="n">
        <v>22766</v>
      </c>
    </row>
    <row r="29" customFormat="false" ht="12" hidden="false" customHeight="false" outlineLevel="0" collapsed="false">
      <c r="A29" s="589"/>
      <c r="C29" s="590" t="n">
        <v>36070</v>
      </c>
      <c r="D29" s="591" t="n">
        <v>23000</v>
      </c>
      <c r="E29" s="573"/>
      <c r="M29" s="590" t="n">
        <v>36071</v>
      </c>
      <c r="N29" s="591" t="n">
        <v>258</v>
      </c>
    </row>
    <row r="30" customFormat="false" ht="12" hidden="false" customHeight="false" outlineLevel="0" collapsed="false">
      <c r="A30" s="589"/>
      <c r="C30" s="590" t="n">
        <v>36079</v>
      </c>
      <c r="D30" s="591" t="n">
        <v>60000</v>
      </c>
      <c r="E30" s="573"/>
      <c r="M30" s="590" t="n">
        <v>36079</v>
      </c>
      <c r="N30" s="591" t="n">
        <v>66349</v>
      </c>
    </row>
    <row r="31" customFormat="false" ht="12" hidden="false" customHeight="false" outlineLevel="0" collapsed="false">
      <c r="A31" s="589"/>
      <c r="C31" s="590" t="n">
        <v>36080</v>
      </c>
      <c r="D31" s="591" t="n">
        <v>72000</v>
      </c>
      <c r="E31" s="573"/>
      <c r="M31" s="590" t="n">
        <v>36080</v>
      </c>
      <c r="N31" s="591" t="n">
        <v>80468</v>
      </c>
    </row>
    <row r="32" customFormat="false" ht="12" hidden="false" customHeight="false" outlineLevel="0" collapsed="false">
      <c r="A32" s="589"/>
      <c r="C32" s="590" t="n">
        <v>36081</v>
      </c>
      <c r="D32" s="591" t="n">
        <v>27000</v>
      </c>
      <c r="E32" s="573"/>
      <c r="M32" s="590" t="n">
        <v>36081</v>
      </c>
      <c r="N32" s="591" t="n">
        <v>27726</v>
      </c>
    </row>
    <row r="33" customFormat="false" ht="12" hidden="false" customHeight="false" outlineLevel="0" collapsed="false">
      <c r="A33" s="589"/>
      <c r="C33" s="590" t="n">
        <v>36082</v>
      </c>
      <c r="D33" s="591" t="n">
        <v>53000</v>
      </c>
      <c r="E33" s="573"/>
      <c r="M33" s="590" t="n">
        <v>36082</v>
      </c>
      <c r="N33" s="591" t="n">
        <v>52469</v>
      </c>
    </row>
    <row r="34" customFormat="false" ht="12" hidden="false" customHeight="false" outlineLevel="0" collapsed="false">
      <c r="A34" s="589"/>
      <c r="C34" s="590" t="n">
        <v>36085</v>
      </c>
      <c r="D34" s="591" t="n">
        <v>51000</v>
      </c>
      <c r="E34" s="573"/>
      <c r="M34" s="590" t="n">
        <v>36083</v>
      </c>
      <c r="N34" s="591" t="n">
        <v>1497</v>
      </c>
    </row>
    <row r="35" customFormat="false" ht="12" hidden="false" customHeight="false" outlineLevel="0" collapsed="false">
      <c r="A35" s="589"/>
      <c r="C35" s="590" t="n">
        <v>36086</v>
      </c>
      <c r="D35" s="591" t="n">
        <v>51000</v>
      </c>
      <c r="E35" s="573"/>
      <c r="M35" s="590" t="n">
        <v>36084</v>
      </c>
      <c r="N35" s="591" t="n">
        <f aca="false">2083+75</f>
        <v>2158</v>
      </c>
    </row>
    <row r="36" customFormat="false" ht="12" hidden="false" customHeight="false" outlineLevel="0" collapsed="false">
      <c r="A36" s="589"/>
      <c r="C36" s="590" t="n">
        <v>36087</v>
      </c>
      <c r="D36" s="591" t="n">
        <v>63730</v>
      </c>
      <c r="M36" s="590" t="n">
        <v>36085</v>
      </c>
      <c r="N36" s="591" t="n">
        <f aca="false">9365+175+9+9759+16833+13341+1513</f>
        <v>50995</v>
      </c>
    </row>
    <row r="37" customFormat="false" ht="12" hidden="false" customHeight="false" outlineLevel="0" collapsed="false">
      <c r="A37" s="589"/>
      <c r="C37" s="590" t="n">
        <v>36092</v>
      </c>
      <c r="D37" s="591" t="n">
        <v>25000</v>
      </c>
      <c r="M37" s="590" t="n">
        <v>36086</v>
      </c>
      <c r="N37" s="591" t="n">
        <f aca="false">9365+175+9+9759+16833+13341+1513</f>
        <v>50995</v>
      </c>
    </row>
    <row r="38" customFormat="false" ht="12" hidden="false" customHeight="false" outlineLevel="0" collapsed="false">
      <c r="A38" s="589"/>
      <c r="C38" s="590" t="n">
        <v>36093</v>
      </c>
      <c r="D38" s="591" t="n">
        <v>25000</v>
      </c>
      <c r="M38" s="590" t="n">
        <v>36087</v>
      </c>
      <c r="N38" s="591" t="n">
        <f aca="false">28107+9305+175+8+13256+9696+1502+1219</f>
        <v>63268</v>
      </c>
    </row>
    <row r="39" customFormat="false" ht="14.25" hidden="false" customHeight="false" outlineLevel="0" collapsed="false">
      <c r="A39" s="589"/>
      <c r="C39" s="590" t="n">
        <v>36094</v>
      </c>
      <c r="D39" s="592" t="n">
        <v>25000</v>
      </c>
      <c r="M39" s="590" t="n">
        <v>36088</v>
      </c>
      <c r="N39" s="591" t="n">
        <f aca="false">2088+175</f>
        <v>2263</v>
      </c>
    </row>
    <row r="40" customFormat="false" ht="12.75" hidden="false" customHeight="false" outlineLevel="0" collapsed="false">
      <c r="A40" s="589"/>
      <c r="C40" s="590" t="s">
        <v>1</v>
      </c>
      <c r="D40" s="591" t="n">
        <f aca="false">SUM(D23:D39)</f>
        <v>475730</v>
      </c>
      <c r="M40" s="590" t="n">
        <v>36089</v>
      </c>
      <c r="N40" s="591" t="n">
        <v>175</v>
      </c>
    </row>
    <row r="41" customFormat="false" ht="12" hidden="false" customHeight="false" outlineLevel="0" collapsed="false">
      <c r="A41" s="589"/>
      <c r="C41" s="590" t="s">
        <v>1</v>
      </c>
      <c r="D41" s="591" t="s">
        <v>1</v>
      </c>
      <c r="F41" s="593"/>
      <c r="M41" s="590" t="n">
        <v>36092</v>
      </c>
      <c r="N41" s="591" t="n">
        <f aca="false">15001+10001</f>
        <v>25002</v>
      </c>
    </row>
    <row r="42" customFormat="false" ht="12" hidden="false" customHeight="false" outlineLevel="0" collapsed="false">
      <c r="A42" s="589"/>
      <c r="C42" s="590" t="s">
        <v>1</v>
      </c>
      <c r="D42" s="591" t="s">
        <v>1</v>
      </c>
      <c r="M42" s="590" t="n">
        <v>36093</v>
      </c>
      <c r="N42" s="591" t="n">
        <f aca="false">15001+10001</f>
        <v>25002</v>
      </c>
    </row>
    <row r="43" customFormat="false" ht="12" hidden="false" customHeight="false" outlineLevel="0" collapsed="false">
      <c r="A43" s="589"/>
      <c r="C43" s="590" t="s">
        <v>1</v>
      </c>
      <c r="D43" s="591" t="s">
        <v>1</v>
      </c>
      <c r="M43" s="590" t="n">
        <v>36094</v>
      </c>
      <c r="N43" s="591" t="n">
        <f aca="false">15001+10001</f>
        <v>25002</v>
      </c>
    </row>
    <row r="44" customFormat="false" ht="14.25" hidden="false" customHeight="false" outlineLevel="0" collapsed="false">
      <c r="A44" s="589"/>
      <c r="C44" s="590" t="s">
        <v>267</v>
      </c>
      <c r="D44" s="591" t="s">
        <v>1</v>
      </c>
      <c r="M44" s="590" t="n">
        <v>36095</v>
      </c>
      <c r="N44" s="592" t="n">
        <v>1908</v>
      </c>
    </row>
    <row r="45" customFormat="false" ht="12" hidden="false" customHeight="false" outlineLevel="0" collapsed="false">
      <c r="A45" s="589"/>
      <c r="C45" s="590" t="s">
        <v>1</v>
      </c>
      <c r="D45" s="594" t="s">
        <v>1</v>
      </c>
      <c r="M45" s="590" t="s">
        <v>1</v>
      </c>
      <c r="N45" s="591" t="n">
        <f aca="false">SUM(N28:N44)</f>
        <v>498301</v>
      </c>
    </row>
    <row r="46" customFormat="false" ht="12" hidden="false" customHeight="false" outlineLevel="0" collapsed="false">
      <c r="A46" s="589"/>
      <c r="C46" s="590" t="s">
        <v>1</v>
      </c>
      <c r="D46" s="591" t="s">
        <v>1</v>
      </c>
      <c r="M46" s="590" t="s">
        <v>1</v>
      </c>
    </row>
    <row r="47" customFormat="false" ht="12" hidden="false" customHeight="false" outlineLevel="0" collapsed="false">
      <c r="A47" s="589"/>
      <c r="C47" s="590" t="s">
        <v>1</v>
      </c>
    </row>
    <row r="48" customFormat="false" ht="12" hidden="false" customHeight="false" outlineLevel="0" collapsed="false">
      <c r="A48" s="589"/>
      <c r="C48" s="590" t="s">
        <v>1</v>
      </c>
    </row>
    <row r="49" customFormat="false" ht="12" hidden="false" customHeight="false" outlineLevel="0" collapsed="false">
      <c r="A49" s="589" t="s">
        <v>1124</v>
      </c>
      <c r="C49" s="590"/>
    </row>
    <row r="50" customFormat="false" ht="12" hidden="false" customHeight="false" outlineLevel="0" collapsed="false">
      <c r="A50" s="589" t="s">
        <v>1</v>
      </c>
      <c r="C50" s="590" t="s">
        <v>1</v>
      </c>
    </row>
    <row r="51" customFormat="false" ht="12" hidden="false" customHeight="false" outlineLevel="0" collapsed="false">
      <c r="A51" s="589" t="s">
        <v>1</v>
      </c>
      <c r="C51" s="590" t="s">
        <v>1</v>
      </c>
    </row>
    <row r="52" customFormat="false" ht="12" hidden="false" customHeight="false" outlineLevel="0" collapsed="false">
      <c r="A52" s="589" t="s">
        <v>1</v>
      </c>
      <c r="C52" s="590" t="s">
        <v>1</v>
      </c>
    </row>
    <row r="53" customFormat="false" ht="12" hidden="false" customHeight="false" outlineLevel="0" collapsed="false">
      <c r="A53" s="589" t="s">
        <v>1</v>
      </c>
      <c r="C53" s="590" t="s">
        <v>1</v>
      </c>
    </row>
    <row r="54" customFormat="false" ht="12" hidden="false" customHeight="false" outlineLevel="0" collapsed="false">
      <c r="A54" s="589" t="s">
        <v>1</v>
      </c>
      <c r="C54" s="590" t="s">
        <v>1</v>
      </c>
    </row>
    <row r="55" customFormat="false" ht="12" hidden="false" customHeight="false" outlineLevel="0" collapsed="false">
      <c r="A55" s="589" t="s">
        <v>1</v>
      </c>
      <c r="C55" s="590" t="s">
        <v>1</v>
      </c>
    </row>
    <row r="56" customFormat="false" ht="12" hidden="false" customHeight="false" outlineLevel="0" collapsed="false">
      <c r="A56" s="589" t="s">
        <v>1</v>
      </c>
      <c r="C56" s="590" t="s">
        <v>267</v>
      </c>
    </row>
    <row r="57" customFormat="false" ht="12" hidden="false" customHeight="false" outlineLevel="0" collapsed="false">
      <c r="A57" s="589" t="s">
        <v>1</v>
      </c>
      <c r="C57" s="590" t="s">
        <v>1</v>
      </c>
    </row>
    <row r="58" customFormat="false" ht="12" hidden="false" customHeight="false" outlineLevel="0" collapsed="false">
      <c r="A58" s="589" t="s">
        <v>1</v>
      </c>
      <c r="C58" s="590" t="s">
        <v>1</v>
      </c>
    </row>
    <row r="59" customFormat="false" ht="12" hidden="false" customHeight="false" outlineLevel="0" collapsed="false">
      <c r="A59" s="589" t="s">
        <v>1</v>
      </c>
      <c r="C59" s="590" t="s">
        <v>1</v>
      </c>
    </row>
    <row r="60" customFormat="false" ht="12" hidden="false" customHeight="false" outlineLevel="0" collapsed="false">
      <c r="A60" s="589" t="s">
        <v>1</v>
      </c>
      <c r="C60" s="590" t="s">
        <v>1</v>
      </c>
    </row>
    <row r="61" customFormat="false" ht="12" hidden="false" customHeight="false" outlineLevel="0" collapsed="false">
      <c r="A61" s="589" t="s">
        <v>1</v>
      </c>
      <c r="C61" s="590" t="s">
        <v>1</v>
      </c>
    </row>
    <row r="62" customFormat="false" ht="12" hidden="false" customHeight="false" outlineLevel="0" collapsed="false">
      <c r="A62" s="589" t="s">
        <v>1</v>
      </c>
      <c r="C62" s="590" t="s">
        <v>267</v>
      </c>
    </row>
    <row r="63" customFormat="false" ht="12" hidden="false" customHeight="false" outlineLevel="0" collapsed="false">
      <c r="A63" s="589" t="s">
        <v>1</v>
      </c>
      <c r="C63" s="590" t="s">
        <v>1</v>
      </c>
    </row>
    <row r="64" customFormat="false" ht="12" hidden="false" customHeight="false" outlineLevel="0" collapsed="false">
      <c r="A64" s="589" t="s">
        <v>1</v>
      </c>
      <c r="C64" s="590" t="s">
        <v>1</v>
      </c>
    </row>
    <row r="65" customFormat="false" ht="12" hidden="false" customHeight="false" outlineLevel="0" collapsed="false">
      <c r="A65" s="589" t="s">
        <v>1</v>
      </c>
      <c r="C65" s="590" t="s">
        <v>1</v>
      </c>
    </row>
    <row r="66" customFormat="false" ht="12" hidden="false" customHeight="false" outlineLevel="0" collapsed="false">
      <c r="A66" s="589" t="s">
        <v>1</v>
      </c>
      <c r="C66" s="590" t="s">
        <v>1</v>
      </c>
    </row>
    <row r="67" customFormat="false" ht="12" hidden="false" customHeight="false" outlineLevel="0" collapsed="false">
      <c r="A67" s="589" t="s">
        <v>1</v>
      </c>
      <c r="C67" s="590" t="s">
        <v>267</v>
      </c>
    </row>
    <row r="68" customFormat="false" ht="12" hidden="false" customHeight="false" outlineLevel="0" collapsed="false">
      <c r="A68" s="589" t="s">
        <v>1</v>
      </c>
      <c r="C68" s="590" t="s">
        <v>1</v>
      </c>
    </row>
    <row r="69" customFormat="false" ht="12" hidden="false" customHeight="false" outlineLevel="0" collapsed="false">
      <c r="A69" s="589" t="s">
        <v>1</v>
      </c>
    </row>
    <row r="70" customFormat="false" ht="12" hidden="false" customHeight="false" outlineLevel="0" collapsed="false">
      <c r="A70" s="589" t="s">
        <v>1</v>
      </c>
    </row>
    <row r="71" customFormat="false" ht="12" hidden="false" customHeight="false" outlineLevel="0" collapsed="false">
      <c r="A71" s="589" t="s">
        <v>1</v>
      </c>
    </row>
    <row r="72" customFormat="false" ht="12" hidden="false" customHeight="false" outlineLevel="0" collapsed="false">
      <c r="A72" s="589" t="s">
        <v>1</v>
      </c>
    </row>
    <row r="73" customFormat="false" ht="12" hidden="false" customHeight="false" outlineLevel="0" collapsed="false">
      <c r="A73" s="589" t="s">
        <v>1</v>
      </c>
    </row>
    <row r="74" customFormat="false" ht="12" hidden="false" customHeight="false" outlineLevel="0" collapsed="false">
      <c r="A74" s="589" t="s">
        <v>1</v>
      </c>
    </row>
    <row r="75" customFormat="false" ht="12" hidden="false" customHeight="false" outlineLevel="0" collapsed="false">
      <c r="A75" s="589" t="s">
        <v>1</v>
      </c>
    </row>
    <row r="76" customFormat="false" ht="12" hidden="false" customHeight="false" outlineLevel="0" collapsed="false">
      <c r="A76" s="589" t="s">
        <v>1</v>
      </c>
    </row>
    <row r="77" customFormat="false" ht="12" hidden="false" customHeight="false" outlineLevel="0" collapsed="false">
      <c r="A77" s="589" t="s">
        <v>1</v>
      </c>
    </row>
    <row r="78" customFormat="false" ht="12" hidden="false" customHeight="false" outlineLevel="0" collapsed="false">
      <c r="A78" s="589" t="s">
        <v>1</v>
      </c>
    </row>
    <row r="79" customFormat="false" ht="12" hidden="false" customHeight="false" outlineLevel="0" collapsed="false">
      <c r="A79" s="589" t="s">
        <v>1</v>
      </c>
    </row>
    <row r="80" customFormat="false" ht="12" hidden="false" customHeight="false" outlineLevel="0" collapsed="false">
      <c r="A80" s="589" t="s">
        <v>1</v>
      </c>
    </row>
    <row r="81" customFormat="false" ht="12" hidden="false" customHeight="false" outlineLevel="0" collapsed="false">
      <c r="A81" s="589" t="s">
        <v>1</v>
      </c>
    </row>
    <row r="82" customFormat="false" ht="12" hidden="false" customHeight="false" outlineLevel="0" collapsed="false">
      <c r="A82" s="589" t="s">
        <v>1</v>
      </c>
    </row>
    <row r="83" customFormat="false" ht="12" hidden="false" customHeight="false" outlineLevel="0" collapsed="false">
      <c r="A83" s="589" t="s">
        <v>1</v>
      </c>
    </row>
    <row r="84" customFormat="false" ht="12" hidden="false" customHeight="false" outlineLevel="0" collapsed="false">
      <c r="A84" s="589" t="s">
        <v>1</v>
      </c>
    </row>
    <row r="85" customFormat="false" ht="12" hidden="false" customHeight="false" outlineLevel="0" collapsed="false">
      <c r="A85" s="589" t="s">
        <v>1</v>
      </c>
    </row>
    <row r="86" customFormat="false" ht="12" hidden="false" customHeight="false" outlineLevel="0" collapsed="false">
      <c r="A86" s="589" t="s">
        <v>1</v>
      </c>
    </row>
    <row r="87" customFormat="false" ht="12" hidden="false" customHeight="false" outlineLevel="0" collapsed="false">
      <c r="A87" s="589" t="s">
        <v>1</v>
      </c>
    </row>
    <row r="88" customFormat="false" ht="12" hidden="false" customHeight="false" outlineLevel="0" collapsed="false">
      <c r="A88" s="589" t="s">
        <v>1</v>
      </c>
    </row>
    <row r="89" customFormat="false" ht="12" hidden="false" customHeight="false" outlineLevel="0" collapsed="false">
      <c r="A89" s="589" t="s">
        <v>1</v>
      </c>
    </row>
    <row r="90" customFormat="false" ht="12" hidden="false" customHeight="false" outlineLevel="0" collapsed="false">
      <c r="A90" s="589" t="s">
        <v>1</v>
      </c>
    </row>
    <row r="91" customFormat="false" ht="12" hidden="false" customHeight="false" outlineLevel="0" collapsed="false">
      <c r="A91" s="589" t="s">
        <v>1</v>
      </c>
    </row>
    <row r="92" customFormat="false" ht="12" hidden="false" customHeight="false" outlineLevel="0" collapsed="false">
      <c r="A92" s="589" t="s">
        <v>1</v>
      </c>
    </row>
    <row r="93" customFormat="false" ht="12" hidden="false" customHeight="false" outlineLevel="0" collapsed="false">
      <c r="A93" s="589" t="s">
        <v>1</v>
      </c>
    </row>
    <row r="94" customFormat="false" ht="12" hidden="false" customHeight="false" outlineLevel="0" collapsed="false">
      <c r="A94" s="589" t="s">
        <v>1</v>
      </c>
    </row>
    <row r="95" customFormat="false" ht="12" hidden="false" customHeight="false" outlineLevel="0" collapsed="false">
      <c r="A95" s="589" t="s">
        <v>1</v>
      </c>
    </row>
    <row r="96" customFormat="false" ht="12" hidden="false" customHeight="false" outlineLevel="0" collapsed="false">
      <c r="A96" s="589" t="s">
        <v>1</v>
      </c>
    </row>
    <row r="97" customFormat="false" ht="12" hidden="false" customHeight="false" outlineLevel="0" collapsed="false">
      <c r="A97" s="589" t="s">
        <v>1</v>
      </c>
    </row>
    <row r="98" customFormat="false" ht="12" hidden="false" customHeight="false" outlineLevel="0" collapsed="false">
      <c r="A98" s="589" t="s">
        <v>1</v>
      </c>
    </row>
    <row r="99" customFormat="false" ht="12" hidden="false" customHeight="false" outlineLevel="0" collapsed="false">
      <c r="A99" s="589" t="s">
        <v>1</v>
      </c>
    </row>
    <row r="100" customFormat="false" ht="12" hidden="false" customHeight="false" outlineLevel="0" collapsed="false">
      <c r="A100" s="589" t="s">
        <v>1</v>
      </c>
    </row>
    <row r="101" customFormat="false" ht="12" hidden="false" customHeight="false" outlineLevel="0" collapsed="false">
      <c r="A101" s="589" t="s">
        <v>1</v>
      </c>
    </row>
    <row r="102" customFormat="false" ht="12" hidden="false" customHeight="false" outlineLevel="0" collapsed="false">
      <c r="A102" s="589" t="s">
        <v>1</v>
      </c>
    </row>
    <row r="103" customFormat="false" ht="12" hidden="false" customHeight="false" outlineLevel="0" collapsed="false">
      <c r="A103" s="589" t="s">
        <v>1</v>
      </c>
    </row>
    <row r="104" customFormat="false" ht="12" hidden="false" customHeight="false" outlineLevel="0" collapsed="false">
      <c r="A104" s="589" t="s">
        <v>1</v>
      </c>
    </row>
    <row r="105" customFormat="false" ht="12" hidden="false" customHeight="false" outlineLevel="0" collapsed="false">
      <c r="A105" s="589" t="s">
        <v>1</v>
      </c>
    </row>
    <row r="106" customFormat="false" ht="12" hidden="false" customHeight="false" outlineLevel="0" collapsed="false">
      <c r="A106" s="589" t="s">
        <v>1</v>
      </c>
    </row>
    <row r="107" customFormat="false" ht="12" hidden="false" customHeight="false" outlineLevel="0" collapsed="false">
      <c r="A107" s="589" t="s">
        <v>1</v>
      </c>
    </row>
    <row r="108" customFormat="false" ht="12" hidden="false" customHeight="false" outlineLevel="0" collapsed="false">
      <c r="A108" s="589" t="s">
        <v>1</v>
      </c>
    </row>
    <row r="109" customFormat="false" ht="12" hidden="false" customHeight="false" outlineLevel="0" collapsed="false">
      <c r="A109" s="589" t="s">
        <v>1</v>
      </c>
    </row>
    <row r="110" customFormat="false" ht="12" hidden="false" customHeight="false" outlineLevel="0" collapsed="false">
      <c r="A110" s="589" t="s">
        <v>1</v>
      </c>
    </row>
    <row r="111" customFormat="false" ht="12" hidden="false" customHeight="false" outlineLevel="0" collapsed="false">
      <c r="A111" s="589" t="s">
        <v>1</v>
      </c>
    </row>
    <row r="112" customFormat="false" ht="12" hidden="false" customHeight="false" outlineLevel="0" collapsed="false">
      <c r="A112" s="589" t="s">
        <v>1</v>
      </c>
    </row>
    <row r="113" customFormat="false" ht="12" hidden="false" customHeight="false" outlineLevel="0" collapsed="false">
      <c r="A113" s="589" t="s">
        <v>1</v>
      </c>
    </row>
    <row r="114" customFormat="false" ht="12" hidden="false" customHeight="false" outlineLevel="0" collapsed="false">
      <c r="A114" s="589" t="s">
        <v>1</v>
      </c>
    </row>
    <row r="115" customFormat="false" ht="12" hidden="false" customHeight="false" outlineLevel="0" collapsed="false">
      <c r="A115" s="589" t="s">
        <v>267</v>
      </c>
    </row>
    <row r="116" customFormat="false" ht="12" hidden="false" customHeight="false" outlineLevel="0" collapsed="false">
      <c r="A116" s="589" t="s">
        <v>1</v>
      </c>
    </row>
    <row r="117" customFormat="false" ht="12" hidden="false" customHeight="false" outlineLevel="0" collapsed="false">
      <c r="A117" s="589" t="s">
        <v>267</v>
      </c>
    </row>
    <row r="118" customFormat="false" ht="12" hidden="false" customHeight="false" outlineLevel="0" collapsed="false">
      <c r="A118" s="589" t="s">
        <v>1</v>
      </c>
    </row>
    <row r="119" customFormat="false" ht="12" hidden="false" customHeight="false" outlineLevel="0" collapsed="false">
      <c r="A119" s="589" t="s">
        <v>1</v>
      </c>
    </row>
    <row r="120" customFormat="false" ht="12" hidden="false" customHeight="false" outlineLevel="0" collapsed="false">
      <c r="A120" s="589" t="s">
        <v>1</v>
      </c>
    </row>
    <row r="121" customFormat="false" ht="12" hidden="false" customHeight="false" outlineLevel="0" collapsed="false">
      <c r="A121" s="589" t="s">
        <v>1</v>
      </c>
    </row>
    <row r="122" customFormat="false" ht="12" hidden="false" customHeight="false" outlineLevel="0" collapsed="false">
      <c r="A122" s="589" t="s">
        <v>1</v>
      </c>
    </row>
    <row r="123" customFormat="false" ht="12" hidden="false" customHeight="false" outlineLevel="0" collapsed="false">
      <c r="A123" s="589" t="s">
        <v>1</v>
      </c>
    </row>
    <row r="124" customFormat="false" ht="12" hidden="false" customHeight="false" outlineLevel="0" collapsed="false">
      <c r="A124" s="589" t="s">
        <v>1</v>
      </c>
    </row>
    <row r="125" customFormat="false" ht="12" hidden="false" customHeight="false" outlineLevel="0" collapsed="false">
      <c r="A125" s="589" t="s">
        <v>1</v>
      </c>
    </row>
    <row r="126" customFormat="false" ht="12" hidden="false" customHeight="false" outlineLevel="0" collapsed="false">
      <c r="A126" s="589" t="s">
        <v>1125</v>
      </c>
    </row>
    <row r="127" customFormat="false" ht="12" hidden="false" customHeight="false" outlineLevel="0" collapsed="false">
      <c r="A127" s="589" t="s">
        <v>1</v>
      </c>
    </row>
    <row r="128" customFormat="false" ht="12" hidden="false" customHeight="false" outlineLevel="0" collapsed="false">
      <c r="A128" s="589" t="s">
        <v>1</v>
      </c>
    </row>
    <row r="129" customFormat="false" ht="12" hidden="false" customHeight="false" outlineLevel="0" collapsed="false">
      <c r="A129" s="589" t="s">
        <v>1</v>
      </c>
    </row>
    <row r="130" customFormat="false" ht="12" hidden="false" customHeight="false" outlineLevel="0" collapsed="false">
      <c r="A130" s="589" t="s">
        <v>1</v>
      </c>
    </row>
    <row r="131" customFormat="false" ht="12" hidden="false" customHeight="false" outlineLevel="0" collapsed="false">
      <c r="A131" s="589" t="s">
        <v>1</v>
      </c>
    </row>
    <row r="132" customFormat="false" ht="12" hidden="false" customHeight="false" outlineLevel="0" collapsed="false">
      <c r="A132" s="589" t="s">
        <v>1</v>
      </c>
    </row>
    <row r="133" customFormat="false" ht="12" hidden="false" customHeight="false" outlineLevel="0" collapsed="false">
      <c r="A133" s="589" t="s">
        <v>1</v>
      </c>
    </row>
    <row r="134" customFormat="false" ht="12" hidden="false" customHeight="false" outlineLevel="0" collapsed="false">
      <c r="A134" s="589" t="s">
        <v>1</v>
      </c>
    </row>
    <row r="135" customFormat="false" ht="12" hidden="false" customHeight="false" outlineLevel="0" collapsed="false">
      <c r="A135" s="589" t="s">
        <v>1</v>
      </c>
    </row>
    <row r="136" customFormat="false" ht="12" hidden="false" customHeight="false" outlineLevel="0" collapsed="false">
      <c r="A136" s="589" t="s">
        <v>1</v>
      </c>
    </row>
    <row r="137" customFormat="false" ht="12" hidden="false" customHeight="false" outlineLevel="0" collapsed="false">
      <c r="A137" s="589" t="s">
        <v>1</v>
      </c>
    </row>
    <row r="138" customFormat="false" ht="12" hidden="false" customHeight="false" outlineLevel="0" collapsed="false">
      <c r="A138" s="589" t="s">
        <v>1</v>
      </c>
    </row>
    <row r="139" customFormat="false" ht="12" hidden="false" customHeight="false" outlineLevel="0" collapsed="false">
      <c r="A139" s="589" t="s">
        <v>1</v>
      </c>
    </row>
    <row r="140" customFormat="false" ht="12" hidden="false" customHeight="false" outlineLevel="0" collapsed="false">
      <c r="A140" s="589" t="s">
        <v>1</v>
      </c>
    </row>
    <row r="141" customFormat="false" ht="12" hidden="false" customHeight="false" outlineLevel="0" collapsed="false">
      <c r="A141" s="589" t="s">
        <v>1</v>
      </c>
    </row>
    <row r="142" customFormat="false" ht="12" hidden="false" customHeight="false" outlineLevel="0" collapsed="false">
      <c r="A142" s="589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tru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30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false" hidden="false" outlineLevel="0" max="20" min="19" style="27" width="9.14"/>
    <col collapsed="false" customWidth="true" hidden="false" outlineLevel="0" max="21" min="21" style="30" width="13.56"/>
    <col collapsed="false" customWidth="true" hidden="false" outlineLevel="0" max="22" min="22" style="27" width="42.28"/>
    <col collapsed="false" customWidth="false" hidden="false" outlineLevel="0" max="24" min="23" style="30" width="9.14"/>
    <col collapsed="false" customWidth="true" hidden="false" outlineLevel="0" max="25" min="25" style="27" width="12.42"/>
    <col collapsed="false" customWidth="false" hidden="false" outlineLevel="0" max="257" min="26" style="27" width="9.14"/>
  </cols>
  <sheetData>
    <row r="1" customFormat="false" ht="12.75" hidden="false" customHeight="false" outlineLevel="0" collapsed="false">
      <c r="A1" s="31" t="s">
        <v>97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4"/>
      <c r="Q1" s="34"/>
      <c r="R1" s="35"/>
      <c r="S1" s="35"/>
      <c r="T1" s="35"/>
      <c r="U1" s="36"/>
      <c r="V1" s="35"/>
      <c r="W1" s="37"/>
      <c r="X1" s="37"/>
    </row>
    <row r="2" customFormat="false" ht="12.75" hidden="false" customHeight="false" outlineLevel="0" collapsed="false">
      <c r="A2" s="38" t="s">
        <v>100</v>
      </c>
      <c r="B2" s="38"/>
      <c r="C2" s="38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4"/>
      <c r="Q2" s="34"/>
      <c r="R2" s="35"/>
      <c r="S2" s="35"/>
      <c r="T2" s="35"/>
      <c r="U2" s="36"/>
      <c r="V2" s="35"/>
      <c r="W2" s="37"/>
      <c r="X2" s="37"/>
    </row>
    <row r="3" customFormat="false" ht="12.75" hidden="false" customHeight="false" outlineLevel="0" collapsed="false">
      <c r="A3" s="39" t="s">
        <v>102</v>
      </c>
      <c r="B3" s="39"/>
      <c r="C3" s="39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4"/>
      <c r="Q3" s="34"/>
      <c r="R3" s="35"/>
      <c r="S3" s="35"/>
      <c r="T3" s="35"/>
      <c r="U3" s="36"/>
      <c r="V3" s="35"/>
      <c r="W3" s="37"/>
      <c r="X3" s="37"/>
    </row>
    <row r="4" customFormat="false" ht="12.75" hidden="false" customHeight="false" outlineLevel="0" collapsed="false">
      <c r="A4" s="42" t="s">
        <v>103</v>
      </c>
      <c r="B4" s="43"/>
      <c r="C4" s="43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4"/>
      <c r="Q4" s="34"/>
      <c r="R4" s="35"/>
      <c r="S4" s="45"/>
      <c r="T4" s="45"/>
      <c r="U4" s="46"/>
      <c r="V4" s="35"/>
      <c r="W4" s="37"/>
      <c r="X4" s="37"/>
    </row>
    <row r="5" customFormat="false" ht="12.75" hidden="false" customHeight="false" outlineLevel="0" collapsed="false">
      <c r="A5" s="15" t="s">
        <v>104</v>
      </c>
      <c r="B5" s="16"/>
      <c r="C5" s="47" t="s">
        <v>105</v>
      </c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4"/>
      <c r="Q5" s="34"/>
      <c r="R5" s="35"/>
      <c r="S5" s="45"/>
      <c r="T5" s="45"/>
      <c r="U5" s="46"/>
      <c r="V5" s="35"/>
      <c r="W5" s="37"/>
      <c r="X5" s="37"/>
    </row>
    <row r="6" customFormat="false" ht="12.75" hidden="false" customHeight="false" outlineLevel="0" collapsed="false">
      <c r="A6" s="15"/>
      <c r="B6" s="16"/>
      <c r="C6" s="47" t="s">
        <v>106</v>
      </c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4"/>
      <c r="Q6" s="34"/>
      <c r="R6" s="35"/>
      <c r="S6" s="45"/>
      <c r="T6" s="45"/>
      <c r="U6" s="46"/>
      <c r="V6" s="35"/>
      <c r="W6" s="37"/>
      <c r="X6" s="37"/>
    </row>
    <row r="7" customFormat="false" ht="12.75" hidden="false" customHeight="false" outlineLevel="0" collapsed="false">
      <c r="A7" s="15"/>
      <c r="B7" s="16"/>
      <c r="C7" s="47" t="s">
        <v>107</v>
      </c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4"/>
      <c r="Q7" s="34"/>
      <c r="R7" s="35"/>
      <c r="S7" s="45"/>
      <c r="T7" s="45"/>
      <c r="U7" s="46"/>
      <c r="V7" s="35"/>
      <c r="W7" s="37"/>
      <c r="X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4"/>
      <c r="Q8" s="34"/>
      <c r="R8" s="35"/>
      <c r="S8" s="45"/>
      <c r="T8" s="45"/>
      <c r="U8" s="46"/>
      <c r="V8" s="35"/>
      <c r="W8" s="37"/>
      <c r="X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4"/>
      <c r="Q9" s="34"/>
      <c r="R9" s="35"/>
      <c r="S9" s="45"/>
      <c r="T9" s="45"/>
      <c r="U9" s="46"/>
      <c r="V9" s="35"/>
      <c r="W9" s="37"/>
      <c r="X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4"/>
      <c r="Q10" s="34"/>
      <c r="R10" s="35"/>
      <c r="S10" s="45"/>
      <c r="T10" s="45"/>
      <c r="U10" s="46"/>
      <c r="V10" s="35"/>
      <c r="W10" s="37"/>
      <c r="X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53" t="s">
        <v>122</v>
      </c>
      <c r="Q11" s="49" t="s">
        <v>123</v>
      </c>
      <c r="R11" s="48" t="s">
        <v>124</v>
      </c>
      <c r="S11" s="54" t="s">
        <v>125</v>
      </c>
      <c r="T11" s="54" t="s">
        <v>126</v>
      </c>
      <c r="U11" s="55" t="s">
        <v>4</v>
      </c>
      <c r="V11" s="54" t="s">
        <v>127</v>
      </c>
      <c r="W11" s="24"/>
      <c r="X11" s="24"/>
    </row>
    <row r="12" customFormat="false" ht="12.75" hidden="false" customHeight="false" outlineLevel="0" collapsed="false">
      <c r="A12" s="15" t="s">
        <v>92</v>
      </c>
      <c r="B12" s="16" t="s">
        <v>128</v>
      </c>
      <c r="C12" s="16" t="s">
        <v>129</v>
      </c>
      <c r="D12" s="17" t="n">
        <v>36526</v>
      </c>
      <c r="E12" s="17" t="n">
        <v>36830</v>
      </c>
      <c r="F12" s="15" t="s">
        <v>130</v>
      </c>
      <c r="G12" s="15" t="s">
        <v>131</v>
      </c>
      <c r="H12" s="16"/>
      <c r="I12" s="19" t="n">
        <f aca="false">1.0603/I$1</f>
        <v>0.0342032258064516</v>
      </c>
      <c r="J12" s="20" t="n">
        <v>0.0017</v>
      </c>
      <c r="K12" s="20" t="n">
        <v>0.0022</v>
      </c>
      <c r="L12" s="20" t="n">
        <v>0</v>
      </c>
      <c r="M12" s="20" t="n">
        <v>0</v>
      </c>
      <c r="N12" s="25" t="n">
        <v>0.00593</v>
      </c>
      <c r="O12" s="20" t="n">
        <f aca="false">SUM(I12:M12)</f>
        <v>0.0381032258064516</v>
      </c>
      <c r="P12" s="24" t="n">
        <v>42789</v>
      </c>
      <c r="Q12" s="16" t="n">
        <v>30000</v>
      </c>
      <c r="R12" s="15" t="s">
        <v>132</v>
      </c>
      <c r="S12" s="23" t="n">
        <f aca="false">I12*I$1*Q12</f>
        <v>31809</v>
      </c>
      <c r="T12" s="23"/>
      <c r="U12" s="26" t="n">
        <v>140447</v>
      </c>
      <c r="V12" s="15"/>
      <c r="W12" s="24"/>
      <c r="X12" s="2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56" t="s">
        <v>1</v>
      </c>
      <c r="B13" s="57" t="s">
        <v>1</v>
      </c>
      <c r="C13" s="58" t="s">
        <v>1</v>
      </c>
      <c r="D13" s="59" t="s">
        <v>1</v>
      </c>
      <c r="E13" s="59"/>
      <c r="F13" s="56" t="s">
        <v>1</v>
      </c>
      <c r="G13" s="60" t="s">
        <v>1</v>
      </c>
      <c r="H13" s="57" t="s">
        <v>1</v>
      </c>
      <c r="I13" s="61"/>
      <c r="J13" s="62"/>
      <c r="K13" s="62"/>
      <c r="L13" s="62"/>
      <c r="M13" s="62"/>
      <c r="N13" s="63"/>
      <c r="O13" s="62"/>
      <c r="P13" s="64" t="s">
        <v>1</v>
      </c>
      <c r="Q13" s="57" t="n">
        <f aca="false">SUM(Q12)</f>
        <v>30000</v>
      </c>
      <c r="R13" s="56" t="s">
        <v>1</v>
      </c>
      <c r="S13" s="65" t="n">
        <f aca="false">SUM(S12)</f>
        <v>31809</v>
      </c>
      <c r="T13" s="65" t="n">
        <f aca="false">SUM(T12)</f>
        <v>0</v>
      </c>
      <c r="U13" s="66"/>
      <c r="V13" s="67"/>
      <c r="W13" s="24"/>
      <c r="X13" s="24"/>
    </row>
    <row r="14" customFormat="false" ht="12.75" hidden="false" customHeight="false" outlineLevel="0" collapsed="false">
      <c r="A14" s="48" t="s">
        <v>108</v>
      </c>
      <c r="B14" s="49" t="s">
        <v>109</v>
      </c>
      <c r="C14" s="49" t="s">
        <v>110</v>
      </c>
      <c r="D14" s="50" t="s">
        <v>111</v>
      </c>
      <c r="E14" s="50"/>
      <c r="F14" s="48" t="s">
        <v>112</v>
      </c>
      <c r="G14" s="48" t="s">
        <v>113</v>
      </c>
      <c r="H14" s="49" t="s">
        <v>114</v>
      </c>
      <c r="I14" s="51" t="s">
        <v>115</v>
      </c>
      <c r="J14" s="49" t="s">
        <v>116</v>
      </c>
      <c r="K14" s="49" t="s">
        <v>117</v>
      </c>
      <c r="L14" s="49" t="s">
        <v>118</v>
      </c>
      <c r="M14" s="49" t="s">
        <v>119</v>
      </c>
      <c r="N14" s="52" t="s">
        <v>120</v>
      </c>
      <c r="O14" s="49" t="s">
        <v>121</v>
      </c>
      <c r="P14" s="53" t="s">
        <v>122</v>
      </c>
      <c r="Q14" s="49" t="s">
        <v>123</v>
      </c>
      <c r="R14" s="48" t="s">
        <v>124</v>
      </c>
      <c r="S14" s="54" t="s">
        <v>133</v>
      </c>
      <c r="T14" s="54" t="s">
        <v>133</v>
      </c>
      <c r="U14" s="55"/>
      <c r="V14" s="54" t="str">
        <f aca="false">+V11</f>
        <v>Questions</v>
      </c>
      <c r="W14" s="24"/>
      <c r="X14" s="24"/>
    </row>
    <row r="15" customFormat="false" ht="12.75" hidden="false" customHeight="false" outlineLevel="0" collapsed="false">
      <c r="A15" s="15" t="s">
        <v>92</v>
      </c>
      <c r="B15" s="16" t="s">
        <v>134</v>
      </c>
      <c r="C15" s="16" t="s">
        <v>129</v>
      </c>
      <c r="D15" s="17" t="n">
        <v>36526</v>
      </c>
      <c r="E15" s="17" t="s">
        <v>90</v>
      </c>
      <c r="F15" s="15" t="s">
        <v>135</v>
      </c>
      <c r="G15" s="15" t="s">
        <v>135</v>
      </c>
      <c r="H15" s="16"/>
      <c r="I15" s="19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5" t="n">
        <v>0</v>
      </c>
      <c r="O15" s="20" t="n">
        <f aca="false">SUM(I15:M15)</f>
        <v>0</v>
      </c>
      <c r="P15" s="24" t="n">
        <v>36907</v>
      </c>
      <c r="Q15" s="16" t="n">
        <v>0</v>
      </c>
      <c r="R15" s="15" t="s">
        <v>136</v>
      </c>
      <c r="S15" s="23" t="n">
        <f aca="false">I15*I$1*Q15</f>
        <v>0</v>
      </c>
      <c r="T15" s="23"/>
      <c r="U15" s="26" t="n">
        <v>148659</v>
      </c>
      <c r="V15" s="23"/>
      <c r="W15" s="24"/>
      <c r="X15" s="2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137</v>
      </c>
      <c r="B16" s="16" t="s">
        <v>134</v>
      </c>
      <c r="C16" s="16" t="s">
        <v>138</v>
      </c>
      <c r="D16" s="17" t="n">
        <v>36526</v>
      </c>
      <c r="E16" s="17" t="s">
        <v>90</v>
      </c>
      <c r="F16" s="15" t="s">
        <v>135</v>
      </c>
      <c r="G16" s="15" t="s">
        <v>135</v>
      </c>
      <c r="H16" s="16"/>
      <c r="I16" s="19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5" t="n">
        <v>0</v>
      </c>
      <c r="O16" s="20" t="n">
        <f aca="false">SUM(I16:M16)</f>
        <v>0</v>
      </c>
      <c r="P16" s="24" t="n">
        <v>48049</v>
      </c>
      <c r="Q16" s="16" t="n">
        <v>0</v>
      </c>
      <c r="R16" s="15" t="s">
        <v>136</v>
      </c>
      <c r="S16" s="23" t="n">
        <f aca="false">I16*I$1*Q16</f>
        <v>0</v>
      </c>
      <c r="T16" s="23"/>
      <c r="U16" s="26" t="n">
        <v>149173</v>
      </c>
      <c r="V16" s="23"/>
      <c r="W16" s="24"/>
      <c r="X16" s="2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92</v>
      </c>
      <c r="B17" s="16" t="s">
        <v>134</v>
      </c>
      <c r="C17" s="16" t="s">
        <v>129</v>
      </c>
      <c r="D17" s="17" t="n">
        <v>36526</v>
      </c>
      <c r="E17" s="17" t="s">
        <v>90</v>
      </c>
      <c r="F17" s="15" t="s">
        <v>135</v>
      </c>
      <c r="G17" s="15" t="s">
        <v>135</v>
      </c>
      <c r="H17" s="16"/>
      <c r="I17" s="19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5" t="n">
        <v>0</v>
      </c>
      <c r="O17" s="20" t="n">
        <f aca="false">SUM(I17:M17)</f>
        <v>0</v>
      </c>
      <c r="P17" s="24" t="n">
        <v>39999</v>
      </c>
      <c r="Q17" s="16" t="n">
        <v>0</v>
      </c>
      <c r="R17" s="15" t="s">
        <v>139</v>
      </c>
      <c r="S17" s="23" t="n">
        <f aca="false">I17*I$1*Q17</f>
        <v>0</v>
      </c>
      <c r="T17" s="23"/>
      <c r="U17" s="26" t="n">
        <v>149337</v>
      </c>
      <c r="V17" s="23"/>
      <c r="W17" s="24"/>
      <c r="X17" s="2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137</v>
      </c>
      <c r="B18" s="16" t="s">
        <v>134</v>
      </c>
      <c r="C18" s="16" t="s">
        <v>138</v>
      </c>
      <c r="D18" s="17" t="n">
        <v>36526</v>
      </c>
      <c r="E18" s="17" t="s">
        <v>90</v>
      </c>
      <c r="F18" s="15" t="s">
        <v>135</v>
      </c>
      <c r="G18" s="15" t="s">
        <v>135</v>
      </c>
      <c r="H18" s="16"/>
      <c r="I18" s="19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5" t="n">
        <v>0</v>
      </c>
      <c r="O18" s="20" t="n">
        <f aca="false">SUM(I18:M18)</f>
        <v>0</v>
      </c>
      <c r="P18" s="24" t="n">
        <v>48050</v>
      </c>
      <c r="Q18" s="16" t="n">
        <v>0</v>
      </c>
      <c r="R18" s="15" t="s">
        <v>139</v>
      </c>
      <c r="S18" s="23" t="n">
        <f aca="false">I18*I$1*Q18</f>
        <v>0</v>
      </c>
      <c r="T18" s="23"/>
      <c r="U18" s="26" t="n">
        <v>149338</v>
      </c>
      <c r="V18" s="23"/>
      <c r="W18" s="24"/>
      <c r="X18" s="2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/>
      <c r="B19" s="16"/>
      <c r="C19" s="16"/>
      <c r="D19" s="17" t="s">
        <v>1</v>
      </c>
      <c r="E19" s="17"/>
      <c r="F19" s="15"/>
      <c r="G19" s="15"/>
      <c r="H19" s="16"/>
      <c r="I19" s="19"/>
      <c r="J19" s="20"/>
      <c r="K19" s="68"/>
      <c r="L19" s="20"/>
      <c r="M19" s="20"/>
      <c r="N19" s="25"/>
      <c r="O19" s="20"/>
      <c r="P19" s="37"/>
      <c r="Q19" s="45"/>
      <c r="R19" s="69"/>
      <c r="S19" s="70"/>
      <c r="T19" s="35"/>
      <c r="U19" s="36"/>
      <c r="V19" s="35"/>
      <c r="W19" s="37"/>
      <c r="X19" s="37"/>
    </row>
    <row r="20" customFormat="false" ht="12.75" hidden="false" customHeight="false" outlineLevel="0" collapsed="false">
      <c r="A20" s="48" t="s">
        <v>108</v>
      </c>
      <c r="B20" s="49" t="s">
        <v>109</v>
      </c>
      <c r="C20" s="49" t="s">
        <v>110</v>
      </c>
      <c r="D20" s="50" t="s">
        <v>111</v>
      </c>
      <c r="E20" s="50"/>
      <c r="F20" s="48" t="s">
        <v>112</v>
      </c>
      <c r="G20" s="48" t="s">
        <v>113</v>
      </c>
      <c r="H20" s="49" t="s">
        <v>114</v>
      </c>
      <c r="I20" s="51" t="s">
        <v>115</v>
      </c>
      <c r="J20" s="49" t="s">
        <v>116</v>
      </c>
      <c r="K20" s="49" t="s">
        <v>117</v>
      </c>
      <c r="L20" s="49" t="s">
        <v>118</v>
      </c>
      <c r="M20" s="49" t="s">
        <v>119</v>
      </c>
      <c r="N20" s="52" t="s">
        <v>120</v>
      </c>
      <c r="O20" s="49" t="s">
        <v>121</v>
      </c>
      <c r="P20" s="53" t="s">
        <v>122</v>
      </c>
      <c r="Q20" s="49" t="s">
        <v>123</v>
      </c>
      <c r="R20" s="48" t="s">
        <v>124</v>
      </c>
      <c r="S20" s="54" t="s">
        <v>125</v>
      </c>
      <c r="T20" s="54" t="s">
        <v>126</v>
      </c>
      <c r="U20" s="55" t="s">
        <v>4</v>
      </c>
      <c r="V20" s="54" t="s">
        <v>127</v>
      </c>
      <c r="W20" s="24"/>
      <c r="X20" s="24"/>
    </row>
    <row r="21" customFormat="false" ht="12.75" hidden="false" customHeight="false" outlineLevel="0" collapsed="false">
      <c r="A21" s="15" t="s">
        <v>92</v>
      </c>
      <c r="B21" s="16" t="s">
        <v>140</v>
      </c>
      <c r="C21" s="16" t="s">
        <v>129</v>
      </c>
      <c r="D21" s="17" t="n">
        <v>36526</v>
      </c>
      <c r="E21" s="17" t="s">
        <v>90</v>
      </c>
      <c r="F21" s="15" t="s">
        <v>94</v>
      </c>
      <c r="G21" s="15" t="s">
        <v>94</v>
      </c>
      <c r="H21" s="16" t="s">
        <v>11</v>
      </c>
      <c r="I21" s="19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5" t="n">
        <v>0</v>
      </c>
      <c r="O21" s="20" t="n">
        <f aca="false">SUM(I21:M21)</f>
        <v>0</v>
      </c>
      <c r="P21" s="24" t="n">
        <v>238</v>
      </c>
      <c r="Q21" s="16" t="n">
        <v>0</v>
      </c>
      <c r="R21" s="15" t="s">
        <v>141</v>
      </c>
      <c r="S21" s="23" t="n">
        <f aca="false">I21*I$1*Q21</f>
        <v>0</v>
      </c>
      <c r="T21" s="23"/>
      <c r="U21" s="26" t="n">
        <v>149902</v>
      </c>
      <c r="V21" s="15"/>
      <c r="W21" s="24"/>
      <c r="X21" s="2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56" t="s">
        <v>1</v>
      </c>
      <c r="B22" s="57" t="s">
        <v>1</v>
      </c>
      <c r="C22" s="58" t="s">
        <v>1</v>
      </c>
      <c r="D22" s="59" t="s">
        <v>1</v>
      </c>
      <c r="E22" s="59"/>
      <c r="F22" s="56" t="s">
        <v>1</v>
      </c>
      <c r="G22" s="60" t="s">
        <v>1</v>
      </c>
      <c r="H22" s="57" t="s">
        <v>1</v>
      </c>
      <c r="I22" s="61"/>
      <c r="J22" s="62"/>
      <c r="K22" s="62"/>
      <c r="L22" s="62"/>
      <c r="M22" s="62"/>
      <c r="N22" s="63"/>
      <c r="O22" s="62"/>
      <c r="P22" s="64" t="s">
        <v>1</v>
      </c>
      <c r="Q22" s="57" t="n">
        <f aca="false">SUM(Q21)</f>
        <v>0</v>
      </c>
      <c r="R22" s="56" t="s">
        <v>1</v>
      </c>
      <c r="S22" s="65" t="n">
        <f aca="false">SUM(S21)</f>
        <v>0</v>
      </c>
      <c r="T22" s="65" t="n">
        <f aca="false">SUM(T21)</f>
        <v>0</v>
      </c>
      <c r="U22" s="66"/>
      <c r="V22" s="67"/>
      <c r="W22" s="24"/>
      <c r="X22" s="24"/>
    </row>
    <row r="23" customFormat="false" ht="12.75" hidden="false" customHeight="false" outlineLevel="0" collapsed="false">
      <c r="A23" s="48" t="s">
        <v>108</v>
      </c>
      <c r="B23" s="49" t="s">
        <v>109</v>
      </c>
      <c r="C23" s="49" t="s">
        <v>110</v>
      </c>
      <c r="D23" s="50" t="s">
        <v>111</v>
      </c>
      <c r="E23" s="50"/>
      <c r="F23" s="48" t="s">
        <v>112</v>
      </c>
      <c r="G23" s="48" t="s">
        <v>113</v>
      </c>
      <c r="H23" s="49" t="s">
        <v>114</v>
      </c>
      <c r="I23" s="51" t="s">
        <v>115</v>
      </c>
      <c r="J23" s="49" t="s">
        <v>116</v>
      </c>
      <c r="K23" s="49" t="s">
        <v>117</v>
      </c>
      <c r="L23" s="49" t="s">
        <v>118</v>
      </c>
      <c r="M23" s="49" t="s">
        <v>119</v>
      </c>
      <c r="N23" s="52" t="s">
        <v>120</v>
      </c>
      <c r="O23" s="49" t="s">
        <v>121</v>
      </c>
      <c r="P23" s="53" t="s">
        <v>122</v>
      </c>
      <c r="Q23" s="49" t="s">
        <v>123</v>
      </c>
      <c r="R23" s="48" t="s">
        <v>124</v>
      </c>
      <c r="S23" s="54" t="s">
        <v>125</v>
      </c>
      <c r="T23" s="54" t="s">
        <v>126</v>
      </c>
      <c r="U23" s="55" t="s">
        <v>4</v>
      </c>
      <c r="V23" s="54" t="s">
        <v>127</v>
      </c>
      <c r="W23" s="24"/>
      <c r="X23" s="24"/>
    </row>
    <row r="24" customFormat="false" ht="12.75" hidden="false" customHeight="false" outlineLevel="0" collapsed="false">
      <c r="A24" s="15" t="s">
        <v>92</v>
      </c>
      <c r="B24" s="16" t="s">
        <v>93</v>
      </c>
      <c r="C24" s="16" t="s">
        <v>129</v>
      </c>
      <c r="D24" s="17" t="n">
        <v>36526</v>
      </c>
      <c r="E24" s="17" t="s">
        <v>90</v>
      </c>
      <c r="F24" s="15" t="s">
        <v>94</v>
      </c>
      <c r="G24" s="15" t="s">
        <v>94</v>
      </c>
      <c r="H24" s="16" t="s">
        <v>11</v>
      </c>
      <c r="I24" s="19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5" t="n">
        <v>0</v>
      </c>
      <c r="O24" s="20" t="n">
        <f aca="false">SUM(I24:M24)</f>
        <v>0</v>
      </c>
      <c r="P24" s="24" t="n">
        <v>3.2846</v>
      </c>
      <c r="Q24" s="16" t="n">
        <v>0</v>
      </c>
      <c r="R24" s="15" t="s">
        <v>141</v>
      </c>
      <c r="S24" s="23" t="n">
        <f aca="false">I24*I$1*Q24</f>
        <v>0</v>
      </c>
      <c r="T24" s="23"/>
      <c r="U24" s="26" t="n">
        <v>149876</v>
      </c>
      <c r="V24" s="15"/>
      <c r="W24" s="24"/>
      <c r="X24" s="2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56" t="s">
        <v>1</v>
      </c>
      <c r="B25" s="57" t="s">
        <v>1</v>
      </c>
      <c r="C25" s="58" t="s">
        <v>1</v>
      </c>
      <c r="D25" s="59" t="s">
        <v>1</v>
      </c>
      <c r="E25" s="59"/>
      <c r="F25" s="56" t="s">
        <v>1</v>
      </c>
      <c r="G25" s="60" t="s">
        <v>1</v>
      </c>
      <c r="H25" s="57" t="s">
        <v>1</v>
      </c>
      <c r="I25" s="61"/>
      <c r="J25" s="62"/>
      <c r="K25" s="62"/>
      <c r="L25" s="62"/>
      <c r="M25" s="62"/>
      <c r="N25" s="63"/>
      <c r="O25" s="62"/>
      <c r="P25" s="64" t="s">
        <v>1</v>
      </c>
      <c r="Q25" s="57" t="n">
        <f aca="false">SUM(Q24)</f>
        <v>0</v>
      </c>
      <c r="R25" s="56" t="s">
        <v>1</v>
      </c>
      <c r="S25" s="65" t="n">
        <f aca="false">SUM(S24)</f>
        <v>0</v>
      </c>
      <c r="T25" s="65" t="n">
        <f aca="false">SUM(T24)</f>
        <v>0</v>
      </c>
      <c r="U25" s="66"/>
      <c r="V25" s="67"/>
      <c r="W25" s="24"/>
      <c r="X25" s="24"/>
    </row>
    <row r="26" customFormat="false" ht="12.75" hidden="false" customHeight="false" outlineLevel="0" collapsed="false">
      <c r="A26" s="28"/>
      <c r="B26" s="16"/>
      <c r="C26" s="16"/>
      <c r="D26" s="17"/>
      <c r="E26" s="17"/>
      <c r="F26" s="15"/>
      <c r="G26" s="15"/>
      <c r="H26" s="16"/>
      <c r="I26" s="19"/>
      <c r="J26" s="20"/>
      <c r="K26" s="20"/>
      <c r="L26" s="20"/>
      <c r="M26" s="20"/>
      <c r="N26" s="25"/>
      <c r="O26" s="20"/>
      <c r="P26" s="37"/>
      <c r="Q26" s="71"/>
      <c r="R26" s="69"/>
      <c r="S26" s="35"/>
      <c r="T26" s="35"/>
      <c r="U26" s="36"/>
      <c r="V26" s="35"/>
      <c r="W26" s="37"/>
      <c r="X26" s="37"/>
    </row>
    <row r="27" customFormat="false" ht="12.75" hidden="false" customHeight="false" outlineLevel="0" collapsed="false">
      <c r="A27" s="28"/>
      <c r="B27" s="16"/>
      <c r="C27" s="16"/>
      <c r="D27" s="17"/>
      <c r="E27" s="17"/>
      <c r="F27" s="15"/>
      <c r="G27" s="15"/>
      <c r="H27" s="16"/>
      <c r="I27" s="20"/>
      <c r="J27" s="20"/>
      <c r="K27" s="20"/>
      <c r="L27" s="20"/>
      <c r="M27" s="20"/>
      <c r="N27" s="25"/>
      <c r="O27" s="20"/>
      <c r="P27" s="37"/>
      <c r="Q27" s="71"/>
      <c r="R27" s="35"/>
      <c r="S27" s="35"/>
      <c r="T27" s="35"/>
      <c r="U27" s="36"/>
      <c r="V27" s="35"/>
      <c r="W27" s="37"/>
      <c r="X27" s="37"/>
    </row>
    <row r="28" customFormat="false" ht="12.75" hidden="false" customHeight="false" outlineLevel="0" collapsed="false">
      <c r="A28" s="28"/>
      <c r="B28" s="16"/>
      <c r="C28" s="16"/>
      <c r="D28" s="17"/>
      <c r="E28" s="17"/>
      <c r="F28" s="15"/>
      <c r="G28" s="15"/>
      <c r="H28" s="16"/>
      <c r="I28" s="19"/>
      <c r="J28" s="20"/>
      <c r="K28" s="20"/>
      <c r="L28" s="20"/>
      <c r="M28" s="20"/>
      <c r="N28" s="25"/>
      <c r="O28" s="20"/>
      <c r="P28" s="37"/>
      <c r="Q28" s="71"/>
      <c r="R28" s="35"/>
      <c r="S28" s="35"/>
      <c r="T28" s="35"/>
      <c r="U28" s="36"/>
      <c r="V28" s="35"/>
      <c r="W28" s="37"/>
      <c r="X28" s="37"/>
    </row>
    <row r="29" customFormat="false" ht="12.75" hidden="false" customHeight="false" outlineLevel="0" collapsed="false">
      <c r="A29" s="28" t="s">
        <v>142</v>
      </c>
      <c r="B29" s="16"/>
      <c r="C29" s="16"/>
      <c r="D29" s="17"/>
      <c r="E29" s="17"/>
      <c r="F29" s="15"/>
      <c r="G29" s="15"/>
      <c r="H29" s="16"/>
      <c r="I29" s="20"/>
      <c r="J29" s="20"/>
      <c r="K29" s="20"/>
      <c r="L29" s="20"/>
      <c r="M29" s="20"/>
      <c r="N29" s="25"/>
      <c r="O29" s="20"/>
      <c r="P29" s="37"/>
      <c r="Q29" s="71"/>
      <c r="R29" s="35"/>
      <c r="S29" s="35"/>
      <c r="T29" s="35"/>
      <c r="U29" s="36"/>
      <c r="V29" s="35"/>
      <c r="W29" s="37"/>
      <c r="X29" s="37"/>
    </row>
    <row r="30" customFormat="false" ht="12.75" hidden="false" customHeight="false" outlineLevel="0" collapsed="false">
      <c r="A30" s="28"/>
      <c r="B30" s="15" t="s">
        <v>143</v>
      </c>
      <c r="C30" s="16"/>
      <c r="D30" s="17"/>
      <c r="E30" s="17"/>
      <c r="F30" s="15"/>
      <c r="G30" s="15"/>
      <c r="H30" s="16"/>
      <c r="I30" s="19"/>
      <c r="J30" s="20"/>
      <c r="K30" s="20"/>
      <c r="L30" s="20"/>
      <c r="M30" s="20"/>
      <c r="N30" s="25"/>
      <c r="O30" s="20"/>
      <c r="P30" s="37"/>
      <c r="Q30" s="71"/>
      <c r="R30" s="35"/>
      <c r="S30" s="35"/>
      <c r="T30" s="35"/>
      <c r="U30" s="36"/>
      <c r="V30" s="35"/>
      <c r="W30" s="37"/>
      <c r="X30" s="37"/>
    </row>
    <row r="31" customFormat="false" ht="12.75" hidden="false" customHeight="false" outlineLevel="0" collapsed="false">
      <c r="A31" s="28"/>
      <c r="B31" s="16" t="s">
        <v>144</v>
      </c>
      <c r="C31" s="24" t="n">
        <v>149776</v>
      </c>
      <c r="D31" s="17"/>
      <c r="E31" s="17"/>
      <c r="F31" s="15"/>
      <c r="G31" s="15"/>
      <c r="H31" s="16"/>
      <c r="I31" s="20"/>
      <c r="J31" s="20"/>
      <c r="K31" s="20"/>
      <c r="L31" s="20"/>
      <c r="M31" s="20"/>
      <c r="N31" s="25"/>
      <c r="O31" s="20"/>
      <c r="P31" s="37"/>
      <c r="Q31" s="71"/>
      <c r="R31" s="35"/>
      <c r="S31" s="35"/>
      <c r="T31" s="35"/>
      <c r="U31" s="36"/>
      <c r="V31" s="35"/>
      <c r="W31" s="37"/>
      <c r="X31" s="37"/>
    </row>
    <row r="32" customFormat="false" ht="12.75" hidden="false" customHeight="false" outlineLevel="0" collapsed="false">
      <c r="A32" s="28"/>
      <c r="B32" s="16" t="s">
        <v>145</v>
      </c>
      <c r="C32" s="24" t="n">
        <v>149775</v>
      </c>
      <c r="D32" s="17"/>
      <c r="E32" s="17"/>
      <c r="F32" s="15"/>
      <c r="G32" s="15"/>
      <c r="H32" s="16"/>
      <c r="I32" s="20"/>
      <c r="J32" s="20"/>
      <c r="K32" s="20"/>
      <c r="L32" s="20"/>
      <c r="M32" s="20"/>
      <c r="N32" s="25"/>
      <c r="O32" s="20"/>
      <c r="P32" s="37"/>
      <c r="Q32" s="71"/>
      <c r="R32" s="35"/>
      <c r="S32" s="35"/>
      <c r="T32" s="35"/>
      <c r="U32" s="36"/>
      <c r="V32" s="35"/>
      <c r="W32" s="69"/>
      <c r="X32" s="37"/>
    </row>
    <row r="33" customFormat="false" ht="12.75" hidden="false" customHeight="false" outlineLevel="0" collapsed="false">
      <c r="A33" s="28"/>
      <c r="B33" s="16"/>
      <c r="C33" s="16"/>
      <c r="D33" s="17"/>
      <c r="E33" s="17"/>
      <c r="F33" s="15"/>
      <c r="G33" s="15"/>
      <c r="H33" s="16"/>
      <c r="I33" s="20"/>
      <c r="J33" s="20"/>
      <c r="K33" s="20"/>
      <c r="L33" s="20"/>
      <c r="M33" s="20"/>
      <c r="N33" s="25"/>
      <c r="O33" s="20"/>
      <c r="P33" s="37"/>
      <c r="Q33" s="71"/>
      <c r="R33" s="35"/>
      <c r="S33" s="35"/>
      <c r="T33" s="35"/>
      <c r="U33" s="36"/>
      <c r="V33" s="35"/>
      <c r="W33" s="37"/>
      <c r="X33" s="37"/>
    </row>
    <row r="34" customFormat="false" ht="12.75" hidden="false" customHeight="false" outlineLevel="0" collapsed="false">
      <c r="A34" s="28"/>
      <c r="B34" s="16"/>
      <c r="C34" s="16"/>
      <c r="D34" s="17"/>
      <c r="E34" s="17"/>
      <c r="F34" s="15"/>
      <c r="G34" s="15"/>
      <c r="H34" s="16"/>
      <c r="I34" s="20"/>
      <c r="J34" s="20"/>
      <c r="K34" s="20"/>
      <c r="L34" s="20"/>
      <c r="M34" s="20"/>
      <c r="N34" s="25"/>
      <c r="O34" s="20"/>
      <c r="P34" s="37"/>
      <c r="Q34" s="71"/>
      <c r="R34" s="35"/>
      <c r="S34" s="35"/>
      <c r="T34" s="35"/>
      <c r="U34" s="36"/>
      <c r="V34" s="35"/>
      <c r="W34" s="37"/>
      <c r="X34" s="37"/>
    </row>
    <row r="35" customFormat="false" ht="12.75" hidden="false" customHeight="false" outlineLevel="0" collapsed="false">
      <c r="A35" s="28"/>
      <c r="B35" s="16"/>
      <c r="C35" s="16"/>
      <c r="D35" s="17"/>
      <c r="E35" s="17"/>
      <c r="F35" s="15"/>
      <c r="G35" s="15"/>
      <c r="H35" s="16"/>
      <c r="I35" s="19"/>
      <c r="J35" s="20"/>
      <c r="K35" s="20"/>
      <c r="L35" s="20"/>
      <c r="M35" s="20"/>
      <c r="N35" s="25"/>
      <c r="O35" s="20"/>
      <c r="P35" s="37"/>
      <c r="Q35" s="71"/>
      <c r="R35" s="69"/>
      <c r="S35" s="35"/>
      <c r="T35" s="35"/>
      <c r="U35" s="36"/>
      <c r="V35" s="35"/>
      <c r="W35" s="37"/>
      <c r="X35" s="37"/>
    </row>
    <row r="36" customFormat="false" ht="12.75" hidden="false" customHeight="false" outlineLevel="0" collapsed="false">
      <c r="A36" s="28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25"/>
      <c r="O36" s="20"/>
      <c r="P36" s="37"/>
      <c r="Q36" s="71"/>
      <c r="R36" s="69"/>
      <c r="S36" s="35"/>
      <c r="T36" s="35"/>
      <c r="U36" s="36"/>
      <c r="V36" s="35"/>
      <c r="W36" s="37"/>
      <c r="X36" s="37"/>
    </row>
    <row r="37" customFormat="false" ht="12.75" hidden="false" customHeight="false" outlineLevel="0" collapsed="false">
      <c r="P37" s="72"/>
      <c r="Q37" s="73"/>
      <c r="R37" s="73"/>
      <c r="S37" s="73"/>
      <c r="T37" s="73"/>
      <c r="U37" s="72"/>
      <c r="V37" s="73"/>
      <c r="W37" s="72"/>
    </row>
    <row r="38" customFormat="false" ht="12.75" hidden="false" customHeight="false" outlineLevel="0" collapsed="false">
      <c r="P38" s="72"/>
      <c r="Q38" s="73"/>
      <c r="R38" s="73"/>
      <c r="S38" s="73"/>
      <c r="T38" s="73"/>
      <c r="U38" s="72"/>
      <c r="V38" s="73"/>
      <c r="W3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P40" activeCellId="0" sqref="P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27" width="12.28"/>
    <col collapsed="false" customWidth="false" hidden="false" outlineLevel="0" max="17" min="17" style="27" width="9.14"/>
    <col collapsed="false" customWidth="true" hidden="false" outlineLevel="0" max="18" min="18" style="27" width="19.56"/>
    <col collapsed="false" customWidth="true" hidden="false" outlineLevel="0" max="19" min="19" style="1" width="12.85"/>
    <col collapsed="false" customWidth="false" hidden="false" outlineLevel="0" max="20" min="20" style="27" width="9.14"/>
    <col collapsed="false" customWidth="true" hidden="false" outlineLevel="0" max="21" min="21" style="30" width="13.56"/>
    <col collapsed="false" customWidth="false" hidden="false" outlineLevel="0" max="23" min="22" style="30" width="9.14"/>
    <col collapsed="false" customWidth="true" hidden="false" outlineLevel="0" max="24" min="24" style="27" width="12.42"/>
    <col collapsed="false" customWidth="false" hidden="false" outlineLevel="0" max="257" min="25" style="27" width="9.14"/>
  </cols>
  <sheetData>
    <row r="1" customFormat="false" ht="12.75" hidden="false" customHeight="false" outlineLevel="0" collapsed="false">
      <c r="A1" s="31" t="s">
        <v>146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2"/>
      <c r="Q1" s="34"/>
      <c r="R1" s="35"/>
      <c r="S1" s="35"/>
      <c r="T1" s="35"/>
      <c r="U1" s="36"/>
      <c r="V1" s="37"/>
      <c r="W1" s="37"/>
    </row>
    <row r="2" customFormat="false" ht="12.75" hidden="false" customHeight="false" outlineLevel="0" collapsed="false">
      <c r="A2" s="15" t="s">
        <v>100</v>
      </c>
      <c r="B2" s="15"/>
      <c r="C2" s="15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2"/>
      <c r="Q2" s="34"/>
      <c r="R2" s="35"/>
      <c r="S2" s="35"/>
      <c r="T2" s="35"/>
      <c r="U2" s="36"/>
      <c r="V2" s="37"/>
      <c r="W2" s="37"/>
    </row>
    <row r="3" customFormat="false" ht="12.75" hidden="false" customHeight="false" outlineLevel="0" collapsed="false">
      <c r="A3" s="15"/>
      <c r="B3" s="15"/>
      <c r="C3" s="15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2"/>
      <c r="Q3" s="34"/>
      <c r="R3" s="35"/>
      <c r="S3" s="35"/>
      <c r="T3" s="35"/>
      <c r="U3" s="36"/>
      <c r="V3" s="37"/>
      <c r="W3" s="37"/>
    </row>
    <row r="4" customFormat="false" ht="12.75" hidden="false" customHeight="false" outlineLevel="0" collapsed="false">
      <c r="A4" s="15"/>
      <c r="B4" s="16"/>
      <c r="C4" s="16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2"/>
      <c r="Q4" s="34"/>
      <c r="R4" s="35"/>
      <c r="S4" s="35"/>
      <c r="T4" s="45"/>
      <c r="U4" s="46"/>
      <c r="V4" s="37"/>
      <c r="W4" s="37"/>
    </row>
    <row r="5" customFormat="false" ht="12.75" hidden="false" customHeight="false" outlineLevel="0" collapsed="false">
      <c r="A5" s="15"/>
      <c r="B5" s="16"/>
      <c r="C5" s="47"/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2"/>
      <c r="Q5" s="34"/>
      <c r="R5" s="35"/>
      <c r="S5" s="35"/>
      <c r="T5" s="45"/>
      <c r="U5" s="46"/>
      <c r="V5" s="37"/>
      <c r="W5" s="37"/>
    </row>
    <row r="6" customFormat="false" ht="12.75" hidden="false" customHeight="false" outlineLevel="0" collapsed="false">
      <c r="A6" s="15"/>
      <c r="B6" s="16"/>
      <c r="C6" s="47"/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2"/>
      <c r="Q6" s="34"/>
      <c r="R6" s="35"/>
      <c r="S6" s="35"/>
      <c r="T6" s="45"/>
      <c r="U6" s="46"/>
      <c r="V6" s="37"/>
      <c r="W6" s="37"/>
    </row>
    <row r="7" customFormat="false" ht="12.75" hidden="false" customHeight="false" outlineLevel="0" collapsed="false">
      <c r="A7" s="15"/>
      <c r="B7" s="16"/>
      <c r="C7" s="47"/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2"/>
      <c r="Q7" s="34"/>
      <c r="R7" s="35"/>
      <c r="S7" s="35"/>
      <c r="T7" s="45"/>
      <c r="U7" s="46"/>
      <c r="V7" s="37"/>
      <c r="W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2"/>
      <c r="Q8" s="34"/>
      <c r="R8" s="35"/>
      <c r="S8" s="35"/>
      <c r="T8" s="45"/>
      <c r="U8" s="46"/>
      <c r="V8" s="37"/>
      <c r="W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2"/>
      <c r="Q9" s="34"/>
      <c r="R9" s="35"/>
      <c r="S9" s="35"/>
      <c r="T9" s="45"/>
      <c r="U9" s="46"/>
      <c r="V9" s="37"/>
      <c r="W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2"/>
      <c r="Q10" s="34"/>
      <c r="R10" s="35"/>
      <c r="S10" s="35"/>
      <c r="T10" s="45"/>
      <c r="U10" s="46"/>
      <c r="V10" s="37"/>
      <c r="W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74" t="s">
        <v>147</v>
      </c>
      <c r="Q11" s="49" t="s">
        <v>123</v>
      </c>
      <c r="R11" s="48" t="s">
        <v>124</v>
      </c>
      <c r="S11" s="75" t="s">
        <v>125</v>
      </c>
      <c r="T11" s="54" t="s">
        <v>126</v>
      </c>
      <c r="U11" s="55" t="s">
        <v>148</v>
      </c>
      <c r="V11" s="24"/>
      <c r="W11" s="24"/>
    </row>
    <row r="12" customFormat="false" ht="12.75" hidden="false" customHeight="false" outlineLevel="0" collapsed="false">
      <c r="A12" s="15" t="s">
        <v>149</v>
      </c>
      <c r="B12" s="16" t="s">
        <v>150</v>
      </c>
      <c r="C12" s="16" t="s">
        <v>151</v>
      </c>
      <c r="D12" s="17" t="n">
        <v>36647</v>
      </c>
      <c r="E12" s="17" t="n">
        <v>36830</v>
      </c>
      <c r="F12" s="15" t="s">
        <v>152</v>
      </c>
      <c r="G12" s="15" t="s">
        <v>153</v>
      </c>
      <c r="H12" s="16" t="s">
        <v>154</v>
      </c>
      <c r="I12" s="19" t="n">
        <f aca="false">0.6*0.0328767</f>
        <v>0.01972602</v>
      </c>
      <c r="J12" s="20" t="n">
        <v>0</v>
      </c>
      <c r="K12" s="20" t="n">
        <v>0</v>
      </c>
      <c r="L12" s="20" t="n">
        <v>0</v>
      </c>
      <c r="M12" s="20" t="n">
        <v>0</v>
      </c>
      <c r="N12" s="25" t="n">
        <v>0</v>
      </c>
      <c r="O12" s="20" t="n">
        <f aca="false">SUM(I12:M12)</f>
        <v>0.01972602</v>
      </c>
      <c r="P12" s="22" t="n">
        <v>771169</v>
      </c>
      <c r="Q12" s="16" t="n">
        <v>5690</v>
      </c>
      <c r="R12" s="15" t="s">
        <v>155</v>
      </c>
      <c r="S12" s="23" t="n">
        <f aca="false">I12*I$1*Q12</f>
        <v>3479.4726678</v>
      </c>
      <c r="T12" s="23"/>
      <c r="U12" s="26" t="n">
        <v>247184</v>
      </c>
      <c r="V12" s="24"/>
      <c r="W12" s="2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5" t="s">
        <v>149</v>
      </c>
      <c r="B13" s="16" t="s">
        <v>150</v>
      </c>
      <c r="C13" s="16" t="s">
        <v>151</v>
      </c>
      <c r="D13" s="17" t="n">
        <v>36647</v>
      </c>
      <c r="E13" s="17" t="n">
        <v>36830</v>
      </c>
      <c r="F13" s="15" t="s">
        <v>152</v>
      </c>
      <c r="G13" s="15" t="s">
        <v>153</v>
      </c>
      <c r="H13" s="16" t="s">
        <v>154</v>
      </c>
      <c r="I13" s="19" t="n">
        <f aca="false">0.3*0.0328767</f>
        <v>0.00986301</v>
      </c>
      <c r="J13" s="20" t="n">
        <v>0</v>
      </c>
      <c r="K13" s="20" t="n">
        <v>0</v>
      </c>
      <c r="L13" s="20" t="n">
        <v>0</v>
      </c>
      <c r="M13" s="20" t="n">
        <v>0</v>
      </c>
      <c r="N13" s="25" t="n">
        <v>0</v>
      </c>
      <c r="O13" s="20" t="n">
        <f aca="false">SUM(I13:M13)</f>
        <v>0.00986301</v>
      </c>
      <c r="P13" s="22" t="n">
        <v>771168</v>
      </c>
      <c r="Q13" s="16" t="n">
        <v>965</v>
      </c>
      <c r="R13" s="15" t="s">
        <v>156</v>
      </c>
      <c r="S13" s="23" t="n">
        <f aca="false">I13*I$1*Q13</f>
        <v>295.05194415</v>
      </c>
      <c r="T13" s="23"/>
      <c r="U13" s="26" t="n">
        <v>236735</v>
      </c>
      <c r="V13" s="24"/>
      <c r="W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5" t="s">
        <v>149</v>
      </c>
      <c r="B14" s="16" t="s">
        <v>150</v>
      </c>
      <c r="C14" s="16" t="s">
        <v>151</v>
      </c>
      <c r="D14" s="17" t="n">
        <v>36647</v>
      </c>
      <c r="E14" s="17" t="n">
        <v>36830</v>
      </c>
      <c r="F14" s="15" t="s">
        <v>157</v>
      </c>
      <c r="G14" s="15" t="s">
        <v>153</v>
      </c>
      <c r="H14" s="16" t="s">
        <v>154</v>
      </c>
      <c r="I14" s="19" t="n">
        <f aca="false">0.3*0.0328767</f>
        <v>0.00986301</v>
      </c>
      <c r="J14" s="20" t="n">
        <v>0</v>
      </c>
      <c r="K14" s="20" t="n">
        <v>0</v>
      </c>
      <c r="L14" s="20" t="n">
        <v>0</v>
      </c>
      <c r="M14" s="20" t="n">
        <v>0</v>
      </c>
      <c r="N14" s="25" t="n">
        <v>0</v>
      </c>
      <c r="O14" s="20" t="n">
        <f aca="false">SUM(I14:M14)</f>
        <v>0.00986301</v>
      </c>
      <c r="P14" s="22" t="n">
        <v>771168</v>
      </c>
      <c r="Q14" s="16" t="n">
        <v>286</v>
      </c>
      <c r="R14" s="15" t="s">
        <v>156</v>
      </c>
      <c r="S14" s="23" t="n">
        <f aca="false">I14*I$1*Q14</f>
        <v>87.44544666</v>
      </c>
      <c r="T14" s="23"/>
      <c r="U14" s="26" t="n">
        <v>236735</v>
      </c>
      <c r="V14" s="24"/>
      <c r="W14" s="2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5" t="s">
        <v>149</v>
      </c>
      <c r="B15" s="16" t="s">
        <v>150</v>
      </c>
      <c r="C15" s="16" t="s">
        <v>158</v>
      </c>
      <c r="D15" s="17" t="n">
        <v>36647</v>
      </c>
      <c r="E15" s="17" t="n">
        <v>36799</v>
      </c>
      <c r="F15" s="15" t="s">
        <v>152</v>
      </c>
      <c r="G15" s="15" t="s">
        <v>159</v>
      </c>
      <c r="H15" s="16" t="s">
        <v>160</v>
      </c>
      <c r="I15" s="19" t="n">
        <f aca="false">0.61*0.0328767</f>
        <v>0.020054787</v>
      </c>
      <c r="J15" s="20" t="n">
        <v>0</v>
      </c>
      <c r="K15" s="20" t="n">
        <v>0</v>
      </c>
      <c r="L15" s="20" t="n">
        <v>0</v>
      </c>
      <c r="M15" s="20" t="n">
        <v>0</v>
      </c>
      <c r="N15" s="25" t="n">
        <v>0</v>
      </c>
      <c r="O15" s="20" t="n">
        <f aca="false">SUM(I15:M15)</f>
        <v>0.020054787</v>
      </c>
      <c r="P15" s="22" t="n">
        <v>771199</v>
      </c>
      <c r="Q15" s="16" t="n">
        <v>5000</v>
      </c>
      <c r="R15" s="15" t="s">
        <v>161</v>
      </c>
      <c r="S15" s="23" t="n">
        <f aca="false">I15*I$1*Q15</f>
        <v>3108.491985</v>
      </c>
      <c r="T15" s="23"/>
      <c r="U15" s="26" t="n">
        <v>255854</v>
      </c>
      <c r="V15" s="24"/>
      <c r="W15" s="2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42" t="s">
        <v>149</v>
      </c>
      <c r="B16" s="43" t="s">
        <v>150</v>
      </c>
      <c r="C16" s="43" t="s">
        <v>158</v>
      </c>
      <c r="D16" s="76" t="n">
        <v>36800</v>
      </c>
      <c r="E16" s="76" t="n">
        <v>36830</v>
      </c>
      <c r="F16" s="42" t="s">
        <v>152</v>
      </c>
      <c r="G16" s="42" t="s">
        <v>159</v>
      </c>
      <c r="H16" s="43" t="s">
        <v>160</v>
      </c>
      <c r="I16" s="77" t="n">
        <f aca="false">0.61*0.0328767</f>
        <v>0.020054787</v>
      </c>
      <c r="J16" s="78" t="n">
        <v>0</v>
      </c>
      <c r="K16" s="78" t="n">
        <v>0</v>
      </c>
      <c r="L16" s="78" t="n">
        <v>0</v>
      </c>
      <c r="M16" s="78" t="n">
        <v>0</v>
      </c>
      <c r="N16" s="79" t="n">
        <v>0</v>
      </c>
      <c r="O16" s="78" t="n">
        <f aca="false">SUM(I16:M16)</f>
        <v>0.020054787</v>
      </c>
      <c r="P16" s="80" t="n">
        <v>771173</v>
      </c>
      <c r="Q16" s="43" t="n">
        <v>5000</v>
      </c>
      <c r="R16" s="42" t="s">
        <v>162</v>
      </c>
      <c r="S16" s="81" t="s">
        <v>163</v>
      </c>
      <c r="T16" s="81"/>
      <c r="U16" s="82" t="n">
        <v>253236</v>
      </c>
      <c r="V16" s="83"/>
      <c r="W16" s="83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12.75" hidden="false" customHeight="false" outlineLevel="0" collapsed="false">
      <c r="A17" s="15"/>
      <c r="B17" s="16"/>
      <c r="C17" s="16"/>
      <c r="D17" s="17"/>
      <c r="E17" s="17"/>
      <c r="F17" s="15"/>
      <c r="G17" s="15"/>
      <c r="H17" s="16"/>
      <c r="I17" s="19"/>
      <c r="J17" s="20"/>
      <c r="K17" s="20"/>
      <c r="L17" s="20"/>
      <c r="M17" s="20"/>
      <c r="N17" s="25"/>
      <c r="O17" s="20"/>
      <c r="P17" s="22"/>
      <c r="Q17" s="16"/>
      <c r="R17" s="15"/>
      <c r="S17" s="23"/>
      <c r="T17" s="23"/>
      <c r="U17" s="26"/>
      <c r="V17" s="24"/>
      <c r="W17" s="2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3.5" hidden="false" customHeight="true" outlineLevel="0" collapsed="false">
      <c r="A18" s="85" t="s">
        <v>1</v>
      </c>
      <c r="B18" s="71" t="s">
        <v>1</v>
      </c>
      <c r="C18" s="69" t="s">
        <v>1</v>
      </c>
      <c r="D18" s="86" t="s">
        <v>1</v>
      </c>
      <c r="E18" s="86"/>
      <c r="F18" s="85" t="s">
        <v>1</v>
      </c>
      <c r="G18" s="87" t="s">
        <v>1</v>
      </c>
      <c r="H18" s="71" t="s">
        <v>1</v>
      </c>
      <c r="I18" s="88"/>
      <c r="J18" s="68"/>
      <c r="K18" s="68"/>
      <c r="L18" s="68"/>
      <c r="M18" s="68"/>
      <c r="N18" s="89"/>
      <c r="O18" s="68"/>
      <c r="P18" s="90" t="s">
        <v>1</v>
      </c>
      <c r="Q18" s="71" t="n">
        <f aca="false">SUM(Q12:Q15)</f>
        <v>11941</v>
      </c>
      <c r="R18" s="85" t="s">
        <v>164</v>
      </c>
      <c r="S18" s="91" t="n">
        <f aca="false">SUM(S12:S17)</f>
        <v>6970.46204361</v>
      </c>
      <c r="T18" s="45" t="n">
        <f aca="false">SUM(T12:T16)</f>
        <v>0</v>
      </c>
      <c r="U18" s="46"/>
      <c r="V18" s="37"/>
      <c r="W18" s="37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customFormat="false" ht="12.75" hidden="false" customHeight="false" outlineLevel="0" collapsed="false">
      <c r="A19" s="85"/>
      <c r="B19" s="71"/>
      <c r="C19" s="69"/>
      <c r="D19" s="86"/>
      <c r="E19" s="86"/>
      <c r="F19" s="85"/>
      <c r="G19" s="87"/>
      <c r="H19" s="71"/>
      <c r="I19" s="88"/>
      <c r="J19" s="68"/>
      <c r="K19" s="68"/>
      <c r="L19" s="68"/>
      <c r="M19" s="68"/>
      <c r="N19" s="89"/>
      <c r="O19" s="68"/>
      <c r="P19" s="90"/>
      <c r="Q19" s="71"/>
      <c r="R19" s="85" t="s">
        <v>165</v>
      </c>
      <c r="S19" s="91" t="n">
        <v>0</v>
      </c>
      <c r="T19" s="45"/>
      <c r="U19" s="46"/>
      <c r="V19" s="37"/>
      <c r="W19" s="37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customFormat="false" ht="13.5" hidden="false" customHeight="false" outlineLevel="0" collapsed="false">
      <c r="A20" s="85"/>
      <c r="B20" s="71"/>
      <c r="C20" s="69"/>
      <c r="D20" s="86"/>
      <c r="E20" s="86"/>
      <c r="F20" s="85"/>
      <c r="G20" s="87"/>
      <c r="H20" s="71"/>
      <c r="I20" s="88"/>
      <c r="J20" s="68"/>
      <c r="K20" s="68"/>
      <c r="L20" s="68"/>
      <c r="M20" s="68"/>
      <c r="N20" s="89"/>
      <c r="O20" s="68"/>
      <c r="P20" s="90"/>
      <c r="Q20" s="71"/>
      <c r="R20" s="85" t="s">
        <v>166</v>
      </c>
      <c r="S20" s="92" t="n">
        <f aca="false">+S18-S19</f>
        <v>6970.46204361</v>
      </c>
      <c r="T20" s="45"/>
      <c r="U20" s="46"/>
      <c r="V20" s="24"/>
      <c r="W20" s="24"/>
    </row>
    <row r="21" customFormat="false" ht="13.5" hidden="false" customHeight="false" outlineLevel="0" collapsed="false">
      <c r="A21" s="85"/>
      <c r="B21" s="71"/>
      <c r="C21" s="69"/>
      <c r="D21" s="86"/>
      <c r="E21" s="86"/>
      <c r="F21" s="85"/>
      <c r="G21" s="87"/>
      <c r="H21" s="71"/>
      <c r="I21" s="88"/>
      <c r="J21" s="68"/>
      <c r="K21" s="68"/>
      <c r="L21" s="68"/>
      <c r="M21" s="68"/>
      <c r="N21" s="89"/>
      <c r="O21" s="68"/>
      <c r="P21" s="90"/>
      <c r="Q21" s="71"/>
      <c r="R21" s="85"/>
      <c r="S21" s="35"/>
      <c r="T21" s="45"/>
      <c r="U21" s="46"/>
      <c r="V21" s="24"/>
      <c r="W21" s="24"/>
    </row>
    <row r="22" customFormat="false" ht="12.75" hidden="false" customHeight="false" outlineLevel="0" collapsed="false">
      <c r="A22" s="93" t="s">
        <v>108</v>
      </c>
      <c r="B22" s="94" t="s">
        <v>109</v>
      </c>
      <c r="C22" s="94" t="s">
        <v>110</v>
      </c>
      <c r="D22" s="95" t="s">
        <v>111</v>
      </c>
      <c r="E22" s="95"/>
      <c r="F22" s="93" t="s">
        <v>112</v>
      </c>
      <c r="G22" s="93" t="s">
        <v>113</v>
      </c>
      <c r="H22" s="94" t="s">
        <v>114</v>
      </c>
      <c r="I22" s="96" t="s">
        <v>115</v>
      </c>
      <c r="J22" s="94" t="s">
        <v>116</v>
      </c>
      <c r="K22" s="94" t="s">
        <v>117</v>
      </c>
      <c r="L22" s="94" t="s">
        <v>118</v>
      </c>
      <c r="M22" s="94" t="s">
        <v>119</v>
      </c>
      <c r="N22" s="97" t="s">
        <v>120</v>
      </c>
      <c r="O22" s="94" t="s">
        <v>121</v>
      </c>
      <c r="P22" s="98" t="s">
        <v>147</v>
      </c>
      <c r="Q22" s="94" t="s">
        <v>123</v>
      </c>
      <c r="R22" s="93" t="s">
        <v>124</v>
      </c>
      <c r="S22" s="99" t="s">
        <v>125</v>
      </c>
      <c r="T22" s="100" t="s">
        <v>126</v>
      </c>
      <c r="U22" s="101" t="s">
        <v>148</v>
      </c>
      <c r="V22" s="102"/>
      <c r="W22" s="102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  <c r="IR22" s="103"/>
      <c r="IS22" s="103"/>
      <c r="IT22" s="103"/>
      <c r="IU22" s="103"/>
      <c r="IV22" s="103"/>
      <c r="IW22" s="103"/>
    </row>
    <row r="23" customFormat="false" ht="12.75" hidden="false" customHeight="false" outlineLevel="0" collapsed="false">
      <c r="A23" s="15" t="s">
        <v>167</v>
      </c>
      <c r="B23" s="16" t="s">
        <v>48</v>
      </c>
      <c r="C23" s="16" t="s">
        <v>168</v>
      </c>
      <c r="D23" s="17" t="n">
        <v>36617</v>
      </c>
      <c r="E23" s="17" t="n">
        <v>36830</v>
      </c>
      <c r="F23" s="15" t="s">
        <v>169</v>
      </c>
      <c r="G23" s="15" t="s">
        <v>168</v>
      </c>
      <c r="H23" s="16" t="s">
        <v>170</v>
      </c>
      <c r="I23" s="19" t="n">
        <v>0.0318709677419355</v>
      </c>
      <c r="J23" s="20" t="n">
        <v>0</v>
      </c>
      <c r="K23" s="20" t="n">
        <v>0</v>
      </c>
      <c r="L23" s="20" t="n">
        <v>0</v>
      </c>
      <c r="M23" s="20" t="n">
        <v>0</v>
      </c>
      <c r="N23" s="25" t="n">
        <v>0</v>
      </c>
      <c r="O23" s="20" t="n">
        <f aca="false">SUM(I23:M23)</f>
        <v>0.0318709677419355</v>
      </c>
      <c r="P23" s="22" t="s">
        <v>171</v>
      </c>
      <c r="Q23" s="16" t="n">
        <v>15000</v>
      </c>
      <c r="R23" s="15" t="s">
        <v>172</v>
      </c>
      <c r="S23" s="23" t="n">
        <f aca="false">I23*I$1*Q23</f>
        <v>14820</v>
      </c>
      <c r="T23" s="23"/>
      <c r="U23" s="26" t="n">
        <v>229957</v>
      </c>
      <c r="V23" s="24"/>
      <c r="W23" s="2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5" t="s">
        <v>167</v>
      </c>
      <c r="B24" s="16" t="s">
        <v>48</v>
      </c>
      <c r="C24" s="16" t="s">
        <v>168</v>
      </c>
      <c r="D24" s="17" t="n">
        <v>36617</v>
      </c>
      <c r="E24" s="17" t="n">
        <v>36830</v>
      </c>
      <c r="F24" s="15" t="s">
        <v>173</v>
      </c>
      <c r="G24" s="15" t="s">
        <v>168</v>
      </c>
      <c r="H24" s="16" t="s">
        <v>170</v>
      </c>
      <c r="I24" s="19" t="n">
        <v>0.0294193548387097</v>
      </c>
      <c r="J24" s="20" t="n">
        <v>0</v>
      </c>
      <c r="K24" s="20" t="n">
        <v>0</v>
      </c>
      <c r="L24" s="20" t="n">
        <v>0</v>
      </c>
      <c r="M24" s="20" t="n">
        <v>0</v>
      </c>
      <c r="N24" s="25" t="n">
        <v>0</v>
      </c>
      <c r="O24" s="20" t="n">
        <f aca="false">SUM(I24:M24)</f>
        <v>0.0294193548387097</v>
      </c>
      <c r="P24" s="22" t="s">
        <v>174</v>
      </c>
      <c r="Q24" s="16" t="n">
        <v>4003</v>
      </c>
      <c r="R24" s="15" t="s">
        <v>175</v>
      </c>
      <c r="S24" s="23" t="n">
        <f aca="false">I24*I$1*Q24</f>
        <v>3650.736</v>
      </c>
      <c r="T24" s="23"/>
      <c r="U24" s="26" t="n">
        <v>233047</v>
      </c>
      <c r="V24" s="24"/>
      <c r="W24" s="2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5" t="s">
        <v>167</v>
      </c>
      <c r="B25" s="16" t="s">
        <v>48</v>
      </c>
      <c r="C25" s="16" t="s">
        <v>168</v>
      </c>
      <c r="D25" s="17" t="n">
        <v>36617</v>
      </c>
      <c r="E25" s="17" t="n">
        <v>36830</v>
      </c>
      <c r="F25" s="15" t="s">
        <v>176</v>
      </c>
      <c r="G25" s="15" t="s">
        <v>168</v>
      </c>
      <c r="H25" s="16" t="s">
        <v>170</v>
      </c>
      <c r="I25" s="19" t="n">
        <v>0.0294193548387097</v>
      </c>
      <c r="J25" s="20" t="n">
        <v>0</v>
      </c>
      <c r="K25" s="20" t="n">
        <v>0</v>
      </c>
      <c r="L25" s="20" t="n">
        <v>0</v>
      </c>
      <c r="M25" s="20" t="n">
        <v>0</v>
      </c>
      <c r="N25" s="25" t="n">
        <v>0</v>
      </c>
      <c r="O25" s="20" t="n">
        <f aca="false">SUM(I25:M25)</f>
        <v>0.0294193548387097</v>
      </c>
      <c r="P25" s="22" t="s">
        <v>174</v>
      </c>
      <c r="Q25" s="16" t="n">
        <v>383</v>
      </c>
      <c r="R25" s="15" t="s">
        <v>175</v>
      </c>
      <c r="S25" s="23" t="n">
        <f aca="false">I25*I$1*Q25</f>
        <v>349.296</v>
      </c>
      <c r="T25" s="23"/>
      <c r="U25" s="26" t="n">
        <v>233047</v>
      </c>
      <c r="V25" s="24"/>
      <c r="W25" s="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5" t="s">
        <v>167</v>
      </c>
      <c r="B26" s="16" t="s">
        <v>48</v>
      </c>
      <c r="C26" s="16" t="s">
        <v>158</v>
      </c>
      <c r="D26" s="17" t="n">
        <v>36617</v>
      </c>
      <c r="E26" s="17" t="n">
        <v>36799</v>
      </c>
      <c r="F26" s="15" t="s">
        <v>173</v>
      </c>
      <c r="G26" s="15" t="s">
        <v>177</v>
      </c>
      <c r="H26" s="16" t="s">
        <v>170</v>
      </c>
      <c r="I26" s="19" t="n">
        <v>0.0196129032258065</v>
      </c>
      <c r="J26" s="20" t="n">
        <v>0</v>
      </c>
      <c r="K26" s="20" t="n">
        <v>0</v>
      </c>
      <c r="L26" s="20" t="n">
        <v>0</v>
      </c>
      <c r="M26" s="20" t="n">
        <v>0</v>
      </c>
      <c r="N26" s="25" t="n">
        <v>0</v>
      </c>
      <c r="O26" s="20" t="n">
        <f aca="false">SUM(I26:M26)</f>
        <v>0.0196129032258065</v>
      </c>
      <c r="P26" s="22" t="s">
        <v>178</v>
      </c>
      <c r="Q26" s="16" t="n">
        <v>3947</v>
      </c>
      <c r="R26" s="15" t="s">
        <v>179</v>
      </c>
      <c r="S26" s="23" t="n">
        <f aca="false">I26*I$1*Q26</f>
        <v>2399.776</v>
      </c>
      <c r="T26" s="23"/>
      <c r="U26" s="26" t="n">
        <v>231229</v>
      </c>
      <c r="V26" s="24"/>
      <c r="W26" s="2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38" t="s">
        <v>167</v>
      </c>
      <c r="B27" s="104" t="s">
        <v>48</v>
      </c>
      <c r="C27" s="104" t="s">
        <v>180</v>
      </c>
      <c r="D27" s="105" t="n">
        <v>36739</v>
      </c>
      <c r="E27" s="105" t="n">
        <v>36769</v>
      </c>
      <c r="F27" s="38" t="s">
        <v>181</v>
      </c>
      <c r="G27" s="38" t="s">
        <v>182</v>
      </c>
      <c r="H27" s="104" t="s">
        <v>170</v>
      </c>
      <c r="I27" s="106" t="n">
        <f aca="false">0.3875/I$1</f>
        <v>0.0125</v>
      </c>
      <c r="J27" s="107" t="n">
        <v>0</v>
      </c>
      <c r="K27" s="107" t="n">
        <v>0</v>
      </c>
      <c r="L27" s="107" t="n">
        <v>0</v>
      </c>
      <c r="M27" s="107" t="n">
        <v>0</v>
      </c>
      <c r="N27" s="108" t="n">
        <v>0</v>
      </c>
      <c r="O27" s="107" t="n">
        <f aca="false">SUM(I27:M27)</f>
        <v>0.0125</v>
      </c>
      <c r="P27" s="109" t="n">
        <v>523464</v>
      </c>
      <c r="Q27" s="104" t="n">
        <v>2400</v>
      </c>
      <c r="R27" s="38" t="s">
        <v>183</v>
      </c>
      <c r="S27" s="110" t="n">
        <f aca="false">I27*8*Q27</f>
        <v>240</v>
      </c>
      <c r="T27" s="110"/>
      <c r="U27" s="111" t="n">
        <v>343490</v>
      </c>
      <c r="V27" s="112"/>
      <c r="W27" s="112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  <c r="IU27" s="113"/>
      <c r="IV27" s="113"/>
      <c r="IW27" s="113"/>
    </row>
    <row r="28" customFormat="false" ht="12.75" hidden="false" customHeight="false" outlineLevel="0" collapsed="false">
      <c r="A28" s="42" t="s">
        <v>167</v>
      </c>
      <c r="B28" s="43" t="s">
        <v>48</v>
      </c>
      <c r="C28" s="43" t="s">
        <v>180</v>
      </c>
      <c r="D28" s="76" t="n">
        <v>36770</v>
      </c>
      <c r="E28" s="76" t="n">
        <v>36830</v>
      </c>
      <c r="F28" s="42" t="s">
        <v>181</v>
      </c>
      <c r="G28" s="42" t="s">
        <v>182</v>
      </c>
      <c r="H28" s="43" t="s">
        <v>170</v>
      </c>
      <c r="I28" s="77" t="n">
        <f aca="false">0.3875/I$1</f>
        <v>0.0125</v>
      </c>
      <c r="J28" s="78" t="n">
        <v>0</v>
      </c>
      <c r="K28" s="78" t="n">
        <v>0</v>
      </c>
      <c r="L28" s="78" t="n">
        <v>0</v>
      </c>
      <c r="M28" s="78" t="n">
        <v>0</v>
      </c>
      <c r="N28" s="79" t="n">
        <v>0</v>
      </c>
      <c r="O28" s="78" t="n">
        <f aca="false">SUM(I28:M28)</f>
        <v>0.0125</v>
      </c>
      <c r="P28" s="80"/>
      <c r="Q28" s="43" t="n">
        <v>2400</v>
      </c>
      <c r="R28" s="42" t="s">
        <v>184</v>
      </c>
      <c r="S28" s="81" t="s">
        <v>185</v>
      </c>
      <c r="T28" s="81"/>
      <c r="U28" s="82"/>
      <c r="V28" s="83"/>
      <c r="W28" s="83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</row>
    <row r="29" customFormat="false" ht="12.75" hidden="false" customHeight="false" outlineLevel="0" collapsed="false">
      <c r="A29" s="85" t="s">
        <v>1</v>
      </c>
      <c r="B29" s="71" t="s">
        <v>1</v>
      </c>
      <c r="C29" s="69" t="s">
        <v>1</v>
      </c>
      <c r="D29" s="86" t="s">
        <v>1</v>
      </c>
      <c r="E29" s="86"/>
      <c r="F29" s="85" t="s">
        <v>1</v>
      </c>
      <c r="G29" s="87" t="s">
        <v>1</v>
      </c>
      <c r="H29" s="71" t="s">
        <v>1</v>
      </c>
      <c r="I29" s="88"/>
      <c r="J29" s="68"/>
      <c r="K29" s="68"/>
      <c r="L29" s="68"/>
      <c r="M29" s="68"/>
      <c r="N29" s="89"/>
      <c r="O29" s="68"/>
      <c r="P29" s="90" t="s">
        <v>1</v>
      </c>
      <c r="Q29" s="73"/>
      <c r="R29" s="85" t="s">
        <v>1</v>
      </c>
      <c r="S29" s="35"/>
      <c r="T29" s="45" t="n">
        <f aca="false">SUM(T23:T28)</f>
        <v>0</v>
      </c>
      <c r="U29" s="46"/>
      <c r="V29" s="37"/>
      <c r="W29" s="37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</row>
    <row r="30" customFormat="false" ht="12.75" hidden="false" customHeight="false" outlineLevel="0" collapsed="false">
      <c r="A30" s="85"/>
      <c r="B30" s="71"/>
      <c r="C30" s="69"/>
      <c r="D30" s="86"/>
      <c r="E30" s="86"/>
      <c r="F30" s="85"/>
      <c r="G30" s="87"/>
      <c r="H30" s="71"/>
      <c r="I30" s="88"/>
      <c r="J30" s="68"/>
      <c r="K30" s="68"/>
      <c r="L30" s="68"/>
      <c r="M30" s="68"/>
      <c r="N30" s="89"/>
      <c r="O30" s="68"/>
      <c r="P30" s="90"/>
      <c r="Q30" s="69" t="n">
        <f aca="false">SUM(Q23:Q28)</f>
        <v>28133</v>
      </c>
      <c r="R30" s="85" t="s">
        <v>164</v>
      </c>
      <c r="S30" s="91" t="n">
        <f aca="false">SUM(S22:S29)</f>
        <v>21459.808</v>
      </c>
      <c r="T30" s="45"/>
      <c r="U30" s="46"/>
      <c r="V30" s="37"/>
      <c r="W30" s="37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</row>
    <row r="31" customFormat="false" ht="12.75" hidden="false" customHeight="false" outlineLevel="0" collapsed="false">
      <c r="A31" s="85"/>
      <c r="B31" s="71"/>
      <c r="C31" s="69"/>
      <c r="D31" s="86"/>
      <c r="E31" s="86"/>
      <c r="F31" s="85"/>
      <c r="G31" s="87"/>
      <c r="H31" s="71"/>
      <c r="I31" s="88"/>
      <c r="J31" s="68"/>
      <c r="K31" s="68"/>
      <c r="L31" s="68"/>
      <c r="M31" s="68"/>
      <c r="N31" s="89"/>
      <c r="O31" s="68"/>
      <c r="P31" s="90"/>
      <c r="Q31" s="71"/>
      <c r="R31" s="85" t="s">
        <v>165</v>
      </c>
      <c r="S31" s="91" t="n">
        <v>0</v>
      </c>
      <c r="T31" s="45"/>
      <c r="U31" s="46"/>
      <c r="V31" s="24"/>
      <c r="W31" s="24"/>
    </row>
    <row r="32" customFormat="false" ht="13.5" hidden="false" customHeight="false" outlineLevel="0" collapsed="false">
      <c r="A32" s="85"/>
      <c r="B32" s="71"/>
      <c r="C32" s="69"/>
      <c r="D32" s="86"/>
      <c r="E32" s="86"/>
      <c r="F32" s="85"/>
      <c r="G32" s="87"/>
      <c r="H32" s="71"/>
      <c r="I32" s="88"/>
      <c r="J32" s="68"/>
      <c r="K32" s="68"/>
      <c r="L32" s="68"/>
      <c r="M32" s="68"/>
      <c r="N32" s="89"/>
      <c r="O32" s="68"/>
      <c r="P32" s="90"/>
      <c r="Q32" s="71"/>
      <c r="R32" s="85" t="s">
        <v>166</v>
      </c>
      <c r="S32" s="92" t="n">
        <f aca="false">+S30-S31</f>
        <v>21459.808</v>
      </c>
      <c r="T32" s="45"/>
      <c r="U32" s="46"/>
      <c r="V32" s="24"/>
      <c r="W32" s="24"/>
    </row>
    <row r="33" customFormat="false" ht="13.5" hidden="false" customHeight="false" outlineLevel="0" collapsed="false">
      <c r="A33" s="85"/>
      <c r="B33" s="71"/>
      <c r="C33" s="69"/>
      <c r="D33" s="86"/>
      <c r="E33" s="86"/>
      <c r="F33" s="85"/>
      <c r="G33" s="87"/>
      <c r="H33" s="71"/>
      <c r="I33" s="88"/>
      <c r="J33" s="68"/>
      <c r="K33" s="68"/>
      <c r="L33" s="68"/>
      <c r="M33" s="68"/>
      <c r="N33" s="89"/>
      <c r="O33" s="68"/>
      <c r="P33" s="90"/>
      <c r="Q33" s="71"/>
      <c r="R33" s="85"/>
      <c r="S33" s="35"/>
      <c r="T33" s="45"/>
      <c r="U33" s="46"/>
      <c r="V33" s="24"/>
      <c r="W33" s="24"/>
    </row>
    <row r="34" customFormat="false" ht="12.75" hidden="false" customHeight="false" outlineLevel="0" collapsed="false">
      <c r="A34" s="93" t="s">
        <v>108</v>
      </c>
      <c r="B34" s="94" t="s">
        <v>109</v>
      </c>
      <c r="C34" s="94" t="s">
        <v>110</v>
      </c>
      <c r="D34" s="95" t="s">
        <v>111</v>
      </c>
      <c r="E34" s="95"/>
      <c r="F34" s="93" t="s">
        <v>112</v>
      </c>
      <c r="G34" s="93" t="s">
        <v>113</v>
      </c>
      <c r="H34" s="94" t="s">
        <v>114</v>
      </c>
      <c r="I34" s="96" t="s">
        <v>115</v>
      </c>
      <c r="J34" s="94" t="s">
        <v>116</v>
      </c>
      <c r="K34" s="94" t="s">
        <v>117</v>
      </c>
      <c r="L34" s="94" t="s">
        <v>118</v>
      </c>
      <c r="M34" s="94" t="s">
        <v>119</v>
      </c>
      <c r="N34" s="97" t="s">
        <v>120</v>
      </c>
      <c r="O34" s="94" t="s">
        <v>121</v>
      </c>
      <c r="P34" s="98" t="s">
        <v>147</v>
      </c>
      <c r="Q34" s="94" t="s">
        <v>123</v>
      </c>
      <c r="R34" s="93" t="s">
        <v>124</v>
      </c>
      <c r="S34" s="99" t="s">
        <v>133</v>
      </c>
      <c r="T34" s="100" t="s">
        <v>133</v>
      </c>
      <c r="U34" s="101"/>
      <c r="V34" s="102"/>
      <c r="W34" s="102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</row>
    <row r="35" customFormat="false" ht="12.75" hidden="true" customHeight="false" outlineLevel="0" collapsed="false">
      <c r="A35" s="15" t="s">
        <v>149</v>
      </c>
      <c r="B35" s="16" t="s">
        <v>134</v>
      </c>
      <c r="C35" s="16" t="s">
        <v>134</v>
      </c>
      <c r="D35" s="17" t="s">
        <v>90</v>
      </c>
      <c r="E35" s="17" t="s">
        <v>90</v>
      </c>
      <c r="F35" s="15" t="s">
        <v>186</v>
      </c>
      <c r="G35" s="15"/>
      <c r="H35" s="16"/>
      <c r="I35" s="19" t="n">
        <v>0</v>
      </c>
      <c r="J35" s="20" t="n">
        <v>0</v>
      </c>
      <c r="K35" s="20" t="n">
        <v>0</v>
      </c>
      <c r="L35" s="20" t="n">
        <v>0</v>
      </c>
      <c r="M35" s="20" t="n">
        <v>0</v>
      </c>
      <c r="N35" s="25" t="n">
        <v>0</v>
      </c>
      <c r="O35" s="20" t="n">
        <f aca="false">SUM(I35:M35)</f>
        <v>0</v>
      </c>
      <c r="P35" s="22" t="s">
        <v>187</v>
      </c>
      <c r="Q35" s="16"/>
      <c r="R35" s="15"/>
      <c r="S35" s="23" t="n">
        <f aca="false">I35*I$1*Q35</f>
        <v>0</v>
      </c>
      <c r="T35" s="23"/>
      <c r="U35" s="26"/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5" t="s">
        <v>167</v>
      </c>
      <c r="B36" s="16" t="s">
        <v>134</v>
      </c>
      <c r="C36" s="16" t="s">
        <v>134</v>
      </c>
      <c r="D36" s="17" t="n">
        <v>36617</v>
      </c>
      <c r="E36" s="17" t="n">
        <v>36981</v>
      </c>
      <c r="F36" s="15" t="s">
        <v>188</v>
      </c>
      <c r="G36" s="15" t="n">
        <v>19</v>
      </c>
      <c r="H36" s="16" t="s">
        <v>170</v>
      </c>
      <c r="I36" s="19" t="n">
        <f aca="false">4.41/I$1</f>
        <v>0.142258064516129</v>
      </c>
      <c r="J36" s="20" t="n">
        <v>0</v>
      </c>
      <c r="K36" s="20" t="n">
        <v>0</v>
      </c>
      <c r="L36" s="20" t="n">
        <v>0</v>
      </c>
      <c r="M36" s="20" t="n">
        <v>0</v>
      </c>
      <c r="N36" s="25" t="n">
        <v>0</v>
      </c>
      <c r="O36" s="20" t="n">
        <f aca="false">SUM(I36:M36)</f>
        <v>0.142258064516129</v>
      </c>
      <c r="P36" s="22" t="n">
        <v>66930</v>
      </c>
      <c r="Q36" s="16" t="n">
        <v>4000</v>
      </c>
      <c r="R36" s="15" t="s">
        <v>189</v>
      </c>
      <c r="S36" s="23" t="n">
        <f aca="false">I36*I$1*Q36</f>
        <v>17640</v>
      </c>
      <c r="T36" s="114" t="n">
        <v>4.41</v>
      </c>
      <c r="U36" s="26" t="n">
        <v>227986</v>
      </c>
      <c r="V36" s="24"/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5" t="s">
        <v>167</v>
      </c>
      <c r="B37" s="16" t="s">
        <v>134</v>
      </c>
      <c r="C37" s="16" t="s">
        <v>134</v>
      </c>
      <c r="D37" s="17" t="n">
        <v>36617</v>
      </c>
      <c r="E37" s="17" t="n">
        <v>36981</v>
      </c>
      <c r="F37" s="15" t="s">
        <v>188</v>
      </c>
      <c r="G37" s="15" t="s">
        <v>190</v>
      </c>
      <c r="H37" s="16" t="s">
        <v>160</v>
      </c>
      <c r="I37" s="19" t="n">
        <f aca="false">4.41/I$1</f>
        <v>0.142258064516129</v>
      </c>
      <c r="J37" s="20" t="n">
        <v>0</v>
      </c>
      <c r="K37" s="20" t="n">
        <v>0</v>
      </c>
      <c r="L37" s="20" t="n">
        <v>0</v>
      </c>
      <c r="M37" s="20" t="n">
        <v>0</v>
      </c>
      <c r="N37" s="25" t="n">
        <v>0</v>
      </c>
      <c r="O37" s="20" t="n">
        <f aca="false">SUM(I37:M37)</f>
        <v>0.142258064516129</v>
      </c>
      <c r="P37" s="22" t="n">
        <v>66931</v>
      </c>
      <c r="Q37" s="16" t="n">
        <v>4000</v>
      </c>
      <c r="R37" s="15" t="s">
        <v>191</v>
      </c>
      <c r="S37" s="23" t="n">
        <f aca="false">I37*I$1*Q37</f>
        <v>17640</v>
      </c>
      <c r="T37" s="114" t="n">
        <v>4.41</v>
      </c>
      <c r="U37" s="26" t="n">
        <v>227996</v>
      </c>
      <c r="V37" s="24"/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5" t="s">
        <v>167</v>
      </c>
      <c r="B38" s="16" t="s">
        <v>134</v>
      </c>
      <c r="C38" s="16" t="s">
        <v>134</v>
      </c>
      <c r="D38" s="17" t="n">
        <v>36617</v>
      </c>
      <c r="E38" s="17" t="n">
        <v>36981</v>
      </c>
      <c r="F38" s="15" t="s">
        <v>188</v>
      </c>
      <c r="G38" s="15" t="s">
        <v>192</v>
      </c>
      <c r="H38" s="16" t="s">
        <v>170</v>
      </c>
      <c r="I38" s="19" t="n">
        <f aca="false">6.201/I$1</f>
        <v>0.200032258064516</v>
      </c>
      <c r="J38" s="20" t="n">
        <v>0</v>
      </c>
      <c r="K38" s="20" t="n">
        <v>0</v>
      </c>
      <c r="L38" s="20" t="n">
        <v>0</v>
      </c>
      <c r="M38" s="20" t="n">
        <v>0</v>
      </c>
      <c r="N38" s="25" t="n">
        <v>0</v>
      </c>
      <c r="O38" s="20" t="n">
        <f aca="false">SUM(I38:M38)</f>
        <v>0.200032258064516</v>
      </c>
      <c r="P38" s="22" t="n">
        <v>66932</v>
      </c>
      <c r="Q38" s="16" t="n">
        <v>4000</v>
      </c>
      <c r="R38" s="15" t="s">
        <v>191</v>
      </c>
      <c r="S38" s="23" t="n">
        <f aca="false">I38*I$1*Q38</f>
        <v>24804</v>
      </c>
      <c r="T38" s="114" t="n">
        <v>6.201</v>
      </c>
      <c r="U38" s="26" t="n">
        <v>228003</v>
      </c>
      <c r="V38" s="24"/>
      <c r="W38" s="24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5" t="s">
        <v>167</v>
      </c>
      <c r="B39" s="16" t="s">
        <v>134</v>
      </c>
      <c r="C39" s="16" t="s">
        <v>134</v>
      </c>
      <c r="D39" s="17" t="n">
        <v>36617</v>
      </c>
      <c r="E39" s="17" t="n">
        <v>36830</v>
      </c>
      <c r="F39" s="15" t="s">
        <v>193</v>
      </c>
      <c r="G39" s="15" t="s">
        <v>194</v>
      </c>
      <c r="H39" s="16" t="s">
        <v>170</v>
      </c>
      <c r="I39" s="19" t="n">
        <f aca="false">1.5286/I$1</f>
        <v>0.0493096774193548</v>
      </c>
      <c r="J39" s="20" t="n">
        <v>0</v>
      </c>
      <c r="K39" s="20" t="n">
        <v>0</v>
      </c>
      <c r="L39" s="20" t="n">
        <v>0</v>
      </c>
      <c r="M39" s="20" t="n">
        <v>0</v>
      </c>
      <c r="N39" s="25" t="n">
        <v>0</v>
      </c>
      <c r="O39" s="20" t="n">
        <f aca="false">SUM(I39:M39)</f>
        <v>0.0493096774193548</v>
      </c>
      <c r="P39" s="22" t="n">
        <v>66965</v>
      </c>
      <c r="Q39" s="16" t="n">
        <v>20000</v>
      </c>
      <c r="R39" s="15" t="s">
        <v>195</v>
      </c>
      <c r="S39" s="23" t="n">
        <f aca="false">I39*I$1*Q39</f>
        <v>30572</v>
      </c>
      <c r="T39" s="114"/>
      <c r="U39" s="26" t="n">
        <v>229727</v>
      </c>
      <c r="V39" s="24"/>
      <c r="W39" s="2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38" t="s">
        <v>167</v>
      </c>
      <c r="B40" s="104" t="s">
        <v>134</v>
      </c>
      <c r="C40" s="104" t="s">
        <v>134</v>
      </c>
      <c r="D40" s="105" t="n">
        <v>36739</v>
      </c>
      <c r="E40" s="105" t="n">
        <v>36769</v>
      </c>
      <c r="F40" s="38" t="s">
        <v>188</v>
      </c>
      <c r="G40" s="38" t="s">
        <v>196</v>
      </c>
      <c r="H40" s="104" t="s">
        <v>170</v>
      </c>
      <c r="I40" s="106" t="n">
        <f aca="false">2.48/I$1</f>
        <v>0.08</v>
      </c>
      <c r="J40" s="107" t="n">
        <v>0</v>
      </c>
      <c r="K40" s="107" t="n">
        <v>0</v>
      </c>
      <c r="L40" s="107" t="n">
        <v>0</v>
      </c>
      <c r="M40" s="107" t="n">
        <v>0</v>
      </c>
      <c r="N40" s="108" t="n">
        <v>0</v>
      </c>
      <c r="O40" s="107" t="n">
        <f aca="false">SUM(I40:M40)</f>
        <v>0.08</v>
      </c>
      <c r="P40" s="109" t="n">
        <v>68958</v>
      </c>
      <c r="Q40" s="104" t="n">
        <v>7500</v>
      </c>
      <c r="R40" s="38" t="s">
        <v>197</v>
      </c>
      <c r="S40" s="110" t="n">
        <f aca="false">I40*I$1*Q40</f>
        <v>18600</v>
      </c>
      <c r="T40" s="115"/>
      <c r="U40" s="111" t="n">
        <v>346353</v>
      </c>
      <c r="V40" s="112"/>
      <c r="W40" s="112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  <c r="IW40" s="113"/>
    </row>
    <row r="41" customFormat="false" ht="12.75" hidden="false" customHeight="false" outlineLevel="0" collapsed="false">
      <c r="A41" s="116" t="s">
        <v>167</v>
      </c>
      <c r="B41" s="117" t="s">
        <v>134</v>
      </c>
      <c r="C41" s="117" t="s">
        <v>134</v>
      </c>
      <c r="D41" s="118" t="n">
        <v>36678</v>
      </c>
      <c r="E41" s="118" t="n">
        <v>36830</v>
      </c>
      <c r="F41" s="116" t="s">
        <v>188</v>
      </c>
      <c r="G41" s="116" t="s">
        <v>196</v>
      </c>
      <c r="H41" s="117" t="s">
        <v>170</v>
      </c>
      <c r="I41" s="119" t="n">
        <f aca="false">2.48/I$1</f>
        <v>0.08</v>
      </c>
      <c r="J41" s="120" t="n">
        <v>0</v>
      </c>
      <c r="K41" s="120" t="n">
        <v>0</v>
      </c>
      <c r="L41" s="120" t="n">
        <v>0</v>
      </c>
      <c r="M41" s="120" t="n">
        <v>0</v>
      </c>
      <c r="N41" s="121" t="n">
        <v>0</v>
      </c>
      <c r="O41" s="120" t="n">
        <f aca="false">SUM(I41:M41)</f>
        <v>0.08</v>
      </c>
      <c r="P41" s="122" t="s">
        <v>198</v>
      </c>
      <c r="Q41" s="117"/>
      <c r="R41" s="116"/>
      <c r="S41" s="123" t="s">
        <v>199</v>
      </c>
      <c r="T41" s="124"/>
      <c r="U41" s="125" t="s">
        <v>200</v>
      </c>
      <c r="V41" s="125"/>
      <c r="W41" s="125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  <c r="IW41" s="126"/>
    </row>
    <row r="42" customFormat="false" ht="12.75" hidden="false" customHeight="false" outlineLevel="0" collapsed="false">
      <c r="A42" s="15" t="s">
        <v>149</v>
      </c>
      <c r="B42" s="16" t="s">
        <v>134</v>
      </c>
      <c r="C42" s="16" t="s">
        <v>201</v>
      </c>
      <c r="D42" s="17" t="n">
        <v>36464</v>
      </c>
      <c r="E42" s="17" t="n">
        <v>36860</v>
      </c>
      <c r="F42" s="15" t="s">
        <v>188</v>
      </c>
      <c r="G42" s="15" t="s">
        <v>202</v>
      </c>
      <c r="H42" s="16"/>
      <c r="I42" s="19" t="n">
        <f aca="false">6.423/I$1</f>
        <v>0.207193548387097</v>
      </c>
      <c r="J42" s="20" t="n">
        <v>0</v>
      </c>
      <c r="K42" s="20" t="n">
        <v>0</v>
      </c>
      <c r="L42" s="20" t="n">
        <v>0</v>
      </c>
      <c r="M42" s="20" t="n">
        <v>0</v>
      </c>
      <c r="N42" s="25" t="n">
        <v>0</v>
      </c>
      <c r="O42" s="20" t="n">
        <f aca="false">SUM(I42:M42)</f>
        <v>0.207193548387097</v>
      </c>
      <c r="P42" s="22" t="n">
        <v>65071</v>
      </c>
      <c r="Q42" s="16" t="n">
        <v>5429</v>
      </c>
      <c r="R42" s="15" t="s">
        <v>203</v>
      </c>
      <c r="S42" s="23" t="n">
        <f aca="false">I42*I$1*Q42</f>
        <v>34870.467</v>
      </c>
      <c r="T42" s="114"/>
      <c r="U42" s="26" t="n">
        <v>205687</v>
      </c>
      <c r="V42" s="24"/>
      <c r="W42" s="24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5" t="s">
        <v>149</v>
      </c>
      <c r="B43" s="16" t="s">
        <v>134</v>
      </c>
      <c r="C43" s="16" t="s">
        <v>201</v>
      </c>
      <c r="D43" s="17" t="n">
        <v>36464</v>
      </c>
      <c r="E43" s="17" t="n">
        <v>36860</v>
      </c>
      <c r="F43" s="15" t="s">
        <v>188</v>
      </c>
      <c r="G43" s="15" t="s">
        <v>204</v>
      </c>
      <c r="H43" s="16"/>
      <c r="I43" s="19" t="n">
        <f aca="false">6.423/I$1</f>
        <v>0.207193548387097</v>
      </c>
      <c r="J43" s="20" t="n">
        <v>0</v>
      </c>
      <c r="K43" s="20" t="n">
        <v>0</v>
      </c>
      <c r="L43" s="20" t="n">
        <v>0</v>
      </c>
      <c r="M43" s="20" t="n">
        <v>0</v>
      </c>
      <c r="N43" s="25" t="n">
        <v>0</v>
      </c>
      <c r="O43" s="20" t="n">
        <f aca="false">SUM(I43:M43)</f>
        <v>0.207193548387097</v>
      </c>
      <c r="P43" s="22" t="n">
        <v>65071</v>
      </c>
      <c r="Q43" s="16" t="n">
        <v>1000</v>
      </c>
      <c r="R43" s="15" t="s">
        <v>203</v>
      </c>
      <c r="S43" s="23" t="n">
        <f aca="false">I43*I$1*Q43</f>
        <v>6423</v>
      </c>
      <c r="T43" s="114"/>
      <c r="U43" s="26" t="n">
        <v>205687</v>
      </c>
      <c r="V43" s="24"/>
      <c r="W43" s="24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5" t="s">
        <v>149</v>
      </c>
      <c r="B44" s="16" t="s">
        <v>134</v>
      </c>
      <c r="C44" s="16" t="s">
        <v>201</v>
      </c>
      <c r="D44" s="17" t="n">
        <v>36464</v>
      </c>
      <c r="E44" s="17" t="n">
        <v>36860</v>
      </c>
      <c r="F44" s="15" t="s">
        <v>188</v>
      </c>
      <c r="G44" s="15" t="s">
        <v>205</v>
      </c>
      <c r="H44" s="16"/>
      <c r="I44" s="19" t="n">
        <f aca="false">6.423/I$1</f>
        <v>0.207193548387097</v>
      </c>
      <c r="J44" s="20" t="n">
        <v>0</v>
      </c>
      <c r="K44" s="20" t="n">
        <v>0</v>
      </c>
      <c r="L44" s="20" t="n">
        <v>0</v>
      </c>
      <c r="M44" s="20" t="n">
        <v>0</v>
      </c>
      <c r="N44" s="25" t="n">
        <v>0</v>
      </c>
      <c r="O44" s="20" t="n">
        <f aca="false">SUM(I44:M44)</f>
        <v>0.207193548387097</v>
      </c>
      <c r="P44" s="22" t="n">
        <v>65071</v>
      </c>
      <c r="Q44" s="16" t="n">
        <v>1000</v>
      </c>
      <c r="R44" s="15" t="s">
        <v>203</v>
      </c>
      <c r="S44" s="23" t="n">
        <f aca="false">I44*I$1*Q44</f>
        <v>6423</v>
      </c>
      <c r="T44" s="114"/>
      <c r="U44" s="26" t="n">
        <v>205687</v>
      </c>
      <c r="V44" s="24"/>
      <c r="W44" s="2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15" t="s">
        <v>149</v>
      </c>
      <c r="B45" s="16" t="s">
        <v>134</v>
      </c>
      <c r="C45" s="15" t="s">
        <v>206</v>
      </c>
      <c r="D45" s="127" t="n">
        <v>36739</v>
      </c>
      <c r="E45" s="127" t="n">
        <v>36769</v>
      </c>
      <c r="F45" s="15" t="s">
        <v>188</v>
      </c>
      <c r="G45" s="15" t="s">
        <v>204</v>
      </c>
      <c r="H45" s="16"/>
      <c r="I45" s="19" t="n">
        <f aca="false">6.423/I$1</f>
        <v>0.207193548387097</v>
      </c>
      <c r="J45" s="20" t="n">
        <v>0</v>
      </c>
      <c r="K45" s="20" t="n">
        <v>0</v>
      </c>
      <c r="L45" s="20" t="n">
        <v>0</v>
      </c>
      <c r="M45" s="20" t="n">
        <v>0</v>
      </c>
      <c r="N45" s="25" t="n">
        <v>0</v>
      </c>
      <c r="O45" s="20" t="n">
        <f aca="false">SUM(I45:M45)</f>
        <v>0.207193548387097</v>
      </c>
      <c r="P45" s="22" t="n">
        <v>65071</v>
      </c>
      <c r="Q45" s="69" t="n">
        <v>-394</v>
      </c>
      <c r="R45" s="15" t="s">
        <v>207</v>
      </c>
      <c r="S45" s="23" t="n">
        <f aca="false">I45*I$1*Q45</f>
        <v>-2530.662</v>
      </c>
      <c r="T45" s="114"/>
      <c r="U45" s="26" t="n">
        <v>310503</v>
      </c>
      <c r="V45" s="24"/>
      <c r="W45" s="2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5" t="s">
        <v>149</v>
      </c>
      <c r="B46" s="16" t="s">
        <v>134</v>
      </c>
      <c r="C46" s="16" t="s">
        <v>46</v>
      </c>
      <c r="D46" s="17" t="n">
        <v>36312</v>
      </c>
      <c r="E46" s="17" t="n">
        <v>37011</v>
      </c>
      <c r="F46" s="15" t="s">
        <v>208</v>
      </c>
      <c r="G46" s="15" t="s">
        <v>209</v>
      </c>
      <c r="H46" s="16" t="s">
        <v>210</v>
      </c>
      <c r="I46" s="19" t="n">
        <v>0.16</v>
      </c>
      <c r="J46" s="20"/>
      <c r="K46" s="20"/>
      <c r="L46" s="20"/>
      <c r="M46" s="20"/>
      <c r="N46" s="25"/>
      <c r="O46" s="20"/>
      <c r="P46" s="22" t="n">
        <v>65403</v>
      </c>
      <c r="Q46" s="16" t="n">
        <v>19293</v>
      </c>
      <c r="R46" s="15" t="s">
        <v>211</v>
      </c>
      <c r="S46" s="23" t="n">
        <f aca="false">I46*I$1*Q46</f>
        <v>95693.28</v>
      </c>
      <c r="T46" s="114" t="n">
        <f aca="false">0.16*30.417</f>
        <v>4.86672</v>
      </c>
      <c r="U46" s="26" t="n">
        <v>214854</v>
      </c>
      <c r="V46" s="15"/>
      <c r="W46" s="24"/>
      <c r="X46" s="24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38" t="s">
        <v>149</v>
      </c>
      <c r="B47" s="104" t="s">
        <v>134</v>
      </c>
      <c r="C47" s="104" t="s">
        <v>212</v>
      </c>
      <c r="D47" s="105" t="n">
        <v>36734</v>
      </c>
      <c r="E47" s="105" t="n">
        <v>36799</v>
      </c>
      <c r="F47" s="38" t="s">
        <v>131</v>
      </c>
      <c r="G47" s="38" t="s">
        <v>213</v>
      </c>
      <c r="H47" s="104" t="s">
        <v>214</v>
      </c>
      <c r="I47" s="106" t="n">
        <f aca="false">1.0587/I1</f>
        <v>0.0341516129032258</v>
      </c>
      <c r="J47" s="107" t="n">
        <v>0.0132</v>
      </c>
      <c r="K47" s="107" t="n">
        <v>0.0022</v>
      </c>
      <c r="L47" s="107" t="n">
        <v>0</v>
      </c>
      <c r="M47" s="107" t="n">
        <v>0</v>
      </c>
      <c r="N47" s="108" t="n">
        <v>0.02116</v>
      </c>
      <c r="O47" s="107" t="n">
        <f aca="false">SUM(I47:M47)</f>
        <v>0.0495516129032258</v>
      </c>
      <c r="P47" s="109" t="n">
        <v>68972</v>
      </c>
      <c r="Q47" s="104" t="n">
        <v>1000</v>
      </c>
      <c r="R47" s="38" t="s">
        <v>215</v>
      </c>
      <c r="S47" s="110" t="n">
        <f aca="false">I47*I$1*Q47</f>
        <v>1058.7</v>
      </c>
      <c r="T47" s="110"/>
      <c r="U47" s="111" t="n">
        <v>346509</v>
      </c>
      <c r="V47" s="38" t="s">
        <v>216</v>
      </c>
      <c r="W47" s="112"/>
      <c r="X47" s="112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13"/>
      <c r="ER47" s="113"/>
      <c r="ES47" s="113"/>
      <c r="ET47" s="113"/>
      <c r="EU47" s="113"/>
      <c r="EV47" s="113"/>
      <c r="EW47" s="113"/>
      <c r="EX47" s="113"/>
      <c r="EY47" s="113"/>
      <c r="EZ47" s="113"/>
      <c r="FA47" s="113"/>
      <c r="FB47" s="113"/>
      <c r="FC47" s="113"/>
      <c r="FD47" s="113"/>
      <c r="FE47" s="113"/>
      <c r="FF47" s="113"/>
      <c r="FG47" s="113"/>
      <c r="FH47" s="113"/>
      <c r="FI47" s="113"/>
      <c r="FJ47" s="113"/>
      <c r="FK47" s="113"/>
      <c r="FL47" s="113"/>
      <c r="FM47" s="113"/>
      <c r="FN47" s="113"/>
      <c r="FO47" s="113"/>
      <c r="FP47" s="113"/>
      <c r="FQ47" s="113"/>
      <c r="FR47" s="113"/>
      <c r="FS47" s="113"/>
      <c r="FT47" s="113"/>
      <c r="FU47" s="113"/>
      <c r="FV47" s="113"/>
      <c r="FW47" s="113"/>
      <c r="FX47" s="113"/>
      <c r="FY47" s="113"/>
      <c r="FZ47" s="113"/>
      <c r="GA47" s="113"/>
      <c r="GB47" s="113"/>
      <c r="GC47" s="113"/>
      <c r="GD47" s="113"/>
      <c r="GE47" s="113"/>
      <c r="GF47" s="113"/>
      <c r="GG47" s="113"/>
      <c r="GH47" s="113"/>
      <c r="GI47" s="113"/>
      <c r="GJ47" s="113"/>
      <c r="GK47" s="113"/>
      <c r="GL47" s="113"/>
      <c r="GM47" s="113"/>
      <c r="GN47" s="113"/>
      <c r="GO47" s="113"/>
      <c r="GP47" s="113"/>
      <c r="GQ47" s="113"/>
      <c r="GR47" s="113"/>
      <c r="GS47" s="113"/>
      <c r="GT47" s="113"/>
      <c r="GU47" s="113"/>
      <c r="GV47" s="113"/>
      <c r="GW47" s="113"/>
      <c r="GX47" s="113"/>
      <c r="GY47" s="113"/>
      <c r="GZ47" s="113"/>
      <c r="HA47" s="113"/>
      <c r="HB47" s="113"/>
      <c r="HC47" s="113"/>
      <c r="HD47" s="113"/>
      <c r="HE47" s="113"/>
      <c r="HF47" s="113"/>
      <c r="HG47" s="113"/>
      <c r="HH47" s="113"/>
      <c r="HI47" s="113"/>
      <c r="HJ47" s="113"/>
      <c r="HK47" s="113"/>
      <c r="HL47" s="113"/>
      <c r="HM47" s="113"/>
      <c r="HN47" s="113"/>
      <c r="HO47" s="113"/>
      <c r="HP47" s="113"/>
      <c r="HQ47" s="113"/>
      <c r="HR47" s="113"/>
      <c r="HS47" s="113"/>
      <c r="HT47" s="113"/>
      <c r="HU47" s="113"/>
      <c r="HV47" s="113"/>
      <c r="HW47" s="113"/>
      <c r="HX47" s="113"/>
      <c r="HY47" s="113"/>
      <c r="HZ47" s="113"/>
      <c r="IA47" s="113"/>
      <c r="IB47" s="113"/>
      <c r="IC47" s="113"/>
      <c r="ID47" s="113"/>
      <c r="IE47" s="113"/>
      <c r="IF47" s="113"/>
      <c r="IG47" s="113"/>
      <c r="IH47" s="113"/>
      <c r="II47" s="113"/>
      <c r="IJ47" s="113"/>
      <c r="IK47" s="113"/>
      <c r="IL47" s="113"/>
      <c r="IM47" s="113"/>
      <c r="IN47" s="113"/>
      <c r="IO47" s="113"/>
      <c r="IP47" s="113"/>
      <c r="IQ47" s="113"/>
      <c r="IR47" s="113"/>
      <c r="IS47" s="113"/>
      <c r="IT47" s="113"/>
      <c r="IU47" s="113"/>
      <c r="IV47" s="113"/>
      <c r="IW47" s="113"/>
    </row>
    <row r="48" customFormat="false" ht="12.75" hidden="false" customHeight="false" outlineLevel="0" collapsed="false">
      <c r="A48" s="38" t="s">
        <v>149</v>
      </c>
      <c r="B48" s="104" t="s">
        <v>134</v>
      </c>
      <c r="C48" s="128" t="s">
        <v>46</v>
      </c>
      <c r="D48" s="128" t="n">
        <v>36739</v>
      </c>
      <c r="E48" s="129" t="n">
        <v>36769</v>
      </c>
      <c r="F48" s="129" t="s">
        <v>193</v>
      </c>
      <c r="G48" s="130" t="s">
        <v>194</v>
      </c>
      <c r="H48" s="130" t="s">
        <v>210</v>
      </c>
      <c r="I48" s="131" t="n">
        <f aca="false">0.47/I1</f>
        <v>0.0151612903225806</v>
      </c>
      <c r="J48" s="132" t="n">
        <f aca="false">0.47/31</f>
        <v>0.0151612903225806</v>
      </c>
      <c r="K48" s="133"/>
      <c r="L48" s="133"/>
      <c r="M48" s="133"/>
      <c r="N48" s="133"/>
      <c r="O48" s="134"/>
      <c r="P48" s="135" t="n">
        <v>68965</v>
      </c>
      <c r="Q48" s="104" t="n">
        <v>20000</v>
      </c>
      <c r="R48" s="128"/>
      <c r="S48" s="110" t="n">
        <f aca="false">I48*I$1*Q48</f>
        <v>9400</v>
      </c>
      <c r="T48" s="136"/>
      <c r="U48" s="137" t="n">
        <v>346396</v>
      </c>
      <c r="V48" s="138"/>
      <c r="W48" s="130"/>
      <c r="X48" s="135"/>
      <c r="Y48" s="135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39"/>
      <c r="CX48" s="139"/>
      <c r="CY48" s="139"/>
      <c r="CZ48" s="139"/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39"/>
      <c r="DV48" s="139"/>
      <c r="DW48" s="139"/>
      <c r="DX48" s="139"/>
      <c r="DY48" s="139"/>
      <c r="DZ48" s="139"/>
      <c r="EA48" s="139"/>
      <c r="EB48" s="139"/>
      <c r="EC48" s="139"/>
      <c r="ED48" s="139"/>
      <c r="EE48" s="139"/>
      <c r="EF48" s="139"/>
      <c r="EG48" s="139"/>
      <c r="EH48" s="139"/>
      <c r="EI48" s="139"/>
      <c r="EJ48" s="139"/>
      <c r="EK48" s="139"/>
      <c r="EL48" s="139"/>
      <c r="EM48" s="139"/>
      <c r="EN48" s="139"/>
      <c r="EO48" s="139"/>
      <c r="EP48" s="139"/>
      <c r="EQ48" s="139"/>
      <c r="ER48" s="139"/>
      <c r="ES48" s="139"/>
      <c r="ET48" s="139"/>
      <c r="EU48" s="139"/>
      <c r="EV48" s="139"/>
      <c r="EW48" s="139"/>
      <c r="EX48" s="139"/>
      <c r="EY48" s="139"/>
      <c r="EZ48" s="139"/>
      <c r="FA48" s="139"/>
      <c r="FB48" s="139"/>
      <c r="FC48" s="139"/>
      <c r="FD48" s="139"/>
      <c r="FE48" s="139"/>
      <c r="FF48" s="139"/>
      <c r="FG48" s="139"/>
      <c r="FH48" s="139"/>
      <c r="FI48" s="139"/>
      <c r="FJ48" s="139"/>
      <c r="FK48" s="139"/>
      <c r="FL48" s="139"/>
      <c r="FM48" s="139"/>
      <c r="FN48" s="139"/>
      <c r="FO48" s="139"/>
      <c r="FP48" s="139"/>
      <c r="FQ48" s="139"/>
      <c r="FR48" s="139"/>
      <c r="FS48" s="139"/>
      <c r="FT48" s="139"/>
      <c r="FU48" s="139"/>
      <c r="FV48" s="139"/>
      <c r="FW48" s="139"/>
      <c r="FX48" s="139"/>
      <c r="FY48" s="139"/>
      <c r="FZ48" s="139"/>
      <c r="GA48" s="139"/>
      <c r="GB48" s="139"/>
      <c r="GC48" s="139"/>
      <c r="GD48" s="139"/>
      <c r="GE48" s="139"/>
      <c r="GF48" s="139"/>
      <c r="GG48" s="139"/>
      <c r="GH48" s="139"/>
      <c r="GI48" s="139"/>
      <c r="GJ48" s="139"/>
      <c r="GK48" s="139"/>
      <c r="GL48" s="139"/>
      <c r="GM48" s="139"/>
      <c r="GN48" s="139"/>
      <c r="GO48" s="139"/>
      <c r="GP48" s="139"/>
      <c r="GQ48" s="139"/>
      <c r="GR48" s="139"/>
      <c r="GS48" s="139"/>
      <c r="GT48" s="139"/>
      <c r="GU48" s="139"/>
      <c r="GV48" s="139"/>
      <c r="GW48" s="139"/>
      <c r="GX48" s="139"/>
      <c r="GY48" s="139"/>
      <c r="GZ48" s="139"/>
      <c r="HA48" s="139"/>
      <c r="HB48" s="139"/>
      <c r="HC48" s="139"/>
      <c r="HD48" s="139"/>
      <c r="HE48" s="139"/>
      <c r="HF48" s="139"/>
      <c r="HG48" s="139"/>
      <c r="HH48" s="139"/>
      <c r="HI48" s="139"/>
      <c r="HJ48" s="139"/>
      <c r="HK48" s="139"/>
      <c r="HL48" s="139"/>
      <c r="HM48" s="139"/>
      <c r="HN48" s="139"/>
      <c r="HO48" s="139"/>
      <c r="HP48" s="139"/>
      <c r="HQ48" s="139"/>
      <c r="HR48" s="139"/>
      <c r="HS48" s="139"/>
      <c r="HT48" s="139"/>
      <c r="HU48" s="139"/>
      <c r="HV48" s="139"/>
      <c r="HW48" s="139"/>
      <c r="HX48" s="139"/>
      <c r="HY48" s="139"/>
      <c r="HZ48" s="139"/>
      <c r="IA48" s="139"/>
      <c r="IB48" s="139"/>
      <c r="IC48" s="139"/>
      <c r="ID48" s="139"/>
      <c r="IE48" s="139"/>
      <c r="IF48" s="139"/>
      <c r="IG48" s="139"/>
      <c r="IH48" s="139"/>
      <c r="II48" s="139"/>
      <c r="IJ48" s="139"/>
      <c r="IK48" s="139"/>
      <c r="IL48" s="139"/>
      <c r="IM48" s="139"/>
      <c r="IN48" s="139"/>
      <c r="IO48" s="139"/>
      <c r="IP48" s="139"/>
      <c r="IQ48" s="139"/>
      <c r="IR48" s="139"/>
      <c r="IS48" s="139"/>
      <c r="IT48" s="139"/>
      <c r="IU48" s="139"/>
      <c r="IV48" s="139"/>
      <c r="IW48" s="139"/>
    </row>
    <row r="49" customFormat="false" ht="12.75" hidden="false" customHeight="false" outlineLevel="0" collapsed="false">
      <c r="A49" s="15" t="s">
        <v>217</v>
      </c>
      <c r="B49" s="16" t="s">
        <v>134</v>
      </c>
      <c r="C49" s="16" t="s">
        <v>218</v>
      </c>
      <c r="D49" s="17" t="n">
        <v>36434</v>
      </c>
      <c r="E49" s="17" t="n">
        <v>36714</v>
      </c>
      <c r="F49" s="15" t="s">
        <v>219</v>
      </c>
      <c r="G49" s="15" t="s">
        <v>218</v>
      </c>
      <c r="H49" s="16"/>
      <c r="I49" s="19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5" t="n">
        <v>0</v>
      </c>
      <c r="O49" s="20" t="n">
        <f aca="false">SUM(I49:M49)</f>
        <v>0</v>
      </c>
      <c r="P49" s="22"/>
      <c r="Q49" s="16" t="n">
        <v>40000</v>
      </c>
      <c r="R49" s="15" t="s">
        <v>220</v>
      </c>
      <c r="S49" s="23" t="n">
        <f aca="false">I49*I$1*Q49</f>
        <v>0</v>
      </c>
      <c r="T49" s="23"/>
      <c r="U49" s="26"/>
      <c r="V49" s="24"/>
      <c r="W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5"/>
      <c r="B50" s="16"/>
      <c r="C50" s="16"/>
      <c r="D50" s="17"/>
      <c r="E50" s="17"/>
      <c r="F50" s="15"/>
      <c r="G50" s="15"/>
      <c r="H50" s="16"/>
      <c r="I50" s="19"/>
      <c r="J50" s="20"/>
      <c r="K50" s="20"/>
      <c r="L50" s="20"/>
      <c r="M50" s="20"/>
      <c r="N50" s="25"/>
      <c r="O50" s="20"/>
      <c r="P50" s="22"/>
      <c r="Q50" s="16"/>
      <c r="R50" s="15"/>
      <c r="S50" s="23"/>
      <c r="T50" s="23"/>
      <c r="U50" s="26"/>
      <c r="V50" s="24"/>
      <c r="W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5"/>
      <c r="B51" s="16"/>
      <c r="C51" s="16"/>
      <c r="D51" s="140"/>
      <c r="E51" s="17"/>
      <c r="F51" s="15"/>
      <c r="G51" s="15"/>
      <c r="H51" s="16"/>
      <c r="I51" s="19"/>
      <c r="J51" s="20"/>
      <c r="K51" s="20"/>
      <c r="L51" s="20"/>
      <c r="M51" s="20"/>
      <c r="N51" s="25"/>
      <c r="O51" s="20"/>
      <c r="P51" s="22"/>
      <c r="Q51" s="69" t="n">
        <f aca="false">SUM(Q36:Q50)</f>
        <v>126828</v>
      </c>
      <c r="R51" s="85" t="s">
        <v>164</v>
      </c>
      <c r="S51" s="91" t="n">
        <f aca="false">SUM(S35:S50)</f>
        <v>260593.785</v>
      </c>
      <c r="T51" s="23"/>
      <c r="U51" s="26"/>
      <c r="V51" s="24"/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5"/>
      <c r="B52" s="16"/>
      <c r="C52" s="16"/>
      <c r="D52" s="17"/>
      <c r="E52" s="17"/>
      <c r="F52" s="15"/>
      <c r="G52" s="15"/>
      <c r="H52" s="16"/>
      <c r="I52" s="19"/>
      <c r="J52" s="20"/>
      <c r="K52" s="20"/>
      <c r="L52" s="20"/>
      <c r="M52" s="20"/>
      <c r="N52" s="25"/>
      <c r="O52" s="20"/>
      <c r="P52" s="22"/>
      <c r="Q52" s="71"/>
      <c r="R52" s="85" t="s">
        <v>165</v>
      </c>
      <c r="S52" s="91" t="n">
        <f aca="false">SUM(S42:S45)</f>
        <v>45185.805</v>
      </c>
      <c r="T52" s="23"/>
      <c r="U52" s="26"/>
      <c r="V52" s="24"/>
      <c r="W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3.5" hidden="false" customHeight="false" outlineLevel="0" collapsed="false">
      <c r="A53" s="15"/>
      <c r="B53" s="16"/>
      <c r="C53" s="16"/>
      <c r="D53" s="17"/>
      <c r="E53" s="17"/>
      <c r="F53" s="15"/>
      <c r="G53" s="15"/>
      <c r="H53" s="16"/>
      <c r="I53" s="19"/>
      <c r="J53" s="20"/>
      <c r="K53" s="20"/>
      <c r="L53" s="20"/>
      <c r="M53" s="20"/>
      <c r="N53" s="25"/>
      <c r="O53" s="20"/>
      <c r="P53" s="22"/>
      <c r="Q53" s="71"/>
      <c r="R53" s="85" t="s">
        <v>166</v>
      </c>
      <c r="S53" s="92" t="n">
        <f aca="false">+S51-S52</f>
        <v>215407.98</v>
      </c>
      <c r="T53" s="23"/>
      <c r="U53" s="26"/>
      <c r="V53" s="24"/>
      <c r="W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3.5" hidden="false" customHeight="false" outlineLevel="0" collapsed="false">
      <c r="A54" s="15"/>
      <c r="B54" s="16"/>
      <c r="C54" s="16"/>
      <c r="D54" s="17"/>
      <c r="E54" s="17"/>
      <c r="F54" s="15"/>
      <c r="G54" s="15"/>
      <c r="H54" s="16"/>
      <c r="I54" s="19"/>
      <c r="J54" s="20"/>
      <c r="K54" s="20"/>
      <c r="L54" s="20"/>
      <c r="M54" s="20"/>
      <c r="N54" s="25"/>
      <c r="O54" s="20"/>
      <c r="P54" s="22"/>
      <c r="Q54" s="16"/>
      <c r="R54" s="15"/>
      <c r="S54" s="23"/>
      <c r="T54" s="23"/>
      <c r="U54" s="26"/>
      <c r="V54" s="24"/>
      <c r="W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41" t="s">
        <v>108</v>
      </c>
      <c r="B55" s="142" t="s">
        <v>109</v>
      </c>
      <c r="C55" s="142" t="s">
        <v>110</v>
      </c>
      <c r="D55" s="143" t="s">
        <v>111</v>
      </c>
      <c r="E55" s="143"/>
      <c r="F55" s="141" t="s">
        <v>112</v>
      </c>
      <c r="G55" s="141" t="s">
        <v>113</v>
      </c>
      <c r="H55" s="142" t="s">
        <v>221</v>
      </c>
      <c r="I55" s="144" t="s">
        <v>115</v>
      </c>
      <c r="J55" s="142" t="s">
        <v>116</v>
      </c>
      <c r="K55" s="142" t="s">
        <v>117</v>
      </c>
      <c r="L55" s="142" t="s">
        <v>118</v>
      </c>
      <c r="M55" s="142" t="s">
        <v>119</v>
      </c>
      <c r="N55" s="145" t="s">
        <v>120</v>
      </c>
      <c r="O55" s="142" t="s">
        <v>121</v>
      </c>
      <c r="P55" s="146" t="s">
        <v>147</v>
      </c>
      <c r="Q55" s="142" t="s">
        <v>123</v>
      </c>
      <c r="R55" s="141" t="s">
        <v>124</v>
      </c>
      <c r="S55" s="99" t="s">
        <v>125</v>
      </c>
      <c r="T55" s="99" t="s">
        <v>126</v>
      </c>
      <c r="U55" s="147" t="s">
        <v>148</v>
      </c>
      <c r="V55" s="102"/>
      <c r="W55" s="102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  <c r="DO55" s="148"/>
      <c r="DP55" s="148"/>
      <c r="DQ55" s="148"/>
      <c r="DR55" s="148"/>
      <c r="DS55" s="148"/>
      <c r="DT55" s="148"/>
      <c r="DU55" s="148"/>
      <c r="DV55" s="148"/>
      <c r="DW55" s="148"/>
      <c r="DX55" s="148"/>
      <c r="DY55" s="148"/>
      <c r="DZ55" s="148"/>
      <c r="EA55" s="148"/>
      <c r="EB55" s="148"/>
      <c r="EC55" s="148"/>
      <c r="ED55" s="148"/>
      <c r="EE55" s="148"/>
      <c r="EF55" s="148"/>
      <c r="EG55" s="148"/>
      <c r="EH55" s="148"/>
      <c r="EI55" s="148"/>
      <c r="EJ55" s="148"/>
      <c r="EK55" s="148"/>
      <c r="EL55" s="148"/>
      <c r="EM55" s="148"/>
      <c r="EN55" s="148"/>
      <c r="EO55" s="148"/>
      <c r="EP55" s="148"/>
      <c r="EQ55" s="148"/>
      <c r="ER55" s="148"/>
      <c r="ES55" s="148"/>
      <c r="ET55" s="148"/>
      <c r="EU55" s="148"/>
      <c r="EV55" s="148"/>
      <c r="EW55" s="148"/>
      <c r="EX55" s="148"/>
      <c r="EY55" s="148"/>
      <c r="EZ55" s="148"/>
      <c r="FA55" s="148"/>
      <c r="FB55" s="148"/>
      <c r="FC55" s="148"/>
      <c r="FD55" s="148"/>
      <c r="FE55" s="148"/>
      <c r="FF55" s="148"/>
      <c r="FG55" s="148"/>
      <c r="FH55" s="148"/>
      <c r="FI55" s="148"/>
      <c r="FJ55" s="148"/>
      <c r="FK55" s="148"/>
      <c r="FL55" s="148"/>
      <c r="FM55" s="148"/>
      <c r="FN55" s="148"/>
      <c r="FO55" s="148"/>
      <c r="FP55" s="148"/>
      <c r="FQ55" s="148"/>
      <c r="FR55" s="148"/>
      <c r="FS55" s="148"/>
      <c r="FT55" s="148"/>
      <c r="FU55" s="148"/>
      <c r="FV55" s="148"/>
      <c r="FW55" s="148"/>
      <c r="FX55" s="148"/>
      <c r="FY55" s="148"/>
      <c r="FZ55" s="148"/>
      <c r="GA55" s="148"/>
      <c r="GB55" s="148"/>
      <c r="GC55" s="148"/>
      <c r="GD55" s="148"/>
      <c r="GE55" s="148"/>
      <c r="GF55" s="148"/>
      <c r="GG55" s="148"/>
      <c r="GH55" s="148"/>
      <c r="GI55" s="148"/>
      <c r="GJ55" s="148"/>
      <c r="GK55" s="148"/>
      <c r="GL55" s="148"/>
      <c r="GM55" s="148"/>
      <c r="GN55" s="148"/>
      <c r="GO55" s="148"/>
      <c r="GP55" s="148"/>
      <c r="GQ55" s="148"/>
      <c r="GR55" s="148"/>
      <c r="GS55" s="148"/>
      <c r="GT55" s="148"/>
      <c r="GU55" s="148"/>
      <c r="GV55" s="148"/>
      <c r="GW55" s="148"/>
      <c r="GX55" s="148"/>
      <c r="GY55" s="148"/>
      <c r="GZ55" s="148"/>
      <c r="HA55" s="148"/>
      <c r="HB55" s="148"/>
      <c r="HC55" s="148"/>
      <c r="HD55" s="148"/>
      <c r="HE55" s="148"/>
      <c r="HF55" s="148"/>
      <c r="HG55" s="148"/>
      <c r="HH55" s="148"/>
      <c r="HI55" s="148"/>
      <c r="HJ55" s="148"/>
      <c r="HK55" s="148"/>
      <c r="HL55" s="148"/>
      <c r="HM55" s="148"/>
      <c r="HN55" s="148"/>
      <c r="HO55" s="148"/>
      <c r="HP55" s="148"/>
      <c r="HQ55" s="148"/>
      <c r="HR55" s="148"/>
      <c r="HS55" s="148"/>
      <c r="HT55" s="148"/>
      <c r="HU55" s="148"/>
      <c r="HV55" s="148"/>
      <c r="HW55" s="148"/>
      <c r="HX55" s="148"/>
      <c r="HY55" s="148"/>
      <c r="HZ55" s="148"/>
      <c r="IA55" s="148"/>
      <c r="IB55" s="148"/>
      <c r="IC55" s="148"/>
      <c r="ID55" s="148"/>
      <c r="IE55" s="148"/>
      <c r="IF55" s="148"/>
      <c r="IG55" s="148"/>
      <c r="IH55" s="148"/>
      <c r="II55" s="148"/>
      <c r="IJ55" s="148"/>
      <c r="IK55" s="148"/>
      <c r="IL55" s="148"/>
      <c r="IM55" s="148"/>
      <c r="IN55" s="148"/>
      <c r="IO55" s="148"/>
      <c r="IP55" s="148"/>
      <c r="IQ55" s="148"/>
      <c r="IR55" s="148"/>
      <c r="IS55" s="148"/>
      <c r="IT55" s="148"/>
      <c r="IU55" s="148"/>
      <c r="IV55" s="148"/>
      <c r="IW55" s="148"/>
    </row>
    <row r="56" customFormat="false" ht="12.75" hidden="false" customHeight="false" outlineLevel="0" collapsed="false">
      <c r="A56" s="15" t="s">
        <v>167</v>
      </c>
      <c r="B56" s="15" t="s">
        <v>222</v>
      </c>
      <c r="C56" s="16" t="s">
        <v>223</v>
      </c>
      <c r="D56" s="17" t="n">
        <v>36631</v>
      </c>
      <c r="E56" s="17" t="n">
        <v>36981</v>
      </c>
      <c r="F56" s="15" t="s">
        <v>224</v>
      </c>
      <c r="G56" s="15"/>
      <c r="H56" s="16" t="s">
        <v>225</v>
      </c>
      <c r="I56" s="19" t="n">
        <v>0.65</v>
      </c>
      <c r="J56" s="20" t="n">
        <v>0</v>
      </c>
      <c r="K56" s="20" t="n">
        <v>0.0022</v>
      </c>
      <c r="L56" s="20" t="n">
        <v>0.0072</v>
      </c>
      <c r="M56" s="20" t="n">
        <v>0.0131</v>
      </c>
      <c r="N56" s="25" t="n">
        <v>0</v>
      </c>
      <c r="O56" s="20" t="n">
        <f aca="false">SUM(I56:M56)</f>
        <v>0.6725</v>
      </c>
      <c r="P56" s="22" t="s">
        <v>226</v>
      </c>
      <c r="Q56" s="16" t="n">
        <v>36000</v>
      </c>
      <c r="R56" s="15" t="s">
        <v>227</v>
      </c>
      <c r="S56" s="23" t="n">
        <f aca="false">+Q56*I56</f>
        <v>23400</v>
      </c>
      <c r="T56" s="23"/>
      <c r="U56" s="26" t="n">
        <v>247741</v>
      </c>
      <c r="V56" s="24"/>
      <c r="W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5"/>
      <c r="B57" s="16"/>
      <c r="C57" s="16"/>
      <c r="D57" s="17"/>
      <c r="E57" s="17"/>
      <c r="F57" s="15"/>
      <c r="G57" s="15"/>
      <c r="H57" s="16"/>
      <c r="I57" s="19"/>
      <c r="J57" s="20"/>
      <c r="K57" s="20"/>
      <c r="L57" s="20"/>
      <c r="M57" s="20"/>
      <c r="N57" s="25"/>
      <c r="O57" s="20"/>
      <c r="P57" s="22"/>
      <c r="Q57" s="16"/>
      <c r="R57" s="15"/>
      <c r="S57" s="23"/>
      <c r="T57" s="23"/>
      <c r="U57" s="26"/>
      <c r="V57" s="24"/>
      <c r="W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5"/>
      <c r="B58" s="16"/>
      <c r="C58" s="16"/>
      <c r="D58" s="17"/>
      <c r="E58" s="17"/>
      <c r="F58" s="15"/>
      <c r="G58" s="15"/>
      <c r="H58" s="16"/>
      <c r="I58" s="19"/>
      <c r="J58" s="20"/>
      <c r="K58" s="20"/>
      <c r="L58" s="20"/>
      <c r="M58" s="20"/>
      <c r="N58" s="25"/>
      <c r="O58" s="20"/>
      <c r="P58" s="22"/>
      <c r="Q58" s="69" t="n">
        <f aca="false">SUM(Q56:Q57)</f>
        <v>36000</v>
      </c>
      <c r="R58" s="85" t="s">
        <v>164</v>
      </c>
      <c r="S58" s="91" t="n">
        <f aca="false">SUM(S56:S57)</f>
        <v>23400</v>
      </c>
      <c r="T58" s="23"/>
      <c r="U58" s="26"/>
      <c r="V58" s="24"/>
      <c r="W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5"/>
      <c r="B59" s="16"/>
      <c r="C59" s="16"/>
      <c r="D59" s="17"/>
      <c r="E59" s="17"/>
      <c r="F59" s="15"/>
      <c r="G59" s="15"/>
      <c r="H59" s="16"/>
      <c r="I59" s="19"/>
      <c r="J59" s="20"/>
      <c r="K59" s="20"/>
      <c r="L59" s="20"/>
      <c r="M59" s="20"/>
      <c r="N59" s="25"/>
      <c r="O59" s="20"/>
      <c r="P59" s="22"/>
      <c r="Q59" s="71"/>
      <c r="R59" s="85" t="s">
        <v>165</v>
      </c>
      <c r="S59" s="91" t="n">
        <v>0</v>
      </c>
      <c r="T59" s="23"/>
      <c r="U59" s="26"/>
      <c r="V59" s="24"/>
      <c r="W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3.5" hidden="false" customHeight="false" outlineLevel="0" collapsed="false">
      <c r="A60" s="15"/>
      <c r="B60" s="16"/>
      <c r="C60" s="16"/>
      <c r="D60" s="17"/>
      <c r="E60" s="17"/>
      <c r="F60" s="15"/>
      <c r="G60" s="15"/>
      <c r="H60" s="16"/>
      <c r="I60" s="19"/>
      <c r="J60" s="20"/>
      <c r="K60" s="20"/>
      <c r="L60" s="20"/>
      <c r="M60" s="20"/>
      <c r="N60" s="25"/>
      <c r="O60" s="20"/>
      <c r="P60" s="22"/>
      <c r="Q60" s="71"/>
      <c r="R60" s="85" t="s">
        <v>166</v>
      </c>
      <c r="S60" s="149" t="n">
        <f aca="false">+S58-S59</f>
        <v>23400</v>
      </c>
      <c r="T60" s="23"/>
      <c r="U60" s="26"/>
      <c r="V60" s="24"/>
      <c r="W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3.5" hidden="false" customHeight="false" outlineLevel="0" collapsed="false">
      <c r="A61" s="15"/>
      <c r="B61" s="16"/>
      <c r="C61" s="16"/>
      <c r="D61" s="17"/>
      <c r="E61" s="17"/>
      <c r="F61" s="15"/>
      <c r="G61" s="15"/>
      <c r="H61" s="16"/>
      <c r="I61" s="19"/>
      <c r="J61" s="20"/>
      <c r="K61" s="20"/>
      <c r="L61" s="20"/>
      <c r="M61" s="20"/>
      <c r="N61" s="25"/>
      <c r="O61" s="20"/>
      <c r="P61" s="22"/>
      <c r="Q61" s="16"/>
      <c r="R61" s="15"/>
      <c r="S61" s="23"/>
      <c r="T61" s="23"/>
      <c r="U61" s="26"/>
      <c r="V61" s="24"/>
      <c r="W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48" t="s">
        <v>108</v>
      </c>
      <c r="B62" s="49" t="s">
        <v>109</v>
      </c>
      <c r="C62" s="49" t="s">
        <v>110</v>
      </c>
      <c r="D62" s="50" t="s">
        <v>111</v>
      </c>
      <c r="E62" s="50"/>
      <c r="F62" s="48" t="s">
        <v>112</v>
      </c>
      <c r="G62" s="48" t="s">
        <v>113</v>
      </c>
      <c r="H62" s="49" t="s">
        <v>221</v>
      </c>
      <c r="I62" s="51" t="s">
        <v>115</v>
      </c>
      <c r="J62" s="49" t="s">
        <v>116</v>
      </c>
      <c r="K62" s="49" t="s">
        <v>117</v>
      </c>
      <c r="L62" s="49" t="s">
        <v>118</v>
      </c>
      <c r="M62" s="49" t="s">
        <v>119</v>
      </c>
      <c r="N62" s="52" t="s">
        <v>120</v>
      </c>
      <c r="O62" s="49" t="s">
        <v>121</v>
      </c>
      <c r="P62" s="74" t="s">
        <v>147</v>
      </c>
      <c r="Q62" s="49" t="s">
        <v>123</v>
      </c>
      <c r="R62" s="48" t="s">
        <v>124</v>
      </c>
      <c r="S62" s="75" t="s">
        <v>125</v>
      </c>
      <c r="T62" s="54" t="s">
        <v>126</v>
      </c>
      <c r="U62" s="55" t="s">
        <v>148</v>
      </c>
      <c r="V62" s="24"/>
      <c r="W62" s="24"/>
    </row>
    <row r="63" customFormat="false" ht="12.75" hidden="false" customHeight="false" outlineLevel="0" collapsed="false">
      <c r="A63" s="15" t="s">
        <v>52</v>
      </c>
      <c r="B63" s="16" t="s">
        <v>228</v>
      </c>
      <c r="C63" s="16" t="s">
        <v>228</v>
      </c>
      <c r="D63" s="17" t="n">
        <v>36100</v>
      </c>
      <c r="E63" s="17" t="n">
        <v>39022</v>
      </c>
      <c r="F63" s="15" t="n">
        <v>1</v>
      </c>
      <c r="G63" s="15" t="n">
        <v>2</v>
      </c>
      <c r="H63" s="16" t="s">
        <v>170</v>
      </c>
      <c r="I63" s="19" t="n">
        <f aca="false">(14.1123+0.2)/I$1</f>
        <v>0.461687096774194</v>
      </c>
      <c r="J63" s="20" t="n">
        <v>0.0054</v>
      </c>
      <c r="K63" s="20" t="n">
        <v>0.0022</v>
      </c>
      <c r="L63" s="20" t="n">
        <v>0.0075</v>
      </c>
      <c r="M63" s="20" t="n">
        <v>0.0012</v>
      </c>
      <c r="N63" s="21" t="n">
        <v>0.007</v>
      </c>
      <c r="O63" s="20" t="n">
        <f aca="false">SUM(I63:M63)</f>
        <v>0.477987096774194</v>
      </c>
      <c r="P63" s="22" t="s">
        <v>229</v>
      </c>
      <c r="Q63" s="16" t="n">
        <v>2017</v>
      </c>
      <c r="R63" s="15" t="s">
        <v>230</v>
      </c>
      <c r="S63" s="23" t="n">
        <f aca="false">I63*I$1*Q63</f>
        <v>28867.9091</v>
      </c>
      <c r="T63" s="23"/>
      <c r="U63" s="24" t="n">
        <v>77758</v>
      </c>
      <c r="V63" s="24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15" t="s">
        <v>52</v>
      </c>
      <c r="B64" s="16" t="s">
        <v>228</v>
      </c>
      <c r="C64" s="16" t="s">
        <v>231</v>
      </c>
      <c r="D64" s="17" t="n">
        <v>36100</v>
      </c>
      <c r="E64" s="17" t="n">
        <v>39539</v>
      </c>
      <c r="F64" s="15" t="s">
        <v>232</v>
      </c>
      <c r="G64" s="15" t="s">
        <v>233</v>
      </c>
      <c r="H64" s="16" t="s">
        <v>1</v>
      </c>
      <c r="I64" s="19" t="n">
        <f aca="false">(8.5058)/I$1</f>
        <v>0.27438064516129</v>
      </c>
      <c r="J64" s="20" t="n">
        <v>0.003</v>
      </c>
      <c r="K64" s="20" t="n">
        <v>0.0022</v>
      </c>
      <c r="L64" s="20" t="n">
        <v>0</v>
      </c>
      <c r="M64" s="20" t="n">
        <v>0.0007</v>
      </c>
      <c r="N64" s="21" t="n">
        <v>0</v>
      </c>
      <c r="O64" s="20" t="n">
        <f aca="false">SUM(I64:M64)</f>
        <v>0.28028064516129</v>
      </c>
      <c r="P64" s="22" t="s">
        <v>234</v>
      </c>
      <c r="Q64" s="16" t="n">
        <v>35465</v>
      </c>
      <c r="R64" s="15" t="s">
        <v>235</v>
      </c>
      <c r="S64" s="23" t="n">
        <f aca="false">I64*I$1*Q64</f>
        <v>301658.197</v>
      </c>
      <c r="T64" s="23"/>
      <c r="U64" s="24" t="n">
        <v>77729</v>
      </c>
      <c r="V64" s="24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false" customHeight="false" outlineLevel="0" collapsed="false">
      <c r="A65" s="15"/>
      <c r="B65" s="16"/>
      <c r="C65" s="16"/>
      <c r="D65" s="17"/>
      <c r="E65" s="17"/>
      <c r="F65" s="15"/>
      <c r="G65" s="15"/>
      <c r="H65" s="16"/>
      <c r="I65" s="19"/>
      <c r="J65" s="20"/>
      <c r="K65" s="20"/>
      <c r="L65" s="20"/>
      <c r="M65" s="20"/>
      <c r="N65" s="21"/>
      <c r="O65" s="20"/>
      <c r="P65" s="22"/>
      <c r="Q65" s="16"/>
      <c r="R65" s="15"/>
      <c r="S65" s="23"/>
      <c r="T65" s="23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false" outlineLevel="0" collapsed="false">
      <c r="A66" s="15"/>
      <c r="B66" s="16"/>
      <c r="C66" s="16"/>
      <c r="D66" s="17"/>
      <c r="E66" s="17"/>
      <c r="F66" s="15"/>
      <c r="G66" s="15"/>
      <c r="H66" s="16"/>
      <c r="I66" s="19"/>
      <c r="J66" s="20"/>
      <c r="K66" s="20"/>
      <c r="L66" s="20"/>
      <c r="M66" s="20"/>
      <c r="N66" s="25"/>
      <c r="O66" s="20"/>
      <c r="P66" s="22"/>
      <c r="Q66" s="69" t="n">
        <f aca="false">SUM(Q63:Q65)</f>
        <v>37482</v>
      </c>
      <c r="R66" s="85" t="s">
        <v>164</v>
      </c>
      <c r="S66" s="91" t="n">
        <f aca="false">SUM(S63:S65)</f>
        <v>330526.1061</v>
      </c>
      <c r="T66" s="23"/>
      <c r="U66" s="26"/>
      <c r="V66" s="24"/>
      <c r="W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false" outlineLevel="0" collapsed="false">
      <c r="A67" s="15"/>
      <c r="B67" s="16"/>
      <c r="C67" s="16"/>
      <c r="D67" s="17"/>
      <c r="E67" s="17"/>
      <c r="F67" s="15"/>
      <c r="G67" s="15"/>
      <c r="H67" s="16"/>
      <c r="I67" s="19"/>
      <c r="J67" s="20"/>
      <c r="K67" s="20"/>
      <c r="L67" s="20"/>
      <c r="M67" s="20"/>
      <c r="N67" s="25"/>
      <c r="O67" s="20"/>
      <c r="P67" s="22"/>
      <c r="Q67" s="71"/>
      <c r="R67" s="85" t="s">
        <v>165</v>
      </c>
      <c r="S67" s="91" t="n">
        <f aca="false">SUM(S64)</f>
        <v>301658.197</v>
      </c>
      <c r="T67" s="23"/>
      <c r="U67" s="26"/>
      <c r="V67" s="24"/>
      <c r="W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3.5" hidden="false" customHeight="false" outlineLevel="0" collapsed="false">
      <c r="A68" s="15"/>
      <c r="B68" s="16"/>
      <c r="C68" s="16"/>
      <c r="D68" s="17"/>
      <c r="E68" s="17"/>
      <c r="F68" s="15"/>
      <c r="G68" s="15"/>
      <c r="H68" s="16"/>
      <c r="I68" s="19"/>
      <c r="J68" s="20"/>
      <c r="K68" s="20"/>
      <c r="L68" s="20"/>
      <c r="M68" s="20"/>
      <c r="N68" s="25"/>
      <c r="O68" s="20"/>
      <c r="P68" s="22"/>
      <c r="Q68" s="71"/>
      <c r="R68" s="85" t="s">
        <v>166</v>
      </c>
      <c r="S68" s="149" t="n">
        <f aca="false">+S66-S67</f>
        <v>28867.9091</v>
      </c>
      <c r="T68" s="23"/>
      <c r="U68" s="26"/>
      <c r="V68" s="24"/>
      <c r="W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3.5" hidden="false" customHeight="false" outlineLevel="0" collapsed="false">
      <c r="A69" s="15"/>
      <c r="B69" s="16"/>
      <c r="C69" s="16"/>
      <c r="D69" s="17"/>
      <c r="E69" s="17"/>
      <c r="F69" s="15"/>
      <c r="G69" s="15"/>
      <c r="H69" s="16"/>
      <c r="I69" s="19"/>
      <c r="J69" s="20"/>
      <c r="K69" s="20"/>
      <c r="L69" s="20"/>
      <c r="M69" s="20"/>
      <c r="N69" s="25"/>
      <c r="O69" s="20"/>
      <c r="P69" s="22"/>
      <c r="Q69" s="16"/>
      <c r="R69" s="15"/>
      <c r="S69" s="23"/>
      <c r="T69" s="23"/>
      <c r="U69" s="26"/>
      <c r="V69" s="24"/>
      <c r="W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false" customHeight="false" outlineLevel="0" collapsed="false">
      <c r="A70" s="141" t="s">
        <v>108</v>
      </c>
      <c r="B70" s="142" t="s">
        <v>109</v>
      </c>
      <c r="C70" s="142" t="s">
        <v>110</v>
      </c>
      <c r="D70" s="143" t="s">
        <v>111</v>
      </c>
      <c r="E70" s="143"/>
      <c r="F70" s="141" t="s">
        <v>112</v>
      </c>
      <c r="G70" s="141" t="s">
        <v>113</v>
      </c>
      <c r="H70" s="142" t="s">
        <v>114</v>
      </c>
      <c r="I70" s="144" t="s">
        <v>115</v>
      </c>
      <c r="J70" s="142" t="s">
        <v>116</v>
      </c>
      <c r="K70" s="142" t="s">
        <v>117</v>
      </c>
      <c r="L70" s="142" t="s">
        <v>118</v>
      </c>
      <c r="M70" s="142" t="s">
        <v>119</v>
      </c>
      <c r="N70" s="150" t="s">
        <v>120</v>
      </c>
      <c r="O70" s="142" t="s">
        <v>121</v>
      </c>
      <c r="P70" s="146" t="s">
        <v>122</v>
      </c>
      <c r="Q70" s="142" t="s">
        <v>123</v>
      </c>
      <c r="R70" s="141" t="s">
        <v>124</v>
      </c>
      <c r="S70" s="99" t="s">
        <v>236</v>
      </c>
      <c r="T70" s="99" t="s">
        <v>237</v>
      </c>
      <c r="U70" s="102"/>
      <c r="V70" s="102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  <c r="CP70" s="148"/>
      <c r="CQ70" s="148"/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  <c r="DB70" s="148"/>
      <c r="DC70" s="148"/>
      <c r="DD70" s="148"/>
      <c r="DE70" s="148"/>
      <c r="DF70" s="148"/>
      <c r="DG70" s="148"/>
      <c r="DH70" s="148"/>
      <c r="DI70" s="148"/>
      <c r="DJ70" s="148"/>
      <c r="DK70" s="148"/>
      <c r="DL70" s="148"/>
      <c r="DM70" s="148"/>
      <c r="DN70" s="148"/>
      <c r="DO70" s="148"/>
      <c r="DP70" s="148"/>
      <c r="DQ70" s="148"/>
      <c r="DR70" s="148"/>
      <c r="DS70" s="148"/>
      <c r="DT70" s="148"/>
      <c r="DU70" s="148"/>
      <c r="DV70" s="148"/>
      <c r="DW70" s="148"/>
      <c r="DX70" s="148"/>
      <c r="DY70" s="148"/>
      <c r="DZ70" s="148"/>
      <c r="EA70" s="148"/>
      <c r="EB70" s="148"/>
      <c r="EC70" s="148"/>
      <c r="ED70" s="148"/>
      <c r="EE70" s="148"/>
      <c r="EF70" s="148"/>
      <c r="EG70" s="148"/>
      <c r="EH70" s="148"/>
      <c r="EI70" s="148"/>
      <c r="EJ70" s="148"/>
      <c r="EK70" s="148"/>
      <c r="EL70" s="148"/>
      <c r="EM70" s="148"/>
      <c r="EN70" s="148"/>
      <c r="EO70" s="148"/>
      <c r="EP70" s="148"/>
      <c r="EQ70" s="148"/>
      <c r="ER70" s="148"/>
      <c r="ES70" s="148"/>
      <c r="ET70" s="148"/>
      <c r="EU70" s="148"/>
      <c r="EV70" s="148"/>
      <c r="EW70" s="148"/>
      <c r="EX70" s="148"/>
      <c r="EY70" s="148"/>
      <c r="EZ70" s="148"/>
      <c r="FA70" s="148"/>
      <c r="FB70" s="148"/>
      <c r="FC70" s="148"/>
      <c r="FD70" s="148"/>
      <c r="FE70" s="148"/>
      <c r="FF70" s="148"/>
      <c r="FG70" s="148"/>
      <c r="FH70" s="148"/>
      <c r="FI70" s="148"/>
      <c r="FJ70" s="148"/>
      <c r="FK70" s="148"/>
      <c r="FL70" s="148"/>
      <c r="FM70" s="148"/>
      <c r="FN70" s="148"/>
      <c r="FO70" s="148"/>
      <c r="FP70" s="148"/>
      <c r="FQ70" s="148"/>
      <c r="FR70" s="148"/>
      <c r="FS70" s="148"/>
      <c r="FT70" s="148"/>
      <c r="FU70" s="148"/>
      <c r="FV70" s="148"/>
      <c r="FW70" s="148"/>
      <c r="FX70" s="148"/>
      <c r="FY70" s="148"/>
      <c r="FZ70" s="148"/>
      <c r="GA70" s="148"/>
      <c r="GB70" s="148"/>
      <c r="GC70" s="148"/>
      <c r="GD70" s="148"/>
      <c r="GE70" s="148"/>
      <c r="GF70" s="148"/>
      <c r="GG70" s="148"/>
      <c r="GH70" s="148"/>
      <c r="GI70" s="148"/>
      <c r="GJ70" s="148"/>
      <c r="GK70" s="148"/>
      <c r="GL70" s="148"/>
      <c r="GM70" s="148"/>
      <c r="GN70" s="148"/>
      <c r="GO70" s="148"/>
      <c r="GP70" s="148"/>
      <c r="GQ70" s="148"/>
      <c r="GR70" s="148"/>
      <c r="GS70" s="148"/>
      <c r="GT70" s="148"/>
      <c r="GU70" s="148"/>
      <c r="GV70" s="148"/>
      <c r="GW70" s="148"/>
      <c r="GX70" s="148"/>
      <c r="GY70" s="148"/>
      <c r="GZ70" s="148"/>
      <c r="HA70" s="148"/>
      <c r="HB70" s="148"/>
      <c r="HC70" s="148"/>
      <c r="HD70" s="148"/>
      <c r="HE70" s="148"/>
      <c r="HF70" s="148"/>
      <c r="HG70" s="148"/>
      <c r="HH70" s="148"/>
      <c r="HI70" s="148"/>
      <c r="HJ70" s="148"/>
      <c r="HK70" s="148"/>
      <c r="HL70" s="148"/>
      <c r="HM70" s="148"/>
      <c r="HN70" s="148"/>
      <c r="HO70" s="148"/>
      <c r="HP70" s="148"/>
      <c r="HQ70" s="148"/>
      <c r="HR70" s="148"/>
      <c r="HS70" s="148"/>
      <c r="HT70" s="148"/>
      <c r="HU70" s="148"/>
      <c r="HV70" s="148"/>
      <c r="HW70" s="148"/>
      <c r="HX70" s="148"/>
      <c r="HY70" s="148"/>
      <c r="HZ70" s="148"/>
      <c r="IA70" s="148"/>
      <c r="IB70" s="148"/>
      <c r="IC70" s="148"/>
      <c r="ID70" s="148"/>
      <c r="IE70" s="148"/>
      <c r="IF70" s="148"/>
      <c r="IG70" s="148"/>
      <c r="IH70" s="148"/>
      <c r="II70" s="148"/>
      <c r="IJ70" s="148"/>
      <c r="IK70" s="148"/>
      <c r="IL70" s="148"/>
      <c r="IM70" s="148"/>
      <c r="IN70" s="148"/>
      <c r="IO70" s="148"/>
      <c r="IP70" s="148"/>
      <c r="IQ70" s="148"/>
      <c r="IR70" s="148"/>
      <c r="IS70" s="148"/>
      <c r="IT70" s="148"/>
      <c r="IU70" s="148"/>
      <c r="IV70" s="148"/>
      <c r="IW70" s="148"/>
    </row>
    <row r="71" customFormat="false" ht="12.75" hidden="false" customHeight="false" outlineLevel="0" collapsed="false">
      <c r="A71" s="15" t="s">
        <v>52</v>
      </c>
      <c r="B71" s="16" t="s">
        <v>238</v>
      </c>
      <c r="C71" s="16" t="s">
        <v>239</v>
      </c>
      <c r="D71" s="17" t="n">
        <v>36100</v>
      </c>
      <c r="E71" s="17" t="n">
        <v>39387</v>
      </c>
      <c r="F71" s="15" t="s">
        <v>240</v>
      </c>
      <c r="G71" s="15" t="s">
        <v>241</v>
      </c>
      <c r="H71" s="16" t="s">
        <v>1</v>
      </c>
      <c r="I71" s="20" t="n">
        <f aca="false">6.1038/I$1</f>
        <v>0.196896774193548</v>
      </c>
      <c r="J71" s="20" t="n">
        <v>0.0013</v>
      </c>
      <c r="K71" s="20" t="n">
        <v>0.0022</v>
      </c>
      <c r="L71" s="20" t="n">
        <v>0</v>
      </c>
      <c r="M71" s="20" t="n">
        <v>0</v>
      </c>
      <c r="N71" s="21" t="n">
        <v>0.02</v>
      </c>
      <c r="O71" s="20" t="n">
        <f aca="false">SUM(I71:M71)</f>
        <v>0.200396774193548</v>
      </c>
      <c r="P71" s="22" t="s">
        <v>242</v>
      </c>
      <c r="Q71" s="16" t="n">
        <v>117</v>
      </c>
      <c r="R71" s="15" t="s">
        <v>243</v>
      </c>
      <c r="S71" s="151" t="n">
        <f aca="false">I71*I$1*Q71</f>
        <v>714.1446</v>
      </c>
      <c r="T71" s="151"/>
      <c r="U71" s="24" t="n">
        <v>79923</v>
      </c>
      <c r="V71" s="24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false" outlineLevel="0" collapsed="false">
      <c r="A72" s="15" t="s">
        <v>52</v>
      </c>
      <c r="B72" s="16" t="s">
        <v>238</v>
      </c>
      <c r="C72" s="16" t="s">
        <v>239</v>
      </c>
      <c r="D72" s="17" t="n">
        <v>36465</v>
      </c>
      <c r="E72" s="17" t="n">
        <v>36831</v>
      </c>
      <c r="F72" s="15" t="s">
        <v>240</v>
      </c>
      <c r="G72" s="15" t="s">
        <v>241</v>
      </c>
      <c r="H72" s="16" t="s">
        <v>1</v>
      </c>
      <c r="I72" s="20" t="n">
        <f aca="false">6.1038/I$1</f>
        <v>0.196896774193548</v>
      </c>
      <c r="J72" s="20" t="n">
        <v>0.0013</v>
      </c>
      <c r="K72" s="20" t="n">
        <v>0.0022</v>
      </c>
      <c r="L72" s="20" t="n">
        <v>0</v>
      </c>
      <c r="M72" s="20" t="n">
        <v>0</v>
      </c>
      <c r="N72" s="21" t="n">
        <v>0.02</v>
      </c>
      <c r="O72" s="20" t="n">
        <f aca="false">SUM(I72:M72)</f>
        <v>0.200396774193548</v>
      </c>
      <c r="P72" s="22" t="s">
        <v>244</v>
      </c>
      <c r="Q72" s="16" t="n">
        <v>9189</v>
      </c>
      <c r="R72" s="15" t="s">
        <v>245</v>
      </c>
      <c r="S72" s="151" t="n">
        <f aca="false">I72*I$1*Q72</f>
        <v>56087.8182</v>
      </c>
      <c r="T72" s="151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A73" s="38" t="s">
        <v>52</v>
      </c>
      <c r="B73" s="104" t="s">
        <v>238</v>
      </c>
      <c r="C73" s="104" t="s">
        <v>239</v>
      </c>
      <c r="D73" s="105" t="n">
        <v>36700</v>
      </c>
      <c r="E73" s="105" t="n">
        <v>36769</v>
      </c>
      <c r="F73" s="38" t="s">
        <v>224</v>
      </c>
      <c r="G73" s="38" t="s">
        <v>241</v>
      </c>
      <c r="H73" s="104" t="s">
        <v>1</v>
      </c>
      <c r="I73" s="107" t="n">
        <v>0.7588</v>
      </c>
      <c r="J73" s="107" t="n">
        <v>0.0013</v>
      </c>
      <c r="K73" s="107" t="n">
        <v>0.0022</v>
      </c>
      <c r="L73" s="107" t="n">
        <v>0</v>
      </c>
      <c r="M73" s="107" t="n">
        <v>0</v>
      </c>
      <c r="N73" s="152" t="n">
        <v>0.02</v>
      </c>
      <c r="O73" s="107" t="n">
        <f aca="false">SUM(I73:M73)</f>
        <v>0.7623</v>
      </c>
      <c r="P73" s="109" t="s">
        <v>246</v>
      </c>
      <c r="Q73" s="104" t="n">
        <v>33334</v>
      </c>
      <c r="R73" s="38" t="s">
        <v>247</v>
      </c>
      <c r="S73" s="153" t="n">
        <f aca="false">I73*Q73</f>
        <v>25293.8392</v>
      </c>
      <c r="T73" s="153"/>
      <c r="U73" s="112" t="n">
        <v>316735</v>
      </c>
      <c r="V73" s="112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  <c r="DC73" s="113"/>
      <c r="DD73" s="113"/>
      <c r="DE73" s="113"/>
      <c r="DF73" s="113"/>
      <c r="DG73" s="113"/>
      <c r="DH73" s="113"/>
      <c r="DI73" s="113"/>
      <c r="DJ73" s="113"/>
      <c r="DK73" s="113"/>
      <c r="DL73" s="113"/>
      <c r="DM73" s="113"/>
      <c r="DN73" s="113"/>
      <c r="DO73" s="113"/>
      <c r="DP73" s="113"/>
      <c r="DQ73" s="113"/>
      <c r="DR73" s="113"/>
      <c r="DS73" s="113"/>
      <c r="DT73" s="113"/>
      <c r="DU73" s="113"/>
      <c r="DV73" s="113"/>
      <c r="DW73" s="113"/>
      <c r="DX73" s="113"/>
      <c r="DY73" s="113"/>
      <c r="DZ73" s="113"/>
      <c r="EA73" s="113"/>
      <c r="EB73" s="113"/>
      <c r="EC73" s="113"/>
      <c r="ED73" s="113"/>
      <c r="EE73" s="113"/>
      <c r="EF73" s="113"/>
      <c r="EG73" s="113"/>
      <c r="EH73" s="113"/>
      <c r="EI73" s="113"/>
      <c r="EJ73" s="113"/>
      <c r="EK73" s="113"/>
      <c r="EL73" s="113"/>
      <c r="EM73" s="113"/>
      <c r="EN73" s="113"/>
      <c r="EO73" s="113"/>
      <c r="EP73" s="113"/>
      <c r="EQ73" s="113"/>
      <c r="ER73" s="113"/>
      <c r="ES73" s="113"/>
      <c r="ET73" s="113"/>
      <c r="EU73" s="113"/>
      <c r="EV73" s="113"/>
      <c r="EW73" s="113"/>
      <c r="EX73" s="113"/>
      <c r="EY73" s="113"/>
      <c r="EZ73" s="113"/>
      <c r="FA73" s="113"/>
      <c r="FB73" s="113"/>
      <c r="FC73" s="113"/>
      <c r="FD73" s="113"/>
      <c r="FE73" s="113"/>
      <c r="FF73" s="113"/>
      <c r="FG73" s="113"/>
      <c r="FH73" s="113"/>
      <c r="FI73" s="113"/>
      <c r="FJ73" s="113"/>
      <c r="FK73" s="113"/>
      <c r="FL73" s="113"/>
      <c r="FM73" s="113"/>
      <c r="FN73" s="113"/>
      <c r="FO73" s="113"/>
      <c r="FP73" s="113"/>
      <c r="FQ73" s="113"/>
      <c r="FR73" s="113"/>
      <c r="FS73" s="113"/>
      <c r="FT73" s="113"/>
      <c r="FU73" s="113"/>
      <c r="FV73" s="113"/>
      <c r="FW73" s="113"/>
      <c r="FX73" s="113"/>
      <c r="FY73" s="113"/>
      <c r="FZ73" s="113"/>
      <c r="GA73" s="113"/>
      <c r="GB73" s="113"/>
      <c r="GC73" s="113"/>
      <c r="GD73" s="113"/>
      <c r="GE73" s="113"/>
      <c r="GF73" s="113"/>
      <c r="GG73" s="113"/>
      <c r="GH73" s="113"/>
      <c r="GI73" s="113"/>
      <c r="GJ73" s="113"/>
      <c r="GK73" s="113"/>
      <c r="GL73" s="113"/>
      <c r="GM73" s="113"/>
      <c r="GN73" s="113"/>
      <c r="GO73" s="113"/>
      <c r="GP73" s="113"/>
      <c r="GQ73" s="113"/>
      <c r="GR73" s="113"/>
      <c r="GS73" s="113"/>
      <c r="GT73" s="113"/>
      <c r="GU73" s="113"/>
      <c r="GV73" s="113"/>
      <c r="GW73" s="113"/>
      <c r="GX73" s="113"/>
      <c r="GY73" s="113"/>
      <c r="GZ73" s="113"/>
      <c r="HA73" s="113"/>
      <c r="HB73" s="113"/>
      <c r="HC73" s="113"/>
      <c r="HD73" s="113"/>
      <c r="HE73" s="113"/>
      <c r="HF73" s="113"/>
      <c r="HG73" s="113"/>
      <c r="HH73" s="113"/>
      <c r="HI73" s="113"/>
      <c r="HJ73" s="113"/>
      <c r="HK73" s="113"/>
      <c r="HL73" s="113"/>
      <c r="HM73" s="113"/>
      <c r="HN73" s="113"/>
      <c r="HO73" s="113"/>
      <c r="HP73" s="113"/>
      <c r="HQ73" s="113"/>
      <c r="HR73" s="113"/>
      <c r="HS73" s="113"/>
      <c r="HT73" s="113"/>
      <c r="HU73" s="113"/>
      <c r="HV73" s="113"/>
      <c r="HW73" s="113"/>
      <c r="HX73" s="113"/>
      <c r="HY73" s="113"/>
      <c r="HZ73" s="113"/>
      <c r="IA73" s="113"/>
      <c r="IB73" s="113"/>
      <c r="IC73" s="113"/>
      <c r="ID73" s="113"/>
      <c r="IE73" s="113"/>
      <c r="IF73" s="113"/>
      <c r="IG73" s="113"/>
      <c r="IH73" s="113"/>
      <c r="II73" s="113"/>
      <c r="IJ73" s="113"/>
      <c r="IK73" s="113"/>
      <c r="IL73" s="113"/>
      <c r="IM73" s="113"/>
      <c r="IN73" s="113"/>
      <c r="IO73" s="113"/>
      <c r="IP73" s="113"/>
      <c r="IQ73" s="113"/>
      <c r="IR73" s="113"/>
      <c r="IS73" s="113"/>
      <c r="IT73" s="113"/>
      <c r="IU73" s="113"/>
      <c r="IV73" s="113"/>
      <c r="IW73" s="113"/>
    </row>
    <row r="74" customFormat="false" ht="12.75" hidden="false" customHeight="false" outlineLevel="0" collapsed="false">
      <c r="A74" s="38" t="s">
        <v>52</v>
      </c>
      <c r="B74" s="104" t="s">
        <v>238</v>
      </c>
      <c r="C74" s="104" t="s">
        <v>239</v>
      </c>
      <c r="D74" s="105" t="n">
        <v>36700</v>
      </c>
      <c r="E74" s="105" t="n">
        <v>36769</v>
      </c>
      <c r="F74" s="38" t="s">
        <v>224</v>
      </c>
      <c r="G74" s="38" t="s">
        <v>241</v>
      </c>
      <c r="H74" s="104" t="s">
        <v>1</v>
      </c>
      <c r="I74" s="107" t="n">
        <v>0.0832</v>
      </c>
      <c r="J74" s="107" t="n">
        <v>0.0013</v>
      </c>
      <c r="K74" s="107" t="n">
        <v>0.0022</v>
      </c>
      <c r="L74" s="107" t="n">
        <v>0</v>
      </c>
      <c r="M74" s="107" t="n">
        <v>0</v>
      </c>
      <c r="N74" s="152" t="n">
        <v>0.02</v>
      </c>
      <c r="O74" s="107" t="n">
        <f aca="false">SUM(I74:M74)</f>
        <v>0.0867</v>
      </c>
      <c r="P74" s="109" t="s">
        <v>248</v>
      </c>
      <c r="Q74" s="104" t="n">
        <v>33334</v>
      </c>
      <c r="R74" s="38" t="s">
        <v>247</v>
      </c>
      <c r="S74" s="153" t="n">
        <f aca="false">+I74*Q74</f>
        <v>2773.3888</v>
      </c>
      <c r="T74" s="153"/>
      <c r="U74" s="112" t="n">
        <v>313315</v>
      </c>
      <c r="V74" s="112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  <c r="EO74" s="113"/>
      <c r="EP74" s="113"/>
      <c r="EQ74" s="113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13"/>
      <c r="FG74" s="113"/>
      <c r="FH74" s="113"/>
      <c r="FI74" s="113"/>
      <c r="FJ74" s="113"/>
      <c r="FK74" s="113"/>
      <c r="FL74" s="113"/>
      <c r="FM74" s="113"/>
      <c r="FN74" s="113"/>
      <c r="FO74" s="113"/>
      <c r="FP74" s="113"/>
      <c r="FQ74" s="113"/>
      <c r="FR74" s="113"/>
      <c r="FS74" s="113"/>
      <c r="FT74" s="113"/>
      <c r="FU74" s="113"/>
      <c r="FV74" s="113"/>
      <c r="FW74" s="113"/>
      <c r="FX74" s="113"/>
      <c r="FY74" s="113"/>
      <c r="FZ74" s="113"/>
      <c r="GA74" s="113"/>
      <c r="GB74" s="113"/>
      <c r="GC74" s="113"/>
      <c r="GD74" s="113"/>
      <c r="GE74" s="113"/>
      <c r="GF74" s="113"/>
      <c r="GG74" s="113"/>
      <c r="GH74" s="113"/>
      <c r="GI74" s="113"/>
      <c r="GJ74" s="113"/>
      <c r="GK74" s="113"/>
      <c r="GL74" s="113"/>
      <c r="GM74" s="113"/>
      <c r="GN74" s="113"/>
      <c r="GO74" s="113"/>
      <c r="GP74" s="113"/>
      <c r="GQ74" s="113"/>
      <c r="GR74" s="113"/>
      <c r="GS74" s="113"/>
      <c r="GT74" s="113"/>
      <c r="GU74" s="113"/>
      <c r="GV74" s="113"/>
      <c r="GW74" s="113"/>
      <c r="GX74" s="113"/>
      <c r="GY74" s="113"/>
      <c r="GZ74" s="113"/>
      <c r="HA74" s="113"/>
      <c r="HB74" s="113"/>
      <c r="HC74" s="113"/>
      <c r="HD74" s="113"/>
      <c r="HE74" s="113"/>
      <c r="HF74" s="113"/>
      <c r="HG74" s="113"/>
      <c r="HH74" s="113"/>
      <c r="HI74" s="113"/>
      <c r="HJ74" s="113"/>
      <c r="HK74" s="113"/>
      <c r="HL74" s="113"/>
      <c r="HM74" s="113"/>
      <c r="HN74" s="113"/>
      <c r="HO74" s="113"/>
      <c r="HP74" s="113"/>
      <c r="HQ74" s="113"/>
      <c r="HR74" s="113"/>
      <c r="HS74" s="113"/>
      <c r="HT74" s="113"/>
      <c r="HU74" s="113"/>
      <c r="HV74" s="113"/>
      <c r="HW74" s="113"/>
      <c r="HX74" s="113"/>
      <c r="HY74" s="113"/>
      <c r="HZ74" s="113"/>
      <c r="IA74" s="113"/>
      <c r="IB74" s="113"/>
      <c r="IC74" s="113"/>
      <c r="ID74" s="113"/>
      <c r="IE74" s="113"/>
      <c r="IF74" s="113"/>
      <c r="IG74" s="113"/>
      <c r="IH74" s="113"/>
      <c r="II74" s="113"/>
      <c r="IJ74" s="113"/>
      <c r="IK74" s="113"/>
      <c r="IL74" s="113"/>
      <c r="IM74" s="113"/>
      <c r="IN74" s="113"/>
      <c r="IO74" s="113"/>
      <c r="IP74" s="113"/>
      <c r="IQ74" s="113"/>
      <c r="IR74" s="113"/>
      <c r="IS74" s="113"/>
      <c r="IT74" s="113"/>
      <c r="IU74" s="113"/>
      <c r="IV74" s="113"/>
      <c r="IW74" s="113"/>
    </row>
    <row r="75" customFormat="false" ht="12.75" hidden="false" customHeight="false" outlineLevel="0" collapsed="false">
      <c r="A75" s="15"/>
      <c r="B75" s="16"/>
      <c r="C75" s="16"/>
      <c r="D75" s="17"/>
      <c r="E75" s="17"/>
      <c r="F75" s="15"/>
      <c r="G75" s="15"/>
      <c r="H75" s="16"/>
      <c r="I75" s="19"/>
      <c r="J75" s="20"/>
      <c r="K75" s="20"/>
      <c r="L75" s="20"/>
      <c r="M75" s="20"/>
      <c r="N75" s="21"/>
      <c r="O75" s="20"/>
      <c r="P75" s="22"/>
      <c r="Q75" s="16"/>
      <c r="R75" s="15"/>
      <c r="S75" s="23"/>
      <c r="T75" s="23" t="n">
        <f aca="false">SUM(T71:T74)</f>
        <v>0</v>
      </c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false" outlineLevel="0" collapsed="false">
      <c r="A76" s="15"/>
      <c r="B76" s="16"/>
      <c r="C76" s="16"/>
      <c r="D76" s="17"/>
      <c r="E76" s="17"/>
      <c r="F76" s="15"/>
      <c r="G76" s="15"/>
      <c r="H76" s="16"/>
      <c r="I76" s="19"/>
      <c r="J76" s="20"/>
      <c r="K76" s="20"/>
      <c r="L76" s="20"/>
      <c r="M76" s="20"/>
      <c r="N76" s="25"/>
      <c r="O76" s="20"/>
      <c r="P76" s="22"/>
      <c r="Q76" s="69" t="n">
        <f aca="false">SUM(Q71:Q75)</f>
        <v>75974</v>
      </c>
      <c r="R76" s="85" t="s">
        <v>164</v>
      </c>
      <c r="S76" s="91" t="n">
        <f aca="false">SUM(S71:S75)</f>
        <v>84869.1908</v>
      </c>
      <c r="T76" s="23"/>
      <c r="U76" s="26"/>
      <c r="V76" s="24"/>
      <c r="W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5"/>
      <c r="B77" s="16"/>
      <c r="C77" s="16"/>
      <c r="D77" s="17"/>
      <c r="E77" s="17"/>
      <c r="F77" s="15"/>
      <c r="G77" s="15"/>
      <c r="H77" s="16"/>
      <c r="I77" s="19"/>
      <c r="J77" s="20"/>
      <c r="K77" s="20"/>
      <c r="L77" s="20"/>
      <c r="M77" s="20"/>
      <c r="N77" s="25"/>
      <c r="O77" s="20"/>
      <c r="P77" s="22"/>
      <c r="Q77" s="71"/>
      <c r="R77" s="85" t="s">
        <v>165</v>
      </c>
      <c r="S77" s="91" t="n">
        <f aca="false">SUM(S72)</f>
        <v>56087.8182</v>
      </c>
      <c r="T77" s="23"/>
      <c r="U77" s="26"/>
      <c r="V77" s="24"/>
      <c r="W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3.5" hidden="false" customHeight="false" outlineLevel="0" collapsed="false">
      <c r="A78" s="15"/>
      <c r="B78" s="16"/>
      <c r="C78" s="16"/>
      <c r="D78" s="17"/>
      <c r="E78" s="17"/>
      <c r="F78" s="15"/>
      <c r="G78" s="15"/>
      <c r="H78" s="16"/>
      <c r="I78" s="19"/>
      <c r="J78" s="20"/>
      <c r="K78" s="20"/>
      <c r="L78" s="20"/>
      <c r="M78" s="20"/>
      <c r="N78" s="25"/>
      <c r="O78" s="20"/>
      <c r="P78" s="22"/>
      <c r="Q78" s="71"/>
      <c r="R78" s="85" t="s">
        <v>166</v>
      </c>
      <c r="S78" s="149" t="n">
        <f aca="false">+S76-S77</f>
        <v>28781.3726</v>
      </c>
      <c r="T78" s="23"/>
      <c r="U78" s="26"/>
      <c r="V78" s="24"/>
      <c r="W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3.5" hidden="false" customHeight="false" outlineLevel="0" collapsed="false">
      <c r="A79" s="15"/>
      <c r="B79" s="16"/>
      <c r="C79" s="16"/>
      <c r="D79" s="17"/>
      <c r="E79" s="17"/>
      <c r="F79" s="15"/>
      <c r="G79" s="15"/>
      <c r="H79" s="16"/>
      <c r="I79" s="19"/>
      <c r="J79" s="20"/>
      <c r="K79" s="20"/>
      <c r="L79" s="20"/>
      <c r="M79" s="20"/>
      <c r="N79" s="25"/>
      <c r="O79" s="20"/>
      <c r="P79" s="22"/>
      <c r="Q79" s="16"/>
      <c r="R79" s="15"/>
      <c r="S79" s="23"/>
      <c r="T79" s="23"/>
      <c r="U79" s="26"/>
      <c r="V79" s="24"/>
      <c r="W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41" t="s">
        <v>108</v>
      </c>
      <c r="B80" s="142" t="s">
        <v>109</v>
      </c>
      <c r="C80" s="142" t="s">
        <v>110</v>
      </c>
      <c r="D80" s="143" t="s">
        <v>111</v>
      </c>
      <c r="E80" s="143"/>
      <c r="F80" s="141" t="s">
        <v>112</v>
      </c>
      <c r="G80" s="141" t="s">
        <v>113</v>
      </c>
      <c r="H80" s="142" t="s">
        <v>114</v>
      </c>
      <c r="I80" s="144" t="s">
        <v>115</v>
      </c>
      <c r="J80" s="142" t="s">
        <v>116</v>
      </c>
      <c r="K80" s="142" t="s">
        <v>117</v>
      </c>
      <c r="L80" s="142" t="s">
        <v>118</v>
      </c>
      <c r="M80" s="142" t="s">
        <v>119</v>
      </c>
      <c r="N80" s="150" t="s">
        <v>120</v>
      </c>
      <c r="O80" s="142" t="s">
        <v>121</v>
      </c>
      <c r="P80" s="146" t="s">
        <v>122</v>
      </c>
      <c r="Q80" s="142" t="s">
        <v>123</v>
      </c>
      <c r="R80" s="141" t="s">
        <v>124</v>
      </c>
      <c r="S80" s="99" t="s">
        <v>236</v>
      </c>
      <c r="T80" s="99" t="s">
        <v>237</v>
      </c>
      <c r="U80" s="102"/>
      <c r="V80" s="102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  <c r="DB80" s="148"/>
      <c r="DC80" s="148"/>
      <c r="DD80" s="148"/>
      <c r="DE80" s="148"/>
      <c r="DF80" s="148"/>
      <c r="DG80" s="148"/>
      <c r="DH80" s="148"/>
      <c r="DI80" s="148"/>
      <c r="DJ80" s="148"/>
      <c r="DK80" s="148"/>
      <c r="DL80" s="148"/>
      <c r="DM80" s="148"/>
      <c r="DN80" s="148"/>
      <c r="DO80" s="148"/>
      <c r="DP80" s="148"/>
      <c r="DQ80" s="148"/>
      <c r="DR80" s="148"/>
      <c r="DS80" s="148"/>
      <c r="DT80" s="148"/>
      <c r="DU80" s="148"/>
      <c r="DV80" s="148"/>
      <c r="DW80" s="148"/>
      <c r="DX80" s="148"/>
      <c r="DY80" s="148"/>
      <c r="DZ80" s="148"/>
      <c r="EA80" s="148"/>
      <c r="EB80" s="148"/>
      <c r="EC80" s="148"/>
      <c r="ED80" s="148"/>
      <c r="EE80" s="148"/>
      <c r="EF80" s="148"/>
      <c r="EG80" s="148"/>
      <c r="EH80" s="148"/>
      <c r="EI80" s="148"/>
      <c r="EJ80" s="148"/>
      <c r="EK80" s="148"/>
      <c r="EL80" s="148"/>
      <c r="EM80" s="148"/>
      <c r="EN80" s="148"/>
      <c r="EO80" s="148"/>
      <c r="EP80" s="148"/>
      <c r="EQ80" s="148"/>
      <c r="ER80" s="148"/>
      <c r="ES80" s="148"/>
      <c r="ET80" s="148"/>
      <c r="EU80" s="148"/>
      <c r="EV80" s="148"/>
      <c r="EW80" s="148"/>
      <c r="EX80" s="148"/>
      <c r="EY80" s="148"/>
      <c r="EZ80" s="148"/>
      <c r="FA80" s="148"/>
      <c r="FB80" s="148"/>
      <c r="FC80" s="148"/>
      <c r="FD80" s="148"/>
      <c r="FE80" s="148"/>
      <c r="FF80" s="148"/>
      <c r="FG80" s="148"/>
      <c r="FH80" s="148"/>
      <c r="FI80" s="148"/>
      <c r="FJ80" s="148"/>
      <c r="FK80" s="148"/>
      <c r="FL80" s="148"/>
      <c r="FM80" s="148"/>
      <c r="FN80" s="148"/>
      <c r="FO80" s="148"/>
      <c r="FP80" s="148"/>
      <c r="FQ80" s="148"/>
      <c r="FR80" s="148"/>
      <c r="FS80" s="148"/>
      <c r="FT80" s="148"/>
      <c r="FU80" s="148"/>
      <c r="FV80" s="148"/>
      <c r="FW80" s="148"/>
      <c r="FX80" s="148"/>
      <c r="FY80" s="148"/>
      <c r="FZ80" s="148"/>
      <c r="GA80" s="148"/>
      <c r="GB80" s="148"/>
      <c r="GC80" s="148"/>
      <c r="GD80" s="148"/>
      <c r="GE80" s="148"/>
      <c r="GF80" s="148"/>
      <c r="GG80" s="148"/>
      <c r="GH80" s="148"/>
      <c r="GI80" s="148"/>
      <c r="GJ80" s="148"/>
      <c r="GK80" s="148"/>
      <c r="GL80" s="148"/>
      <c r="GM80" s="148"/>
      <c r="GN80" s="148"/>
      <c r="GO80" s="148"/>
      <c r="GP80" s="148"/>
      <c r="GQ80" s="148"/>
      <c r="GR80" s="148"/>
      <c r="GS80" s="148"/>
      <c r="GT80" s="148"/>
      <c r="GU80" s="148"/>
      <c r="GV80" s="148"/>
      <c r="GW80" s="148"/>
      <c r="GX80" s="148"/>
      <c r="GY80" s="148"/>
      <c r="GZ80" s="148"/>
      <c r="HA80" s="148"/>
      <c r="HB80" s="148"/>
      <c r="HC80" s="148"/>
      <c r="HD80" s="148"/>
      <c r="HE80" s="148"/>
      <c r="HF80" s="148"/>
      <c r="HG80" s="148"/>
      <c r="HH80" s="148"/>
      <c r="HI80" s="148"/>
      <c r="HJ80" s="148"/>
      <c r="HK80" s="148"/>
      <c r="HL80" s="148"/>
      <c r="HM80" s="148"/>
      <c r="HN80" s="148"/>
      <c r="HO80" s="148"/>
      <c r="HP80" s="148"/>
      <c r="HQ80" s="148"/>
      <c r="HR80" s="148"/>
      <c r="HS80" s="148"/>
      <c r="HT80" s="148"/>
      <c r="HU80" s="148"/>
      <c r="HV80" s="148"/>
      <c r="HW80" s="148"/>
      <c r="HX80" s="148"/>
      <c r="HY80" s="148"/>
      <c r="HZ80" s="148"/>
      <c r="IA80" s="148"/>
      <c r="IB80" s="148"/>
      <c r="IC80" s="148"/>
      <c r="ID80" s="148"/>
      <c r="IE80" s="148"/>
      <c r="IF80" s="148"/>
      <c r="IG80" s="148"/>
      <c r="IH80" s="148"/>
      <c r="II80" s="148"/>
      <c r="IJ80" s="148"/>
      <c r="IK80" s="148"/>
      <c r="IL80" s="148"/>
      <c r="IM80" s="148"/>
      <c r="IN80" s="148"/>
      <c r="IO80" s="148"/>
      <c r="IP80" s="148"/>
      <c r="IQ80" s="148"/>
      <c r="IR80" s="148"/>
      <c r="IS80" s="148"/>
      <c r="IT80" s="148"/>
      <c r="IU80" s="148"/>
      <c r="IV80" s="148"/>
      <c r="IW80" s="148"/>
    </row>
    <row r="81" customFormat="false" ht="12.75" hidden="false" customHeight="false" outlineLevel="0" collapsed="false">
      <c r="A81" s="15" t="s">
        <v>52</v>
      </c>
      <c r="B81" s="16" t="s">
        <v>249</v>
      </c>
      <c r="C81" s="16" t="s">
        <v>231</v>
      </c>
      <c r="D81" s="17" t="n">
        <v>36342</v>
      </c>
      <c r="E81" s="17" t="n">
        <v>39539</v>
      </c>
      <c r="F81" s="15" t="s">
        <v>250</v>
      </c>
      <c r="G81" s="15" t="s">
        <v>251</v>
      </c>
      <c r="H81" s="16" t="s">
        <v>252</v>
      </c>
      <c r="I81" s="19" t="n">
        <f aca="false">(5.9+5.42)/I$1</f>
        <v>0.365161290322581</v>
      </c>
      <c r="J81" s="20" t="n">
        <v>0</v>
      </c>
      <c r="K81" s="20" t="n">
        <v>0.0022</v>
      </c>
      <c r="L81" s="20" t="n">
        <v>0.0075</v>
      </c>
      <c r="M81" s="20" t="n">
        <v>0</v>
      </c>
      <c r="N81" s="154" t="n">
        <v>0.0131</v>
      </c>
      <c r="O81" s="20" t="n">
        <f aca="false">SUM(I81:M81)</f>
        <v>0.374861290322581</v>
      </c>
      <c r="P81" s="22" t="n">
        <v>29667</v>
      </c>
      <c r="Q81" s="16" t="n">
        <v>35000</v>
      </c>
      <c r="R81" s="155" t="s">
        <v>253</v>
      </c>
      <c r="S81" s="156" t="n">
        <f aca="false">I81*$I$1*Q81</f>
        <v>396200</v>
      </c>
      <c r="T81" s="23"/>
      <c r="U81" s="24" t="s">
        <v>254</v>
      </c>
      <c r="V81" s="24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" hidden="false" customHeight="true" outlineLevel="0" collapsed="false">
      <c r="A82" s="15" t="s">
        <v>144</v>
      </c>
      <c r="B82" s="16" t="s">
        <v>255</v>
      </c>
      <c r="C82" s="16" t="s">
        <v>256</v>
      </c>
      <c r="D82" s="17" t="n">
        <v>36617</v>
      </c>
      <c r="E82" s="17" t="n">
        <v>36829</v>
      </c>
      <c r="F82" s="15" t="n">
        <v>4</v>
      </c>
      <c r="G82" s="15" t="n">
        <v>6</v>
      </c>
      <c r="H82" s="16" t="s">
        <v>170</v>
      </c>
      <c r="I82" s="19" t="n">
        <f aca="false">0.76/I$1</f>
        <v>0.0245161290322581</v>
      </c>
      <c r="J82" s="20" t="n">
        <v>0</v>
      </c>
      <c r="K82" s="20" t="n">
        <v>0</v>
      </c>
      <c r="L82" s="20" t="n">
        <v>0</v>
      </c>
      <c r="M82" s="20" t="n">
        <v>0</v>
      </c>
      <c r="N82" s="21" t="n">
        <v>0.0101</v>
      </c>
      <c r="O82" s="20" t="n">
        <f aca="false">SUM(I82:M82)</f>
        <v>0.0245161290322581</v>
      </c>
      <c r="P82" s="22" t="n">
        <v>32958</v>
      </c>
      <c r="Q82" s="16" t="n">
        <v>5265</v>
      </c>
      <c r="R82" s="157" t="s">
        <v>1</v>
      </c>
      <c r="S82" s="156" t="n">
        <f aca="false">I82*$I$1*Q82</f>
        <v>4001.4</v>
      </c>
      <c r="T82" s="23"/>
      <c r="U82" s="24" t="n">
        <v>231270</v>
      </c>
      <c r="V82" s="24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" hidden="false" customHeight="true" outlineLevel="0" collapsed="false">
      <c r="A83" s="15" t="s">
        <v>144</v>
      </c>
      <c r="B83" s="16" t="s">
        <v>255</v>
      </c>
      <c r="C83" s="16" t="s">
        <v>256</v>
      </c>
      <c r="D83" s="17" t="n">
        <v>36617</v>
      </c>
      <c r="E83" s="17" t="n">
        <v>36646</v>
      </c>
      <c r="F83" s="15" t="n">
        <v>4</v>
      </c>
      <c r="G83" s="15" t="n">
        <v>6</v>
      </c>
      <c r="H83" s="16" t="s">
        <v>170</v>
      </c>
      <c r="I83" s="24" t="n">
        <f aca="false">0.6/I$1</f>
        <v>0.0193548387096774</v>
      </c>
      <c r="J83" s="20" t="n">
        <v>0</v>
      </c>
      <c r="K83" s="20" t="n">
        <v>0</v>
      </c>
      <c r="L83" s="20" t="n">
        <v>0</v>
      </c>
      <c r="M83" s="20" t="n">
        <v>0</v>
      </c>
      <c r="N83" s="21" t="n">
        <v>0.0101</v>
      </c>
      <c r="O83" s="20" t="n">
        <f aca="false">SUM(I83:M83)</f>
        <v>0.0193548387096774</v>
      </c>
      <c r="P83" s="22" t="n">
        <v>33072</v>
      </c>
      <c r="Q83" s="16" t="n">
        <v>5000</v>
      </c>
      <c r="R83" s="157" t="s">
        <v>1</v>
      </c>
      <c r="S83" s="156" t="n">
        <f aca="false">I83*$I$1*Q83</f>
        <v>3000</v>
      </c>
      <c r="T83" s="23"/>
      <c r="U83" s="24" t="n">
        <v>232900</v>
      </c>
      <c r="V83" s="24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" hidden="false" customHeight="true" outlineLevel="0" collapsed="false">
      <c r="A84" s="15" t="s">
        <v>144</v>
      </c>
      <c r="B84" s="16" t="s">
        <v>24</v>
      </c>
      <c r="C84" s="16" t="s">
        <v>256</v>
      </c>
      <c r="D84" s="17" t="n">
        <v>36526</v>
      </c>
      <c r="E84" s="17" t="n">
        <v>36556</v>
      </c>
      <c r="F84" s="15" t="s">
        <v>257</v>
      </c>
      <c r="G84" s="15" t="s">
        <v>258</v>
      </c>
      <c r="H84" s="16" t="s">
        <v>170</v>
      </c>
      <c r="I84" s="19" t="n">
        <v>0.1671</v>
      </c>
      <c r="J84" s="20" t="n">
        <v>0.0765</v>
      </c>
      <c r="K84" s="20" t="n">
        <v>0.0022</v>
      </c>
      <c r="L84" s="20" t="n">
        <v>0.0075</v>
      </c>
      <c r="M84" s="20" t="n">
        <v>0</v>
      </c>
      <c r="N84" s="21" t="n">
        <v>0.0127</v>
      </c>
      <c r="O84" s="20" t="n">
        <f aca="false">SUM(I84:M84)</f>
        <v>0.2533</v>
      </c>
      <c r="P84" s="22"/>
      <c r="Q84" s="16" t="n">
        <v>0</v>
      </c>
      <c r="R84" s="157" t="s">
        <v>1</v>
      </c>
      <c r="S84" s="156" t="n">
        <f aca="false">I84*$I$1*Q84</f>
        <v>0</v>
      </c>
      <c r="T84" s="23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" hidden="false" customHeight="true" outlineLevel="0" collapsed="false">
      <c r="A85" s="15" t="s">
        <v>144</v>
      </c>
      <c r="B85" s="16" t="s">
        <v>249</v>
      </c>
      <c r="C85" s="16" t="s">
        <v>149</v>
      </c>
      <c r="D85" s="17" t="n">
        <v>36708</v>
      </c>
      <c r="E85" s="17" t="n">
        <v>36830</v>
      </c>
      <c r="F85" s="15" t="s">
        <v>259</v>
      </c>
      <c r="G85" s="15" t="s">
        <v>257</v>
      </c>
      <c r="H85" s="16" t="s">
        <v>160</v>
      </c>
      <c r="I85" s="19" t="n">
        <f aca="false">0.61/$I$1</f>
        <v>0.0196774193548387</v>
      </c>
      <c r="J85" s="20"/>
      <c r="K85" s="20"/>
      <c r="L85" s="20"/>
      <c r="M85" s="20"/>
      <c r="N85" s="21"/>
      <c r="O85" s="20"/>
      <c r="P85" s="22" t="n">
        <v>34226</v>
      </c>
      <c r="Q85" s="16" t="n">
        <v>2359</v>
      </c>
      <c r="R85" s="157"/>
      <c r="S85" s="156" t="n">
        <f aca="false">+Q85*0.6</f>
        <v>1415.4</v>
      </c>
      <c r="T85" s="23"/>
      <c r="U85" s="24" t="s">
        <v>260</v>
      </c>
      <c r="V85" s="24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" hidden="false" customHeight="true" outlineLevel="0" collapsed="false">
      <c r="A86" s="38" t="s">
        <v>144</v>
      </c>
      <c r="B86" s="104" t="s">
        <v>249</v>
      </c>
      <c r="C86" s="104" t="s">
        <v>149</v>
      </c>
      <c r="D86" s="105" t="n">
        <v>36739</v>
      </c>
      <c r="E86" s="105" t="n">
        <v>36769</v>
      </c>
      <c r="F86" s="38" t="n">
        <v>1</v>
      </c>
      <c r="G86" s="38" t="n">
        <v>6</v>
      </c>
      <c r="H86" s="104" t="s">
        <v>154</v>
      </c>
      <c r="I86" s="106" t="n">
        <f aca="false">0.62/31</f>
        <v>0.02</v>
      </c>
      <c r="J86" s="107"/>
      <c r="K86" s="107"/>
      <c r="L86" s="107"/>
      <c r="M86" s="107"/>
      <c r="N86" s="152"/>
      <c r="O86" s="107"/>
      <c r="P86" s="109" t="n">
        <v>34422</v>
      </c>
      <c r="Q86" s="104" t="n">
        <v>2520</v>
      </c>
      <c r="R86" s="158"/>
      <c r="S86" s="159" t="n">
        <f aca="false">+Q86*0.6</f>
        <v>1512</v>
      </c>
      <c r="T86" s="110"/>
      <c r="U86" s="112" t="s">
        <v>261</v>
      </c>
      <c r="V86" s="112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13"/>
      <c r="CN86" s="113"/>
      <c r="CO86" s="113"/>
      <c r="CP86" s="113"/>
      <c r="CQ86" s="113"/>
      <c r="CR86" s="113"/>
      <c r="CS86" s="113"/>
      <c r="CT86" s="113"/>
      <c r="CU86" s="113"/>
      <c r="CV86" s="113"/>
      <c r="CW86" s="113"/>
      <c r="CX86" s="113"/>
      <c r="CY86" s="113"/>
      <c r="CZ86" s="113"/>
      <c r="DA86" s="113"/>
      <c r="DB86" s="113"/>
      <c r="DC86" s="113"/>
      <c r="DD86" s="113"/>
      <c r="DE86" s="113"/>
      <c r="DF86" s="113"/>
      <c r="DG86" s="113"/>
      <c r="DH86" s="113"/>
      <c r="DI86" s="113"/>
      <c r="DJ86" s="113"/>
      <c r="DK86" s="113"/>
      <c r="DL86" s="113"/>
      <c r="DM86" s="113"/>
      <c r="DN86" s="113"/>
      <c r="DO86" s="113"/>
      <c r="DP86" s="113"/>
      <c r="DQ86" s="113"/>
      <c r="DR86" s="113"/>
      <c r="DS86" s="113"/>
      <c r="DT86" s="113"/>
      <c r="DU86" s="113"/>
      <c r="DV86" s="113"/>
      <c r="DW86" s="113"/>
      <c r="DX86" s="113"/>
      <c r="DY86" s="113"/>
      <c r="DZ86" s="113"/>
      <c r="EA86" s="113"/>
      <c r="EB86" s="113"/>
      <c r="EC86" s="113"/>
      <c r="ED86" s="113"/>
      <c r="EE86" s="113"/>
      <c r="EF86" s="113"/>
      <c r="EG86" s="113"/>
      <c r="EH86" s="113"/>
      <c r="EI86" s="113"/>
      <c r="EJ86" s="113"/>
      <c r="EK86" s="113"/>
      <c r="EL86" s="113"/>
      <c r="EM86" s="113"/>
      <c r="EN86" s="113"/>
      <c r="EO86" s="113"/>
      <c r="EP86" s="113"/>
      <c r="EQ86" s="113"/>
      <c r="ER86" s="113"/>
      <c r="ES86" s="113"/>
      <c r="ET86" s="113"/>
      <c r="EU86" s="113"/>
      <c r="EV86" s="113"/>
      <c r="EW86" s="113"/>
      <c r="EX86" s="113"/>
      <c r="EY86" s="113"/>
      <c r="EZ86" s="113"/>
      <c r="FA86" s="113"/>
      <c r="FB86" s="113"/>
      <c r="FC86" s="113"/>
      <c r="FD86" s="113"/>
      <c r="FE86" s="113"/>
      <c r="FF86" s="113"/>
      <c r="FG86" s="113"/>
      <c r="FH86" s="113"/>
      <c r="FI86" s="113"/>
      <c r="FJ86" s="113"/>
      <c r="FK86" s="113"/>
      <c r="FL86" s="113"/>
      <c r="FM86" s="113"/>
      <c r="FN86" s="113"/>
      <c r="FO86" s="113"/>
      <c r="FP86" s="113"/>
      <c r="FQ86" s="113"/>
      <c r="FR86" s="113"/>
      <c r="FS86" s="113"/>
      <c r="FT86" s="113"/>
      <c r="FU86" s="113"/>
      <c r="FV86" s="113"/>
      <c r="FW86" s="113"/>
      <c r="FX86" s="113"/>
      <c r="FY86" s="113"/>
      <c r="FZ86" s="113"/>
      <c r="GA86" s="113"/>
      <c r="GB86" s="113"/>
      <c r="GC86" s="113"/>
      <c r="GD86" s="113"/>
      <c r="GE86" s="113"/>
      <c r="GF86" s="113"/>
      <c r="GG86" s="113"/>
      <c r="GH86" s="113"/>
      <c r="GI86" s="113"/>
      <c r="GJ86" s="113"/>
      <c r="GK86" s="113"/>
      <c r="GL86" s="113"/>
      <c r="GM86" s="113"/>
      <c r="GN86" s="113"/>
      <c r="GO86" s="113"/>
      <c r="GP86" s="113"/>
      <c r="GQ86" s="113"/>
      <c r="GR86" s="113"/>
      <c r="GS86" s="113"/>
      <c r="GT86" s="113"/>
      <c r="GU86" s="113"/>
      <c r="GV86" s="113"/>
      <c r="GW86" s="113"/>
      <c r="GX86" s="113"/>
      <c r="GY86" s="113"/>
      <c r="GZ86" s="113"/>
      <c r="HA86" s="113"/>
      <c r="HB86" s="113"/>
      <c r="HC86" s="113"/>
      <c r="HD86" s="113"/>
      <c r="HE86" s="113"/>
      <c r="HF86" s="113"/>
      <c r="HG86" s="113"/>
      <c r="HH86" s="113"/>
      <c r="HI86" s="113"/>
      <c r="HJ86" s="113"/>
      <c r="HK86" s="113"/>
      <c r="HL86" s="113"/>
      <c r="HM86" s="113"/>
      <c r="HN86" s="113"/>
      <c r="HO86" s="113"/>
      <c r="HP86" s="113"/>
      <c r="HQ86" s="113"/>
      <c r="HR86" s="113"/>
      <c r="HS86" s="113"/>
      <c r="HT86" s="113"/>
      <c r="HU86" s="113"/>
      <c r="HV86" s="113"/>
      <c r="HW86" s="113"/>
      <c r="HX86" s="113"/>
      <c r="HY86" s="113"/>
      <c r="HZ86" s="113"/>
      <c r="IA86" s="113"/>
      <c r="IB86" s="113"/>
      <c r="IC86" s="113"/>
      <c r="ID86" s="113"/>
      <c r="IE86" s="113"/>
      <c r="IF86" s="113"/>
      <c r="IG86" s="113"/>
      <c r="IH86" s="113"/>
      <c r="II86" s="113"/>
      <c r="IJ86" s="113"/>
      <c r="IK86" s="113"/>
      <c r="IL86" s="113"/>
      <c r="IM86" s="113"/>
      <c r="IN86" s="113"/>
      <c r="IO86" s="113"/>
      <c r="IP86" s="113"/>
      <c r="IQ86" s="113"/>
      <c r="IR86" s="113"/>
      <c r="IS86" s="113"/>
      <c r="IT86" s="113"/>
      <c r="IU86" s="113"/>
      <c r="IV86" s="113"/>
      <c r="IW86" s="113"/>
    </row>
    <row r="87" customFormat="false" ht="12" hidden="false" customHeight="true" outlineLevel="0" collapsed="false">
      <c r="A87" s="38" t="s">
        <v>144</v>
      </c>
      <c r="B87" s="104" t="s">
        <v>249</v>
      </c>
      <c r="C87" s="104" t="s">
        <v>149</v>
      </c>
      <c r="D87" s="105" t="n">
        <v>36739</v>
      </c>
      <c r="E87" s="105" t="n">
        <v>36769</v>
      </c>
      <c r="F87" s="38" t="n">
        <v>1</v>
      </c>
      <c r="G87" s="38" t="n">
        <v>6</v>
      </c>
      <c r="H87" s="104" t="s">
        <v>154</v>
      </c>
      <c r="I87" s="106" t="n">
        <v>0.02</v>
      </c>
      <c r="J87" s="107"/>
      <c r="K87" s="107"/>
      <c r="L87" s="107"/>
      <c r="M87" s="107"/>
      <c r="N87" s="152"/>
      <c r="O87" s="107"/>
      <c r="P87" s="109" t="n">
        <v>34421</v>
      </c>
      <c r="Q87" s="104" t="n">
        <v>5280</v>
      </c>
      <c r="R87" s="158"/>
      <c r="S87" s="159" t="n">
        <f aca="false">+Q87*0.6</f>
        <v>3168</v>
      </c>
      <c r="T87" s="110"/>
      <c r="U87" s="112" t="s">
        <v>262</v>
      </c>
      <c r="V87" s="112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3"/>
      <c r="DA87" s="113"/>
      <c r="DB87" s="113"/>
      <c r="DC87" s="113"/>
      <c r="DD87" s="113"/>
      <c r="DE87" s="113"/>
      <c r="DF87" s="113"/>
      <c r="DG87" s="113"/>
      <c r="DH87" s="113"/>
      <c r="DI87" s="113"/>
      <c r="DJ87" s="113"/>
      <c r="DK87" s="113"/>
      <c r="DL87" s="113"/>
      <c r="DM87" s="113"/>
      <c r="DN87" s="113"/>
      <c r="DO87" s="113"/>
      <c r="DP87" s="113"/>
      <c r="DQ87" s="113"/>
      <c r="DR87" s="113"/>
      <c r="DS87" s="113"/>
      <c r="DT87" s="113"/>
      <c r="DU87" s="113"/>
      <c r="DV87" s="113"/>
      <c r="DW87" s="113"/>
      <c r="DX87" s="113"/>
      <c r="DY87" s="113"/>
      <c r="DZ87" s="113"/>
      <c r="EA87" s="113"/>
      <c r="EB87" s="113"/>
      <c r="EC87" s="113"/>
      <c r="ED87" s="113"/>
      <c r="EE87" s="113"/>
      <c r="EF87" s="113"/>
      <c r="EG87" s="113"/>
      <c r="EH87" s="113"/>
      <c r="EI87" s="113"/>
      <c r="EJ87" s="113"/>
      <c r="EK87" s="113"/>
      <c r="EL87" s="113"/>
      <c r="EM87" s="113"/>
      <c r="EN87" s="113"/>
      <c r="EO87" s="113"/>
      <c r="EP87" s="113"/>
      <c r="EQ87" s="113"/>
      <c r="ER87" s="113"/>
      <c r="ES87" s="113"/>
      <c r="ET87" s="113"/>
      <c r="EU87" s="113"/>
      <c r="EV87" s="113"/>
      <c r="EW87" s="113"/>
      <c r="EX87" s="113"/>
      <c r="EY87" s="113"/>
      <c r="EZ87" s="113"/>
      <c r="FA87" s="113"/>
      <c r="FB87" s="113"/>
      <c r="FC87" s="113"/>
      <c r="FD87" s="113"/>
      <c r="FE87" s="113"/>
      <c r="FF87" s="113"/>
      <c r="FG87" s="113"/>
      <c r="FH87" s="113"/>
      <c r="FI87" s="113"/>
      <c r="FJ87" s="113"/>
      <c r="FK87" s="113"/>
      <c r="FL87" s="113"/>
      <c r="FM87" s="113"/>
      <c r="FN87" s="113"/>
      <c r="FO87" s="113"/>
      <c r="FP87" s="113"/>
      <c r="FQ87" s="113"/>
      <c r="FR87" s="113"/>
      <c r="FS87" s="113"/>
      <c r="FT87" s="113"/>
      <c r="FU87" s="113"/>
      <c r="FV87" s="113"/>
      <c r="FW87" s="113"/>
      <c r="FX87" s="113"/>
      <c r="FY87" s="113"/>
      <c r="FZ87" s="113"/>
      <c r="GA87" s="113"/>
      <c r="GB87" s="113"/>
      <c r="GC87" s="113"/>
      <c r="GD87" s="113"/>
      <c r="GE87" s="113"/>
      <c r="GF87" s="113"/>
      <c r="GG87" s="113"/>
      <c r="GH87" s="113"/>
      <c r="GI87" s="113"/>
      <c r="GJ87" s="113"/>
      <c r="GK87" s="113"/>
      <c r="GL87" s="113"/>
      <c r="GM87" s="113"/>
      <c r="GN87" s="113"/>
      <c r="GO87" s="113"/>
      <c r="GP87" s="113"/>
      <c r="GQ87" s="113"/>
      <c r="GR87" s="113"/>
      <c r="GS87" s="113"/>
      <c r="GT87" s="113"/>
      <c r="GU87" s="113"/>
      <c r="GV87" s="113"/>
      <c r="GW87" s="113"/>
      <c r="GX87" s="113"/>
      <c r="GY87" s="113"/>
      <c r="GZ87" s="113"/>
      <c r="HA87" s="113"/>
      <c r="HB87" s="113"/>
      <c r="HC87" s="113"/>
      <c r="HD87" s="113"/>
      <c r="HE87" s="113"/>
      <c r="HF87" s="113"/>
      <c r="HG87" s="113"/>
      <c r="HH87" s="113"/>
      <c r="HI87" s="113"/>
      <c r="HJ87" s="113"/>
      <c r="HK87" s="113"/>
      <c r="HL87" s="113"/>
      <c r="HM87" s="113"/>
      <c r="HN87" s="113"/>
      <c r="HO87" s="113"/>
      <c r="HP87" s="113"/>
      <c r="HQ87" s="113"/>
      <c r="HR87" s="113"/>
      <c r="HS87" s="113"/>
      <c r="HT87" s="113"/>
      <c r="HU87" s="113"/>
      <c r="HV87" s="113"/>
      <c r="HW87" s="113"/>
      <c r="HX87" s="113"/>
      <c r="HY87" s="113"/>
      <c r="HZ87" s="113"/>
      <c r="IA87" s="113"/>
      <c r="IB87" s="113"/>
      <c r="IC87" s="113"/>
      <c r="ID87" s="113"/>
      <c r="IE87" s="113"/>
      <c r="IF87" s="113"/>
      <c r="IG87" s="113"/>
      <c r="IH87" s="113"/>
      <c r="II87" s="113"/>
      <c r="IJ87" s="113"/>
      <c r="IK87" s="113"/>
      <c r="IL87" s="113"/>
      <c r="IM87" s="113"/>
      <c r="IN87" s="113"/>
      <c r="IO87" s="113"/>
      <c r="IP87" s="113"/>
      <c r="IQ87" s="113"/>
      <c r="IR87" s="113"/>
      <c r="IS87" s="113"/>
      <c r="IT87" s="113"/>
      <c r="IU87" s="113"/>
      <c r="IV87" s="113"/>
      <c r="IW87" s="113"/>
    </row>
    <row r="88" customFormat="false" ht="12" hidden="false" customHeight="true" outlineLevel="0" collapsed="false">
      <c r="A88" s="38" t="s">
        <v>144</v>
      </c>
      <c r="B88" s="104" t="s">
        <v>249</v>
      </c>
      <c r="C88" s="104" t="s">
        <v>149</v>
      </c>
      <c r="D88" s="105" t="n">
        <v>36739</v>
      </c>
      <c r="E88" s="105" t="n">
        <v>36769</v>
      </c>
      <c r="F88" s="38" t="n">
        <v>1</v>
      </c>
      <c r="G88" s="38" t="n">
        <v>6</v>
      </c>
      <c r="H88" s="104" t="s">
        <v>154</v>
      </c>
      <c r="I88" s="106" t="n">
        <v>0.02</v>
      </c>
      <c r="J88" s="107"/>
      <c r="K88" s="107"/>
      <c r="L88" s="107"/>
      <c r="M88" s="107"/>
      <c r="N88" s="152"/>
      <c r="O88" s="107"/>
      <c r="P88" s="109" t="n">
        <v>34425</v>
      </c>
      <c r="Q88" s="104" t="n">
        <v>5000</v>
      </c>
      <c r="R88" s="158"/>
      <c r="S88" s="159" t="n">
        <f aca="false">+Q88*0.6</f>
        <v>3000</v>
      </c>
      <c r="T88" s="110"/>
      <c r="U88" s="112" t="s">
        <v>263</v>
      </c>
      <c r="V88" s="112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  <c r="EO88" s="113"/>
      <c r="EP88" s="113"/>
      <c r="EQ88" s="113"/>
      <c r="ER88" s="113"/>
      <c r="ES88" s="113"/>
      <c r="ET88" s="113"/>
      <c r="EU88" s="113"/>
      <c r="EV88" s="113"/>
      <c r="EW88" s="113"/>
      <c r="EX88" s="113"/>
      <c r="EY88" s="113"/>
      <c r="EZ88" s="113"/>
      <c r="FA88" s="113"/>
      <c r="FB88" s="113"/>
      <c r="FC88" s="113"/>
      <c r="FD88" s="113"/>
      <c r="FE88" s="113"/>
      <c r="FF88" s="113"/>
      <c r="FG88" s="113"/>
      <c r="FH88" s="113"/>
      <c r="FI88" s="113"/>
      <c r="FJ88" s="113"/>
      <c r="FK88" s="113"/>
      <c r="FL88" s="113"/>
      <c r="FM88" s="113"/>
      <c r="FN88" s="113"/>
      <c r="FO88" s="113"/>
      <c r="FP88" s="113"/>
      <c r="FQ88" s="113"/>
      <c r="FR88" s="113"/>
      <c r="FS88" s="113"/>
      <c r="FT88" s="113"/>
      <c r="FU88" s="113"/>
      <c r="FV88" s="113"/>
      <c r="FW88" s="113"/>
      <c r="FX88" s="113"/>
      <c r="FY88" s="113"/>
      <c r="FZ88" s="113"/>
      <c r="GA88" s="113"/>
      <c r="GB88" s="113"/>
      <c r="GC88" s="113"/>
      <c r="GD88" s="113"/>
      <c r="GE88" s="113"/>
      <c r="GF88" s="113"/>
      <c r="GG88" s="113"/>
      <c r="GH88" s="113"/>
      <c r="GI88" s="113"/>
      <c r="GJ88" s="113"/>
      <c r="GK88" s="113"/>
      <c r="GL88" s="113"/>
      <c r="GM88" s="113"/>
      <c r="GN88" s="113"/>
      <c r="GO88" s="113"/>
      <c r="GP88" s="113"/>
      <c r="GQ88" s="113"/>
      <c r="GR88" s="113"/>
      <c r="GS88" s="113"/>
      <c r="GT88" s="113"/>
      <c r="GU88" s="113"/>
      <c r="GV88" s="113"/>
      <c r="GW88" s="113"/>
      <c r="GX88" s="113"/>
      <c r="GY88" s="113"/>
      <c r="GZ88" s="113"/>
      <c r="HA88" s="113"/>
      <c r="HB88" s="113"/>
      <c r="HC88" s="113"/>
      <c r="HD88" s="113"/>
      <c r="HE88" s="113"/>
      <c r="HF88" s="113"/>
      <c r="HG88" s="113"/>
      <c r="HH88" s="113"/>
      <c r="HI88" s="113"/>
      <c r="HJ88" s="113"/>
      <c r="HK88" s="113"/>
      <c r="HL88" s="113"/>
      <c r="HM88" s="113"/>
      <c r="HN88" s="113"/>
      <c r="HO88" s="113"/>
      <c r="HP88" s="113"/>
      <c r="HQ88" s="113"/>
      <c r="HR88" s="113"/>
      <c r="HS88" s="113"/>
      <c r="HT88" s="113"/>
      <c r="HU88" s="113"/>
      <c r="HV88" s="113"/>
      <c r="HW88" s="113"/>
      <c r="HX88" s="113"/>
      <c r="HY88" s="113"/>
      <c r="HZ88" s="113"/>
      <c r="IA88" s="113"/>
      <c r="IB88" s="113"/>
      <c r="IC88" s="113"/>
      <c r="ID88" s="113"/>
      <c r="IE88" s="113"/>
      <c r="IF88" s="113"/>
      <c r="IG88" s="113"/>
      <c r="IH88" s="113"/>
      <c r="II88" s="113"/>
      <c r="IJ88" s="113"/>
      <c r="IK88" s="113"/>
      <c r="IL88" s="113"/>
      <c r="IM88" s="113"/>
      <c r="IN88" s="113"/>
      <c r="IO88" s="113"/>
      <c r="IP88" s="113"/>
      <c r="IQ88" s="113"/>
      <c r="IR88" s="113"/>
      <c r="IS88" s="113"/>
      <c r="IT88" s="113"/>
      <c r="IU88" s="113"/>
      <c r="IV88" s="113"/>
      <c r="IW88" s="113"/>
    </row>
    <row r="89" customFormat="false" ht="12" hidden="false" customHeight="true" outlineLevel="0" collapsed="false">
      <c r="A89" s="38" t="s">
        <v>144</v>
      </c>
      <c r="B89" s="104" t="s">
        <v>249</v>
      </c>
      <c r="C89" s="104" t="s">
        <v>149</v>
      </c>
      <c r="D89" s="105" t="n">
        <v>36739</v>
      </c>
      <c r="E89" s="105" t="n">
        <v>36769</v>
      </c>
      <c r="F89" s="38" t="n">
        <v>1</v>
      </c>
      <c r="G89" s="38" t="n">
        <v>6</v>
      </c>
      <c r="H89" s="104" t="s">
        <v>154</v>
      </c>
      <c r="I89" s="106" t="n">
        <v>0.02</v>
      </c>
      <c r="J89" s="107"/>
      <c r="K89" s="107"/>
      <c r="L89" s="107"/>
      <c r="M89" s="107"/>
      <c r="N89" s="152"/>
      <c r="O89" s="107"/>
      <c r="P89" s="109" t="n">
        <v>34426</v>
      </c>
      <c r="Q89" s="104" t="n">
        <v>5331</v>
      </c>
      <c r="R89" s="158"/>
      <c r="S89" s="159" t="n">
        <f aca="false">+Q89*0.6</f>
        <v>3198.6</v>
      </c>
      <c r="T89" s="110"/>
      <c r="U89" s="112" t="s">
        <v>264</v>
      </c>
      <c r="V89" s="112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13"/>
      <c r="FG89" s="113"/>
      <c r="FH89" s="113"/>
      <c r="FI89" s="113"/>
      <c r="FJ89" s="113"/>
      <c r="FK89" s="113"/>
      <c r="FL89" s="113"/>
      <c r="FM89" s="113"/>
      <c r="FN89" s="113"/>
      <c r="FO89" s="113"/>
      <c r="FP89" s="113"/>
      <c r="FQ89" s="113"/>
      <c r="FR89" s="113"/>
      <c r="FS89" s="113"/>
      <c r="FT89" s="113"/>
      <c r="FU89" s="113"/>
      <c r="FV89" s="113"/>
      <c r="FW89" s="113"/>
      <c r="FX89" s="113"/>
      <c r="FY89" s="113"/>
      <c r="FZ89" s="113"/>
      <c r="GA89" s="113"/>
      <c r="GB89" s="113"/>
      <c r="GC89" s="113"/>
      <c r="GD89" s="113"/>
      <c r="GE89" s="113"/>
      <c r="GF89" s="113"/>
      <c r="GG89" s="113"/>
      <c r="GH89" s="113"/>
      <c r="GI89" s="113"/>
      <c r="GJ89" s="113"/>
      <c r="GK89" s="113"/>
      <c r="GL89" s="113"/>
      <c r="GM89" s="113"/>
      <c r="GN89" s="113"/>
      <c r="GO89" s="113"/>
      <c r="GP89" s="113"/>
      <c r="GQ89" s="113"/>
      <c r="GR89" s="113"/>
      <c r="GS89" s="113"/>
      <c r="GT89" s="113"/>
      <c r="GU89" s="113"/>
      <c r="GV89" s="113"/>
      <c r="GW89" s="113"/>
      <c r="GX89" s="113"/>
      <c r="GY89" s="113"/>
      <c r="GZ89" s="113"/>
      <c r="HA89" s="113"/>
      <c r="HB89" s="113"/>
      <c r="HC89" s="113"/>
      <c r="HD89" s="113"/>
      <c r="HE89" s="113"/>
      <c r="HF89" s="113"/>
      <c r="HG89" s="113"/>
      <c r="HH89" s="113"/>
      <c r="HI89" s="113"/>
      <c r="HJ89" s="113"/>
      <c r="HK89" s="113"/>
      <c r="HL89" s="113"/>
      <c r="HM89" s="113"/>
      <c r="HN89" s="113"/>
      <c r="HO89" s="113"/>
      <c r="HP89" s="113"/>
      <c r="HQ89" s="113"/>
      <c r="HR89" s="113"/>
      <c r="HS89" s="113"/>
      <c r="HT89" s="113"/>
      <c r="HU89" s="113"/>
      <c r="HV89" s="113"/>
      <c r="HW89" s="113"/>
      <c r="HX89" s="113"/>
      <c r="HY89" s="113"/>
      <c r="HZ89" s="113"/>
      <c r="IA89" s="113"/>
      <c r="IB89" s="113"/>
      <c r="IC89" s="113"/>
      <c r="ID89" s="113"/>
      <c r="IE89" s="113"/>
      <c r="IF89" s="113"/>
      <c r="IG89" s="113"/>
      <c r="IH89" s="113"/>
      <c r="II89" s="113"/>
      <c r="IJ89" s="113"/>
      <c r="IK89" s="113"/>
      <c r="IL89" s="113"/>
      <c r="IM89" s="113"/>
      <c r="IN89" s="113"/>
      <c r="IO89" s="113"/>
      <c r="IP89" s="113"/>
      <c r="IQ89" s="113"/>
      <c r="IR89" s="113"/>
      <c r="IS89" s="113"/>
      <c r="IT89" s="113"/>
      <c r="IU89" s="113"/>
      <c r="IV89" s="113"/>
      <c r="IW89" s="113"/>
    </row>
    <row r="90" customFormat="false" ht="12.75" hidden="false" customHeight="false" outlineLevel="0" collapsed="false">
      <c r="A90" s="38" t="s">
        <v>144</v>
      </c>
      <c r="B90" s="104" t="s">
        <v>249</v>
      </c>
      <c r="C90" s="104" t="s">
        <v>265</v>
      </c>
      <c r="D90" s="105" t="n">
        <v>36739</v>
      </c>
      <c r="E90" s="105" t="n">
        <v>36769</v>
      </c>
      <c r="F90" s="38" t="s">
        <v>266</v>
      </c>
      <c r="G90" s="38" t="s">
        <v>257</v>
      </c>
      <c r="H90" s="104" t="s">
        <v>35</v>
      </c>
      <c r="I90" s="106" t="n">
        <f aca="false">0.62/31</f>
        <v>0.02</v>
      </c>
      <c r="J90" s="107"/>
      <c r="K90" s="107"/>
      <c r="L90" s="107"/>
      <c r="M90" s="107"/>
      <c r="N90" s="152"/>
      <c r="O90" s="107"/>
      <c r="P90" s="109" t="n">
        <v>34410</v>
      </c>
      <c r="Q90" s="104" t="n">
        <v>3345</v>
      </c>
      <c r="R90" s="38"/>
      <c r="S90" s="160" t="n">
        <f aca="false">I90*I$1*Q90</f>
        <v>2073.9</v>
      </c>
      <c r="T90" s="110"/>
      <c r="U90" s="112" t="n">
        <v>347108</v>
      </c>
      <c r="V90" s="112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  <c r="ED90" s="113"/>
      <c r="EE90" s="113"/>
      <c r="EF90" s="113"/>
      <c r="EG90" s="113"/>
      <c r="EH90" s="113"/>
      <c r="EI90" s="113"/>
      <c r="EJ90" s="113"/>
      <c r="EK90" s="113"/>
      <c r="EL90" s="113"/>
      <c r="EM90" s="113"/>
      <c r="EN90" s="113"/>
      <c r="EO90" s="113"/>
      <c r="EP90" s="113"/>
      <c r="EQ90" s="113"/>
      <c r="ER90" s="113"/>
      <c r="ES90" s="113"/>
      <c r="ET90" s="113"/>
      <c r="EU90" s="113"/>
      <c r="EV90" s="113"/>
      <c r="EW90" s="113"/>
      <c r="EX90" s="113"/>
      <c r="EY90" s="113"/>
      <c r="EZ90" s="113"/>
      <c r="FA90" s="113"/>
      <c r="FB90" s="113"/>
      <c r="FC90" s="113"/>
      <c r="FD90" s="113"/>
      <c r="FE90" s="113"/>
      <c r="FF90" s="113"/>
      <c r="FG90" s="113"/>
      <c r="FH90" s="113"/>
      <c r="FI90" s="113"/>
      <c r="FJ90" s="113"/>
      <c r="FK90" s="113"/>
      <c r="FL90" s="113"/>
      <c r="FM90" s="113"/>
      <c r="FN90" s="113"/>
      <c r="FO90" s="113"/>
      <c r="FP90" s="113"/>
      <c r="FQ90" s="113"/>
      <c r="FR90" s="113"/>
      <c r="FS90" s="113"/>
      <c r="FT90" s="113"/>
      <c r="FU90" s="113"/>
      <c r="FV90" s="113"/>
      <c r="FW90" s="113"/>
      <c r="FX90" s="113"/>
      <c r="FY90" s="113"/>
      <c r="FZ90" s="113"/>
      <c r="GA90" s="113"/>
      <c r="GB90" s="113"/>
      <c r="GC90" s="113"/>
      <c r="GD90" s="113"/>
      <c r="GE90" s="113"/>
      <c r="GF90" s="113"/>
      <c r="GG90" s="113"/>
      <c r="GH90" s="113"/>
      <c r="GI90" s="113"/>
      <c r="GJ90" s="113"/>
      <c r="GK90" s="113"/>
      <c r="GL90" s="113"/>
      <c r="GM90" s="113"/>
      <c r="GN90" s="113"/>
      <c r="GO90" s="113"/>
      <c r="GP90" s="113"/>
      <c r="GQ90" s="113"/>
      <c r="GR90" s="113"/>
      <c r="GS90" s="113"/>
      <c r="GT90" s="113"/>
      <c r="GU90" s="113"/>
      <c r="GV90" s="113"/>
      <c r="GW90" s="113"/>
      <c r="GX90" s="113"/>
      <c r="GY90" s="113"/>
      <c r="GZ90" s="113"/>
      <c r="HA90" s="113"/>
      <c r="HB90" s="113"/>
      <c r="HC90" s="113"/>
      <c r="HD90" s="113"/>
      <c r="HE90" s="113"/>
      <c r="HF90" s="113"/>
      <c r="HG90" s="113"/>
      <c r="HH90" s="113"/>
      <c r="HI90" s="113"/>
      <c r="HJ90" s="113"/>
      <c r="HK90" s="113"/>
      <c r="HL90" s="113"/>
      <c r="HM90" s="113"/>
      <c r="HN90" s="113"/>
      <c r="HO90" s="113"/>
      <c r="HP90" s="113"/>
      <c r="HQ90" s="113"/>
      <c r="HR90" s="113"/>
      <c r="HS90" s="113"/>
      <c r="HT90" s="113"/>
      <c r="HU90" s="113"/>
      <c r="HV90" s="113"/>
      <c r="HW90" s="113"/>
      <c r="HX90" s="113"/>
      <c r="HY90" s="113"/>
      <c r="HZ90" s="113"/>
      <c r="IA90" s="113"/>
      <c r="IB90" s="113"/>
      <c r="IC90" s="113"/>
      <c r="ID90" s="113"/>
      <c r="IE90" s="113"/>
      <c r="IF90" s="113"/>
      <c r="IG90" s="113"/>
      <c r="IH90" s="113"/>
      <c r="II90" s="113"/>
      <c r="IJ90" s="113"/>
      <c r="IK90" s="113"/>
      <c r="IL90" s="113"/>
      <c r="IM90" s="113"/>
      <c r="IN90" s="113"/>
      <c r="IO90" s="113"/>
      <c r="IP90" s="113"/>
      <c r="IQ90" s="113"/>
      <c r="IR90" s="113"/>
      <c r="IS90" s="113"/>
      <c r="IT90" s="113"/>
      <c r="IU90" s="113"/>
      <c r="IV90" s="113"/>
      <c r="IW90" s="113"/>
    </row>
    <row r="91" customFormat="false" ht="12.75" hidden="false" customHeight="false" outlineLevel="0" collapsed="false">
      <c r="A91" s="85" t="s">
        <v>1</v>
      </c>
      <c r="B91" s="69" t="s">
        <v>1</v>
      </c>
      <c r="C91" s="69" t="s">
        <v>1</v>
      </c>
      <c r="D91" s="86" t="s">
        <v>1</v>
      </c>
      <c r="E91" s="86" t="s">
        <v>1</v>
      </c>
      <c r="F91" s="85" t="s">
        <v>1</v>
      </c>
      <c r="G91" s="85" t="s">
        <v>1</v>
      </c>
      <c r="H91" s="69" t="s">
        <v>1</v>
      </c>
      <c r="I91" s="88" t="s">
        <v>1</v>
      </c>
      <c r="J91" s="68" t="s">
        <v>1</v>
      </c>
      <c r="K91" s="68" t="s">
        <v>1</v>
      </c>
      <c r="L91" s="68" t="s">
        <v>1</v>
      </c>
      <c r="M91" s="68" t="s">
        <v>267</v>
      </c>
      <c r="N91" s="154" t="s">
        <v>1</v>
      </c>
      <c r="O91" s="68" t="s">
        <v>1</v>
      </c>
      <c r="P91" s="161" t="s">
        <v>1</v>
      </c>
      <c r="Q91" s="69" t="s">
        <v>1</v>
      </c>
      <c r="R91" s="85" t="s">
        <v>1</v>
      </c>
      <c r="S91" s="35"/>
      <c r="T91" s="35" t="n">
        <f aca="false">SUM(T80:T90)</f>
        <v>0</v>
      </c>
      <c r="U91" s="37"/>
      <c r="V91" s="37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162"/>
      <c r="CQ91" s="162"/>
      <c r="CR91" s="162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162"/>
      <c r="EA91" s="162"/>
      <c r="EB91" s="162"/>
      <c r="EC91" s="162"/>
      <c r="ED91" s="162"/>
      <c r="EE91" s="162"/>
      <c r="EF91" s="162"/>
      <c r="EG91" s="162"/>
      <c r="EH91" s="162"/>
      <c r="EI91" s="162"/>
      <c r="EJ91" s="162"/>
      <c r="EK91" s="162"/>
      <c r="EL91" s="162"/>
      <c r="EM91" s="162"/>
      <c r="EN91" s="162"/>
      <c r="EO91" s="162"/>
      <c r="EP91" s="162"/>
      <c r="EQ91" s="162"/>
      <c r="ER91" s="162"/>
      <c r="ES91" s="162"/>
      <c r="ET91" s="162"/>
      <c r="EU91" s="162"/>
      <c r="EV91" s="162"/>
      <c r="EW91" s="162"/>
      <c r="EX91" s="162"/>
      <c r="EY91" s="162"/>
      <c r="EZ91" s="162"/>
      <c r="FA91" s="162"/>
      <c r="FB91" s="162"/>
      <c r="FC91" s="162"/>
      <c r="FD91" s="162"/>
      <c r="FE91" s="162"/>
      <c r="FF91" s="162"/>
      <c r="FG91" s="162"/>
      <c r="FH91" s="162"/>
      <c r="FI91" s="162"/>
      <c r="FJ91" s="162"/>
      <c r="FK91" s="162"/>
      <c r="FL91" s="162"/>
      <c r="FM91" s="162"/>
      <c r="FN91" s="162"/>
      <c r="FO91" s="162"/>
      <c r="FP91" s="162"/>
      <c r="FQ91" s="162"/>
      <c r="FR91" s="162"/>
      <c r="FS91" s="162"/>
      <c r="FT91" s="162"/>
      <c r="FU91" s="162"/>
      <c r="FV91" s="162"/>
      <c r="FW91" s="162"/>
      <c r="FX91" s="162"/>
      <c r="FY91" s="162"/>
      <c r="FZ91" s="162"/>
      <c r="GA91" s="162"/>
      <c r="GB91" s="162"/>
      <c r="GC91" s="162"/>
      <c r="GD91" s="162"/>
      <c r="GE91" s="162"/>
      <c r="GF91" s="162"/>
      <c r="GG91" s="162"/>
      <c r="GH91" s="162"/>
      <c r="GI91" s="162"/>
      <c r="GJ91" s="162"/>
      <c r="GK91" s="162"/>
      <c r="GL91" s="162"/>
      <c r="GM91" s="162"/>
      <c r="GN91" s="162"/>
      <c r="GO91" s="162"/>
      <c r="GP91" s="162"/>
      <c r="GQ91" s="162"/>
      <c r="GR91" s="162"/>
      <c r="GS91" s="162"/>
      <c r="GT91" s="162"/>
      <c r="GU91" s="162"/>
      <c r="GV91" s="162"/>
      <c r="GW91" s="162"/>
      <c r="GX91" s="162"/>
      <c r="GY91" s="162"/>
      <c r="GZ91" s="162"/>
      <c r="HA91" s="162"/>
      <c r="HB91" s="162"/>
      <c r="HC91" s="162"/>
      <c r="HD91" s="162"/>
      <c r="HE91" s="162"/>
      <c r="HF91" s="162"/>
      <c r="HG91" s="162"/>
      <c r="HH91" s="162"/>
      <c r="HI91" s="162"/>
      <c r="HJ91" s="162"/>
      <c r="HK91" s="162"/>
      <c r="HL91" s="162"/>
      <c r="HM91" s="162"/>
      <c r="HN91" s="162"/>
      <c r="HO91" s="162"/>
      <c r="HP91" s="162"/>
      <c r="HQ91" s="162"/>
      <c r="HR91" s="162"/>
      <c r="HS91" s="162"/>
      <c r="HT91" s="162"/>
      <c r="HU91" s="162"/>
      <c r="HV91" s="162"/>
      <c r="HW91" s="162"/>
      <c r="HX91" s="162"/>
      <c r="HY91" s="162"/>
      <c r="HZ91" s="162"/>
      <c r="IA91" s="162"/>
      <c r="IB91" s="162"/>
      <c r="IC91" s="162"/>
      <c r="ID91" s="162"/>
      <c r="IE91" s="162"/>
      <c r="IF91" s="162"/>
      <c r="IG91" s="162"/>
      <c r="IH91" s="162"/>
      <c r="II91" s="162"/>
      <c r="IJ91" s="162"/>
      <c r="IK91" s="162"/>
      <c r="IL91" s="162"/>
      <c r="IM91" s="162"/>
      <c r="IN91" s="162"/>
      <c r="IO91" s="162"/>
      <c r="IP91" s="162"/>
      <c r="IQ91" s="162"/>
      <c r="IR91" s="162"/>
      <c r="IS91" s="162"/>
      <c r="IT91" s="162"/>
      <c r="IU91" s="162"/>
      <c r="IV91" s="162"/>
      <c r="IW91" s="162"/>
    </row>
    <row r="92" customFormat="false" ht="12.75" hidden="false" customHeight="false" outlineLevel="0" collapsed="false">
      <c r="A92" s="85"/>
      <c r="B92" s="69"/>
      <c r="C92" s="69" t="n">
        <f aca="false">65000/12</f>
        <v>5416.66666666667</v>
      </c>
      <c r="D92" s="86"/>
      <c r="E92" s="86"/>
      <c r="F92" s="85"/>
      <c r="G92" s="85"/>
      <c r="H92" s="69"/>
      <c r="I92" s="88"/>
      <c r="J92" s="68"/>
      <c r="K92" s="68"/>
      <c r="L92" s="68"/>
      <c r="M92" s="68"/>
      <c r="N92" s="89"/>
      <c r="O92" s="68"/>
      <c r="P92" s="161"/>
      <c r="Q92" s="69" t="n">
        <f aca="false">SUM(Q81:Q91)</f>
        <v>69100</v>
      </c>
      <c r="R92" s="85" t="s">
        <v>164</v>
      </c>
      <c r="S92" s="91" t="n">
        <f aca="false">SUM(S81:S91)</f>
        <v>417569.3</v>
      </c>
      <c r="T92" s="35"/>
      <c r="U92" s="36"/>
      <c r="V92" s="37"/>
      <c r="W92" s="37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  <c r="IN92" s="162"/>
      <c r="IO92" s="162"/>
      <c r="IP92" s="162"/>
      <c r="IQ92" s="162"/>
      <c r="IR92" s="162"/>
      <c r="IS92" s="162"/>
      <c r="IT92" s="162"/>
      <c r="IU92" s="162"/>
      <c r="IV92" s="162"/>
      <c r="IW92" s="162"/>
    </row>
    <row r="93" customFormat="false" ht="12.75" hidden="false" customHeight="false" outlineLevel="0" collapsed="false">
      <c r="A93" s="15"/>
      <c r="B93" s="16"/>
      <c r="C93" s="16"/>
      <c r="D93" s="17"/>
      <c r="E93" s="17"/>
      <c r="F93" s="15"/>
      <c r="G93" s="15"/>
      <c r="H93" s="16"/>
      <c r="I93" s="19"/>
      <c r="J93" s="20"/>
      <c r="K93" s="20"/>
      <c r="L93" s="20"/>
      <c r="M93" s="20"/>
      <c r="N93" s="25"/>
      <c r="O93" s="20"/>
      <c r="P93" s="22"/>
      <c r="Q93" s="71"/>
      <c r="R93" s="85" t="s">
        <v>165</v>
      </c>
      <c r="S93" s="91" t="n">
        <f aca="false">SUM(S81)</f>
        <v>396200</v>
      </c>
      <c r="T93" s="23"/>
      <c r="U93" s="26"/>
      <c r="V93" s="24"/>
      <c r="W93" s="24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3.5" hidden="false" customHeight="false" outlineLevel="0" collapsed="false">
      <c r="A94" s="15"/>
      <c r="B94" s="16"/>
      <c r="C94" s="16"/>
      <c r="D94" s="17"/>
      <c r="E94" s="17"/>
      <c r="F94" s="15"/>
      <c r="G94" s="15"/>
      <c r="H94" s="16"/>
      <c r="I94" s="19"/>
      <c r="J94" s="20"/>
      <c r="K94" s="20"/>
      <c r="L94" s="20"/>
      <c r="M94" s="20"/>
      <c r="N94" s="25"/>
      <c r="O94" s="20"/>
      <c r="P94" s="22"/>
      <c r="Q94" s="71"/>
      <c r="R94" s="85" t="s">
        <v>166</v>
      </c>
      <c r="S94" s="149" t="n">
        <f aca="false">+S92-S93</f>
        <v>21369.3</v>
      </c>
      <c r="T94" s="23"/>
      <c r="U94" s="26"/>
      <c r="V94" s="24"/>
      <c r="W94" s="24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3.5" hidden="false" customHeight="false" outlineLevel="0" collapsed="false">
      <c r="A95" s="15"/>
      <c r="B95" s="16"/>
      <c r="C95" s="16"/>
      <c r="D95" s="17"/>
      <c r="E95" s="17"/>
      <c r="F95" s="15"/>
      <c r="G95" s="15"/>
      <c r="H95" s="16"/>
      <c r="I95" s="19"/>
      <c r="J95" s="20"/>
      <c r="K95" s="20"/>
      <c r="L95" s="20"/>
      <c r="M95" s="20"/>
      <c r="N95" s="25"/>
      <c r="O95" s="20"/>
      <c r="P95" s="22"/>
      <c r="Q95" s="16"/>
      <c r="R95" s="15"/>
      <c r="S95" s="23"/>
      <c r="T95" s="23"/>
      <c r="U95" s="26"/>
      <c r="V95" s="24"/>
      <c r="W95" s="24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false" customHeight="false" outlineLevel="0" collapsed="false">
      <c r="A96" s="141" t="s">
        <v>108</v>
      </c>
      <c r="B96" s="142" t="s">
        <v>109</v>
      </c>
      <c r="C96" s="142" t="s">
        <v>110</v>
      </c>
      <c r="D96" s="143" t="s">
        <v>111</v>
      </c>
      <c r="E96" s="143"/>
      <c r="F96" s="141" t="s">
        <v>112</v>
      </c>
      <c r="G96" s="141" t="s">
        <v>113</v>
      </c>
      <c r="H96" s="142" t="s">
        <v>114</v>
      </c>
      <c r="I96" s="144" t="s">
        <v>115</v>
      </c>
      <c r="J96" s="142" t="s">
        <v>116</v>
      </c>
      <c r="K96" s="142" t="s">
        <v>117</v>
      </c>
      <c r="L96" s="142" t="s">
        <v>118</v>
      </c>
      <c r="M96" s="142" t="s">
        <v>119</v>
      </c>
      <c r="N96" s="142" t="s">
        <v>268</v>
      </c>
      <c r="O96" s="142" t="s">
        <v>121</v>
      </c>
      <c r="P96" s="146" t="s">
        <v>122</v>
      </c>
      <c r="Q96" s="142" t="s">
        <v>123</v>
      </c>
      <c r="R96" s="141" t="s">
        <v>124</v>
      </c>
      <c r="S96" s="163" t="s">
        <v>236</v>
      </c>
      <c r="T96" s="99" t="s">
        <v>237</v>
      </c>
      <c r="U96" s="102"/>
      <c r="V96" s="102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  <c r="DB96" s="148"/>
      <c r="DC96" s="148"/>
      <c r="DD96" s="148"/>
      <c r="DE96" s="148"/>
      <c r="DF96" s="148"/>
      <c r="DG96" s="148"/>
      <c r="DH96" s="148"/>
      <c r="DI96" s="148"/>
      <c r="DJ96" s="148"/>
      <c r="DK96" s="148"/>
      <c r="DL96" s="148"/>
      <c r="DM96" s="148"/>
      <c r="DN96" s="148"/>
      <c r="DO96" s="148"/>
      <c r="DP96" s="148"/>
      <c r="DQ96" s="148"/>
      <c r="DR96" s="148"/>
      <c r="DS96" s="148"/>
      <c r="DT96" s="148"/>
      <c r="DU96" s="148"/>
      <c r="DV96" s="148"/>
      <c r="DW96" s="148"/>
      <c r="DX96" s="148"/>
      <c r="DY96" s="148"/>
      <c r="DZ96" s="148"/>
      <c r="EA96" s="148"/>
      <c r="EB96" s="148"/>
      <c r="EC96" s="148"/>
      <c r="ED96" s="148"/>
      <c r="EE96" s="148"/>
      <c r="EF96" s="148"/>
      <c r="EG96" s="148"/>
      <c r="EH96" s="148"/>
      <c r="EI96" s="148"/>
      <c r="EJ96" s="148"/>
      <c r="EK96" s="148"/>
      <c r="EL96" s="148"/>
      <c r="EM96" s="148"/>
      <c r="EN96" s="148"/>
      <c r="EO96" s="148"/>
      <c r="EP96" s="148"/>
      <c r="EQ96" s="148"/>
      <c r="ER96" s="148"/>
      <c r="ES96" s="148"/>
      <c r="ET96" s="148"/>
      <c r="EU96" s="148"/>
      <c r="EV96" s="148"/>
      <c r="EW96" s="148"/>
      <c r="EX96" s="148"/>
      <c r="EY96" s="148"/>
      <c r="EZ96" s="148"/>
      <c r="FA96" s="148"/>
      <c r="FB96" s="148"/>
      <c r="FC96" s="148"/>
      <c r="FD96" s="148"/>
      <c r="FE96" s="148"/>
      <c r="FF96" s="148"/>
      <c r="FG96" s="148"/>
      <c r="FH96" s="148"/>
      <c r="FI96" s="148"/>
      <c r="FJ96" s="148"/>
      <c r="FK96" s="148"/>
      <c r="FL96" s="148"/>
      <c r="FM96" s="148"/>
      <c r="FN96" s="148"/>
      <c r="FO96" s="148"/>
      <c r="FP96" s="148"/>
      <c r="FQ96" s="148"/>
      <c r="FR96" s="148"/>
      <c r="FS96" s="148"/>
      <c r="FT96" s="148"/>
      <c r="FU96" s="148"/>
      <c r="FV96" s="148"/>
      <c r="FW96" s="148"/>
      <c r="FX96" s="148"/>
      <c r="FY96" s="148"/>
      <c r="FZ96" s="148"/>
      <c r="GA96" s="148"/>
      <c r="GB96" s="148"/>
      <c r="GC96" s="148"/>
      <c r="GD96" s="148"/>
      <c r="GE96" s="148"/>
      <c r="GF96" s="148"/>
      <c r="GG96" s="148"/>
      <c r="GH96" s="148"/>
      <c r="GI96" s="148"/>
      <c r="GJ96" s="148"/>
      <c r="GK96" s="148"/>
      <c r="GL96" s="148"/>
      <c r="GM96" s="148"/>
      <c r="GN96" s="148"/>
      <c r="GO96" s="148"/>
      <c r="GP96" s="148"/>
      <c r="GQ96" s="148"/>
      <c r="GR96" s="148"/>
      <c r="GS96" s="148"/>
      <c r="GT96" s="148"/>
      <c r="GU96" s="148"/>
      <c r="GV96" s="148"/>
      <c r="GW96" s="148"/>
      <c r="GX96" s="148"/>
      <c r="GY96" s="148"/>
      <c r="GZ96" s="148"/>
      <c r="HA96" s="148"/>
      <c r="HB96" s="148"/>
      <c r="HC96" s="148"/>
      <c r="HD96" s="148"/>
      <c r="HE96" s="148"/>
      <c r="HF96" s="148"/>
      <c r="HG96" s="148"/>
      <c r="HH96" s="148"/>
      <c r="HI96" s="148"/>
      <c r="HJ96" s="148"/>
      <c r="HK96" s="148"/>
      <c r="HL96" s="148"/>
      <c r="HM96" s="148"/>
      <c r="HN96" s="148"/>
      <c r="HO96" s="148"/>
      <c r="HP96" s="148"/>
      <c r="HQ96" s="148"/>
      <c r="HR96" s="148"/>
      <c r="HS96" s="148"/>
      <c r="HT96" s="148"/>
      <c r="HU96" s="148"/>
      <c r="HV96" s="148"/>
      <c r="HW96" s="148"/>
      <c r="HX96" s="148"/>
      <c r="HY96" s="148"/>
      <c r="HZ96" s="148"/>
      <c r="IA96" s="148"/>
      <c r="IB96" s="148"/>
      <c r="IC96" s="148"/>
      <c r="ID96" s="148"/>
      <c r="IE96" s="148"/>
      <c r="IF96" s="148"/>
      <c r="IG96" s="148"/>
      <c r="IH96" s="148"/>
      <c r="II96" s="148"/>
      <c r="IJ96" s="148"/>
      <c r="IK96" s="148"/>
      <c r="IL96" s="148"/>
      <c r="IM96" s="148"/>
      <c r="IN96" s="148"/>
      <c r="IO96" s="148"/>
      <c r="IP96" s="148"/>
      <c r="IQ96" s="148"/>
      <c r="IR96" s="148"/>
      <c r="IS96" s="148"/>
      <c r="IT96" s="148"/>
      <c r="IU96" s="148"/>
      <c r="IV96" s="148"/>
      <c r="IW96" s="148"/>
    </row>
    <row r="97" customFormat="false" ht="12.75" hidden="false" customHeight="false" outlineLevel="0" collapsed="false">
      <c r="A97" s="15" t="s">
        <v>144</v>
      </c>
      <c r="B97" s="34" t="s">
        <v>269</v>
      </c>
      <c r="C97" s="16" t="s">
        <v>270</v>
      </c>
      <c r="D97" s="17" t="n">
        <v>36647</v>
      </c>
      <c r="E97" s="17" t="n">
        <v>36830</v>
      </c>
      <c r="F97" s="15" t="s">
        <v>271</v>
      </c>
      <c r="G97" s="15" t="s">
        <v>272</v>
      </c>
      <c r="H97" s="34" t="s">
        <v>154</v>
      </c>
      <c r="I97" s="19" t="n">
        <f aca="false">1.38/I$1</f>
        <v>0.0445161290322581</v>
      </c>
      <c r="J97" s="20"/>
      <c r="K97" s="20"/>
      <c r="L97" s="20"/>
      <c r="M97" s="20"/>
      <c r="N97" s="20"/>
      <c r="O97" s="20"/>
      <c r="P97" s="164" t="s">
        <v>273</v>
      </c>
      <c r="Q97" s="16" t="n">
        <v>10000</v>
      </c>
      <c r="R97" s="15" t="s">
        <v>274</v>
      </c>
      <c r="S97" s="23" t="n">
        <f aca="false">I97*$I$1*Q97</f>
        <v>13800</v>
      </c>
      <c r="T97" s="23"/>
      <c r="U97" s="24" t="n">
        <v>253067</v>
      </c>
      <c r="V97" s="24"/>
      <c r="W97" s="27"/>
    </row>
    <row r="98" customFormat="false" ht="12.75" hidden="false" customHeight="false" outlineLevel="0" collapsed="false">
      <c r="A98" s="15" t="s">
        <v>144</v>
      </c>
      <c r="B98" s="34" t="s">
        <v>269</v>
      </c>
      <c r="C98" s="16" t="s">
        <v>270</v>
      </c>
      <c r="D98" s="17" t="n">
        <v>36678</v>
      </c>
      <c r="E98" s="17" t="n">
        <v>36830</v>
      </c>
      <c r="F98" s="15" t="s">
        <v>271</v>
      </c>
      <c r="G98" s="15" t="s">
        <v>272</v>
      </c>
      <c r="H98" s="34" t="s">
        <v>154</v>
      </c>
      <c r="I98" s="19" t="n">
        <f aca="false">2.05/I$1</f>
        <v>0.0661290322580645</v>
      </c>
      <c r="J98" s="20"/>
      <c r="K98" s="20"/>
      <c r="L98" s="20"/>
      <c r="M98" s="20"/>
      <c r="N98" s="20"/>
      <c r="O98" s="20"/>
      <c r="P98" s="164" t="s">
        <v>275</v>
      </c>
      <c r="Q98" s="16" t="n">
        <v>6500</v>
      </c>
      <c r="R98" s="15" t="s">
        <v>276</v>
      </c>
      <c r="S98" s="23" t="n">
        <f aca="false">I98*$I$1*Q98</f>
        <v>13325</v>
      </c>
      <c r="T98" s="23"/>
      <c r="U98" s="24" t="n">
        <v>282594</v>
      </c>
      <c r="V98" s="24"/>
      <c r="W98" s="27"/>
    </row>
    <row r="99" customFormat="false" ht="12.75" hidden="false" customHeight="false" outlineLevel="0" collapsed="false">
      <c r="N99" s="27"/>
      <c r="P99" s="1"/>
      <c r="Q99" s="1"/>
      <c r="S99" s="165"/>
      <c r="W99" s="27"/>
    </row>
    <row r="100" customFormat="false" ht="12.75" hidden="false" customHeight="false" outlineLevel="0" collapsed="false">
      <c r="A100" s="85"/>
      <c r="B100" s="69"/>
      <c r="C100" s="69"/>
      <c r="D100" s="86"/>
      <c r="E100" s="86"/>
      <c r="F100" s="85"/>
      <c r="G100" s="85"/>
      <c r="H100" s="69"/>
      <c r="I100" s="88"/>
      <c r="J100" s="68"/>
      <c r="K100" s="68"/>
      <c r="L100" s="68"/>
      <c r="M100" s="68"/>
      <c r="N100" s="89"/>
      <c r="O100" s="68"/>
      <c r="P100" s="161"/>
      <c r="Q100" s="69" t="n">
        <f aca="false">SUM(Q98:Q99)</f>
        <v>6500</v>
      </c>
      <c r="R100" s="85" t="s">
        <v>164</v>
      </c>
      <c r="S100" s="91" t="n">
        <f aca="false">SUM(S97:S99)</f>
        <v>27125</v>
      </c>
      <c r="T100" s="35"/>
      <c r="U100" s="36"/>
      <c r="V100" s="37"/>
      <c r="W100" s="37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  <c r="BI100" s="162"/>
      <c r="BJ100" s="162"/>
      <c r="BK100" s="162"/>
      <c r="BL100" s="162"/>
      <c r="BM100" s="162"/>
      <c r="BN100" s="162"/>
      <c r="BO100" s="162"/>
      <c r="BP100" s="162"/>
      <c r="BQ100" s="162"/>
      <c r="BR100" s="162"/>
      <c r="BS100" s="162"/>
      <c r="BT100" s="162"/>
      <c r="BU100" s="162"/>
      <c r="BV100" s="162"/>
      <c r="BW100" s="162"/>
      <c r="BX100" s="162"/>
      <c r="BY100" s="162"/>
      <c r="BZ100" s="162"/>
      <c r="CA100" s="162"/>
      <c r="CB100" s="162"/>
      <c r="CC100" s="162"/>
      <c r="CD100" s="162"/>
      <c r="CE100" s="162"/>
      <c r="CF100" s="162"/>
      <c r="CG100" s="162"/>
      <c r="CH100" s="162"/>
      <c r="CI100" s="162"/>
      <c r="CJ100" s="162"/>
      <c r="CK100" s="162"/>
      <c r="CL100" s="162"/>
      <c r="CM100" s="162"/>
      <c r="CN100" s="162"/>
      <c r="CO100" s="162"/>
      <c r="CP100" s="162"/>
      <c r="CQ100" s="162"/>
      <c r="CR100" s="162"/>
      <c r="CS100" s="162"/>
      <c r="CT100" s="162"/>
      <c r="CU100" s="162"/>
      <c r="CV100" s="162"/>
      <c r="CW100" s="162"/>
      <c r="CX100" s="162"/>
      <c r="CY100" s="162"/>
      <c r="CZ100" s="162"/>
      <c r="DA100" s="162"/>
      <c r="DB100" s="162"/>
      <c r="DC100" s="162"/>
      <c r="DD100" s="162"/>
      <c r="DE100" s="162"/>
      <c r="DF100" s="162"/>
      <c r="DG100" s="162"/>
      <c r="DH100" s="162"/>
      <c r="DI100" s="162"/>
      <c r="DJ100" s="162"/>
      <c r="DK100" s="162"/>
      <c r="DL100" s="162"/>
      <c r="DM100" s="162"/>
      <c r="DN100" s="162"/>
      <c r="DO100" s="162"/>
      <c r="DP100" s="162"/>
      <c r="DQ100" s="162"/>
      <c r="DR100" s="162"/>
      <c r="DS100" s="162"/>
      <c r="DT100" s="162"/>
      <c r="DU100" s="162"/>
      <c r="DV100" s="162"/>
      <c r="DW100" s="162"/>
      <c r="DX100" s="162"/>
      <c r="DY100" s="162"/>
      <c r="DZ100" s="162"/>
      <c r="EA100" s="162"/>
      <c r="EB100" s="162"/>
      <c r="EC100" s="162"/>
      <c r="ED100" s="162"/>
      <c r="EE100" s="162"/>
      <c r="EF100" s="162"/>
      <c r="EG100" s="162"/>
      <c r="EH100" s="162"/>
      <c r="EI100" s="162"/>
      <c r="EJ100" s="162"/>
      <c r="EK100" s="162"/>
      <c r="EL100" s="162"/>
      <c r="EM100" s="162"/>
      <c r="EN100" s="162"/>
      <c r="EO100" s="162"/>
      <c r="EP100" s="162"/>
      <c r="EQ100" s="162"/>
      <c r="ER100" s="162"/>
      <c r="ES100" s="162"/>
      <c r="ET100" s="162"/>
      <c r="EU100" s="162"/>
      <c r="EV100" s="162"/>
      <c r="EW100" s="162"/>
      <c r="EX100" s="162"/>
      <c r="EY100" s="162"/>
      <c r="EZ100" s="162"/>
      <c r="FA100" s="162"/>
      <c r="FB100" s="162"/>
      <c r="FC100" s="162"/>
      <c r="FD100" s="162"/>
      <c r="FE100" s="162"/>
      <c r="FF100" s="162"/>
      <c r="FG100" s="162"/>
      <c r="FH100" s="162"/>
      <c r="FI100" s="162"/>
      <c r="FJ100" s="162"/>
      <c r="FK100" s="162"/>
      <c r="FL100" s="162"/>
      <c r="FM100" s="162"/>
      <c r="FN100" s="162"/>
      <c r="FO100" s="162"/>
      <c r="FP100" s="162"/>
      <c r="FQ100" s="162"/>
      <c r="FR100" s="162"/>
      <c r="FS100" s="162"/>
      <c r="FT100" s="162"/>
      <c r="FU100" s="162"/>
      <c r="FV100" s="162"/>
      <c r="FW100" s="162"/>
      <c r="FX100" s="162"/>
      <c r="FY100" s="162"/>
      <c r="FZ100" s="162"/>
      <c r="GA100" s="162"/>
      <c r="GB100" s="162"/>
      <c r="GC100" s="162"/>
      <c r="GD100" s="162"/>
      <c r="GE100" s="162"/>
      <c r="GF100" s="162"/>
      <c r="GG100" s="162"/>
      <c r="GH100" s="162"/>
      <c r="GI100" s="162"/>
      <c r="GJ100" s="162"/>
      <c r="GK100" s="162"/>
      <c r="GL100" s="162"/>
      <c r="GM100" s="162"/>
      <c r="GN100" s="162"/>
      <c r="GO100" s="162"/>
      <c r="GP100" s="162"/>
      <c r="GQ100" s="162"/>
      <c r="GR100" s="162"/>
      <c r="GS100" s="162"/>
      <c r="GT100" s="162"/>
      <c r="GU100" s="162"/>
      <c r="GV100" s="162"/>
      <c r="GW100" s="162"/>
      <c r="GX100" s="162"/>
      <c r="GY100" s="162"/>
      <c r="GZ100" s="162"/>
      <c r="HA100" s="162"/>
      <c r="HB100" s="162"/>
      <c r="HC100" s="162"/>
      <c r="HD100" s="162"/>
      <c r="HE100" s="162"/>
      <c r="HF100" s="162"/>
      <c r="HG100" s="162"/>
      <c r="HH100" s="162"/>
      <c r="HI100" s="162"/>
      <c r="HJ100" s="162"/>
      <c r="HK100" s="162"/>
      <c r="HL100" s="162"/>
      <c r="HM100" s="162"/>
      <c r="HN100" s="162"/>
      <c r="HO100" s="162"/>
      <c r="HP100" s="162"/>
      <c r="HQ100" s="162"/>
      <c r="HR100" s="162"/>
      <c r="HS100" s="162"/>
      <c r="HT100" s="162"/>
      <c r="HU100" s="162"/>
      <c r="HV100" s="162"/>
      <c r="HW100" s="162"/>
      <c r="HX100" s="162"/>
      <c r="HY100" s="162"/>
      <c r="HZ100" s="162"/>
      <c r="IA100" s="162"/>
      <c r="IB100" s="162"/>
      <c r="IC100" s="162"/>
      <c r="ID100" s="162"/>
      <c r="IE100" s="162"/>
      <c r="IF100" s="162"/>
      <c r="IG100" s="162"/>
      <c r="IH100" s="162"/>
      <c r="II100" s="162"/>
      <c r="IJ100" s="162"/>
      <c r="IK100" s="162"/>
      <c r="IL100" s="162"/>
      <c r="IM100" s="162"/>
      <c r="IN100" s="162"/>
      <c r="IO100" s="162"/>
      <c r="IP100" s="162"/>
      <c r="IQ100" s="162"/>
      <c r="IR100" s="162"/>
      <c r="IS100" s="162"/>
      <c r="IT100" s="162"/>
      <c r="IU100" s="162"/>
      <c r="IV100" s="162"/>
      <c r="IW100" s="162"/>
    </row>
    <row r="101" customFormat="false" ht="12.75" hidden="false" customHeight="false" outlineLevel="0" collapsed="false">
      <c r="A101" s="15"/>
      <c r="B101" s="16"/>
      <c r="C101" s="16"/>
      <c r="D101" s="17"/>
      <c r="E101" s="17"/>
      <c r="F101" s="15"/>
      <c r="G101" s="15"/>
      <c r="H101" s="16"/>
      <c r="I101" s="19"/>
      <c r="J101" s="20"/>
      <c r="K101" s="20"/>
      <c r="L101" s="20"/>
      <c r="M101" s="20"/>
      <c r="N101" s="25"/>
      <c r="O101" s="20"/>
      <c r="P101" s="22"/>
      <c r="Q101" s="71"/>
      <c r="R101" s="85" t="s">
        <v>165</v>
      </c>
      <c r="S101" s="91" t="n">
        <v>0</v>
      </c>
      <c r="T101" s="23"/>
      <c r="U101" s="26"/>
      <c r="V101" s="24"/>
      <c r="W101" s="24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3.5" hidden="false" customHeight="false" outlineLevel="0" collapsed="false">
      <c r="A102" s="15"/>
      <c r="B102" s="16"/>
      <c r="C102" s="16"/>
      <c r="D102" s="17"/>
      <c r="E102" s="17"/>
      <c r="F102" s="15"/>
      <c r="G102" s="15"/>
      <c r="H102" s="16"/>
      <c r="I102" s="19"/>
      <c r="J102" s="20"/>
      <c r="K102" s="20"/>
      <c r="L102" s="20"/>
      <c r="M102" s="20"/>
      <c r="N102" s="25"/>
      <c r="O102" s="20"/>
      <c r="P102" s="22"/>
      <c r="Q102" s="71"/>
      <c r="R102" s="85" t="s">
        <v>166</v>
      </c>
      <c r="S102" s="92" t="n">
        <f aca="false">+S100-S101</f>
        <v>27125</v>
      </c>
      <c r="T102" s="23"/>
      <c r="U102" s="26"/>
      <c r="V102" s="24"/>
      <c r="W102" s="24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3.5" hidden="false" customHeight="false" outlineLevel="0" collapsed="false">
      <c r="A103" s="15"/>
      <c r="B103" s="16"/>
      <c r="C103" s="16"/>
      <c r="D103" s="17"/>
      <c r="E103" s="17"/>
      <c r="F103" s="15"/>
      <c r="G103" s="15"/>
      <c r="H103" s="16"/>
      <c r="I103" s="19"/>
      <c r="J103" s="20"/>
      <c r="K103" s="20"/>
      <c r="L103" s="20"/>
      <c r="M103" s="20"/>
      <c r="N103" s="25"/>
      <c r="O103" s="20"/>
      <c r="P103" s="22"/>
      <c r="Q103" s="16"/>
      <c r="R103" s="15"/>
      <c r="S103" s="23"/>
      <c r="T103" s="23"/>
      <c r="U103" s="26"/>
      <c r="V103" s="24"/>
      <c r="W103" s="24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2.75" hidden="false" customHeight="false" outlineLevel="0" collapsed="false">
      <c r="A104" s="15"/>
      <c r="B104" s="16"/>
      <c r="C104" s="16"/>
      <c r="D104" s="17"/>
      <c r="E104" s="17"/>
      <c r="F104" s="15"/>
      <c r="G104" s="15"/>
      <c r="H104" s="16"/>
      <c r="I104" s="19"/>
      <c r="J104" s="20"/>
      <c r="K104" s="68"/>
      <c r="L104" s="20"/>
      <c r="M104" s="20"/>
      <c r="N104" s="25"/>
      <c r="O104" s="20"/>
      <c r="P104" s="161"/>
      <c r="Q104" s="71"/>
      <c r="R104" s="69"/>
      <c r="S104" s="166"/>
      <c r="T104" s="35"/>
      <c r="U104" s="26"/>
      <c r="V104" s="24"/>
      <c r="W104" s="24"/>
    </row>
    <row r="105" customFormat="false" ht="12.75" hidden="false" customHeight="false" outlineLevel="0" collapsed="false">
      <c r="A105" s="15"/>
      <c r="B105" s="16"/>
      <c r="C105" s="16"/>
      <c r="D105" s="17"/>
      <c r="E105" s="17"/>
      <c r="F105" s="15"/>
      <c r="G105" s="15"/>
      <c r="H105" s="16"/>
      <c r="I105" s="19"/>
      <c r="J105" s="20"/>
      <c r="K105" s="68"/>
      <c r="L105" s="20"/>
      <c r="M105" s="20"/>
      <c r="N105" s="167"/>
      <c r="O105" s="20"/>
      <c r="P105" s="161"/>
      <c r="Q105" s="69"/>
      <c r="R105" s="69"/>
      <c r="S105" s="162"/>
      <c r="T105" s="73"/>
      <c r="V105" s="168"/>
      <c r="W105" s="168"/>
    </row>
    <row r="106" customFormat="false" ht="12.75" hidden="false" customHeight="false" outlineLevel="0" collapsed="false">
      <c r="A106" s="15"/>
      <c r="B106" s="16"/>
      <c r="C106" s="16"/>
      <c r="D106" s="17" t="s">
        <v>1</v>
      </c>
      <c r="E106" s="17"/>
      <c r="F106" s="15"/>
      <c r="G106" s="15"/>
      <c r="H106" s="16"/>
      <c r="I106" s="19"/>
      <c r="J106" s="20"/>
      <c r="K106" s="68"/>
      <c r="L106" s="20"/>
      <c r="M106" s="20"/>
      <c r="N106" s="25"/>
      <c r="O106" s="20"/>
      <c r="P106" s="161"/>
      <c r="Q106" s="45"/>
      <c r="R106" s="169" t="s">
        <v>277</v>
      </c>
      <c r="S106" s="170" t="n">
        <f aca="false">SUM(S18,S30,S51,S58,S66,S76,S92,S100)</f>
        <v>1172513.65194361</v>
      </c>
      <c r="T106" s="35"/>
      <c r="U106" s="36"/>
      <c r="V106" s="37"/>
      <c r="W106" s="37"/>
    </row>
    <row r="107" customFormat="false" ht="12.75" hidden="false" customHeight="false" outlineLevel="0" collapsed="false">
      <c r="A107" s="28"/>
      <c r="B107" s="16"/>
      <c r="C107" s="16"/>
      <c r="D107" s="17"/>
      <c r="E107" s="17"/>
      <c r="F107" s="15"/>
      <c r="G107" s="15"/>
      <c r="H107" s="16"/>
      <c r="I107" s="19"/>
      <c r="J107" s="20"/>
      <c r="K107" s="20"/>
      <c r="L107" s="20"/>
      <c r="M107" s="20"/>
      <c r="N107" s="25"/>
      <c r="O107" s="20"/>
      <c r="P107" s="161"/>
      <c r="Q107" s="71"/>
      <c r="R107" s="35" t="s">
        <v>278</v>
      </c>
      <c r="S107" s="170" t="n">
        <f aca="false">SUM(S19,S31,S52,S59,S67,S77,S93,S101)</f>
        <v>799131.8202</v>
      </c>
      <c r="T107" s="35"/>
      <c r="U107" s="36"/>
      <c r="V107" s="37"/>
      <c r="W107" s="37"/>
    </row>
    <row r="108" customFormat="false" ht="13.5" hidden="false" customHeight="false" outlineLevel="0" collapsed="false">
      <c r="A108" s="28"/>
      <c r="B108" s="16"/>
      <c r="C108" s="16"/>
      <c r="D108" s="17"/>
      <c r="E108" s="17"/>
      <c r="F108" s="15"/>
      <c r="G108" s="15"/>
      <c r="H108" s="16"/>
      <c r="I108" s="20"/>
      <c r="J108" s="20"/>
      <c r="K108" s="20"/>
      <c r="L108" s="20"/>
      <c r="M108" s="20"/>
      <c r="N108" s="25"/>
      <c r="O108" s="20"/>
      <c r="P108" s="161"/>
      <c r="Q108" s="71"/>
      <c r="R108" s="35" t="s">
        <v>166</v>
      </c>
      <c r="S108" s="171" t="n">
        <f aca="false">SUM(S20,S32,S53,S60,S68,S78,S94,S102)</f>
        <v>373381.83174361</v>
      </c>
      <c r="T108" s="35"/>
      <c r="U108" s="36"/>
      <c r="V108" s="37"/>
      <c r="W108" s="37"/>
    </row>
    <row r="109" customFormat="false" ht="13.5" hidden="false" customHeight="false" outlineLevel="0" collapsed="false">
      <c r="A109" s="28"/>
      <c r="B109" s="16"/>
      <c r="C109" s="16"/>
      <c r="D109" s="17"/>
      <c r="E109" s="17"/>
      <c r="F109" s="15"/>
      <c r="G109" s="15"/>
      <c r="H109" s="16"/>
      <c r="I109" s="19"/>
      <c r="J109" s="20"/>
      <c r="K109" s="20"/>
      <c r="L109" s="20"/>
      <c r="M109" s="20"/>
      <c r="N109" s="25"/>
      <c r="O109" s="20"/>
      <c r="P109" s="161"/>
      <c r="Q109" s="71"/>
      <c r="R109" s="35"/>
      <c r="S109" s="35"/>
      <c r="T109" s="35"/>
      <c r="U109" s="36"/>
      <c r="V109" s="37"/>
      <c r="W109" s="37"/>
    </row>
    <row r="110" customFormat="false" ht="12.75" hidden="false" customHeight="false" outlineLevel="0" collapsed="false">
      <c r="A110" s="28"/>
      <c r="B110" s="16"/>
      <c r="C110" s="16"/>
      <c r="D110" s="17"/>
      <c r="E110" s="17"/>
      <c r="F110" s="15"/>
      <c r="G110" s="15"/>
      <c r="H110" s="16"/>
      <c r="I110" s="20"/>
      <c r="J110" s="20"/>
      <c r="K110" s="20"/>
      <c r="L110" s="20"/>
      <c r="M110" s="20"/>
      <c r="N110" s="25"/>
      <c r="O110" s="20"/>
      <c r="P110" s="161"/>
      <c r="Q110" s="71"/>
      <c r="R110" s="35"/>
      <c r="S110" s="35"/>
      <c r="T110" s="35"/>
      <c r="U110" s="36"/>
      <c r="V110" s="37"/>
      <c r="W110" s="37"/>
    </row>
    <row r="111" customFormat="false" ht="12.75" hidden="false" customHeight="false" outlineLevel="0" collapsed="false">
      <c r="A111" s="28"/>
      <c r="B111" s="16"/>
      <c r="C111" s="16"/>
      <c r="D111" s="17"/>
      <c r="E111" s="17"/>
      <c r="F111" s="15"/>
      <c r="G111" s="15"/>
      <c r="H111" s="16"/>
      <c r="I111" s="19"/>
      <c r="J111" s="20"/>
      <c r="K111" s="20"/>
      <c r="L111" s="20"/>
      <c r="M111" s="20"/>
      <c r="N111" s="25"/>
      <c r="O111" s="20"/>
      <c r="P111" s="161"/>
      <c r="Q111" s="71"/>
      <c r="R111" s="35"/>
      <c r="S111" s="35"/>
      <c r="T111" s="35"/>
      <c r="U111" s="36"/>
      <c r="V111" s="37"/>
      <c r="W111" s="37"/>
    </row>
    <row r="112" customFormat="false" ht="12.75" hidden="false" customHeight="false" outlineLevel="0" collapsed="false">
      <c r="A112" s="28"/>
      <c r="B112" s="16"/>
      <c r="C112" s="16"/>
      <c r="D112" s="17"/>
      <c r="E112" s="17"/>
      <c r="F112" s="15"/>
      <c r="G112" s="15"/>
      <c r="H112" s="16"/>
      <c r="I112" s="20"/>
      <c r="J112" s="20"/>
      <c r="K112" s="20"/>
      <c r="L112" s="20"/>
      <c r="M112" s="20"/>
      <c r="N112" s="25"/>
      <c r="O112" s="20"/>
      <c r="P112" s="161"/>
      <c r="Q112" s="71"/>
      <c r="R112" s="35"/>
      <c r="S112" s="35"/>
      <c r="T112" s="35"/>
      <c r="U112" s="36"/>
      <c r="V112" s="37"/>
      <c r="W112" s="37"/>
    </row>
    <row r="113" customFormat="false" ht="12.75" hidden="false" customHeight="false" outlineLevel="0" collapsed="false">
      <c r="A113" s="28"/>
      <c r="B113" s="16"/>
      <c r="C113" s="16"/>
      <c r="D113" s="17"/>
      <c r="E113" s="17"/>
      <c r="F113" s="15"/>
      <c r="G113" s="15"/>
      <c r="H113" s="16"/>
      <c r="I113" s="20"/>
      <c r="J113" s="20"/>
      <c r="K113" s="20"/>
      <c r="L113" s="20"/>
      <c r="M113" s="20"/>
      <c r="N113" s="25"/>
      <c r="O113" s="20"/>
      <c r="P113" s="161"/>
      <c r="Q113" s="71"/>
      <c r="R113" s="35"/>
      <c r="S113" s="35"/>
      <c r="T113" s="35"/>
      <c r="U113" s="36"/>
      <c r="V113" s="69"/>
      <c r="W113" s="37"/>
    </row>
    <row r="114" customFormat="false" ht="12.75" hidden="false" customHeight="false" outlineLevel="0" collapsed="false">
      <c r="A114" s="28"/>
      <c r="B114" s="16"/>
      <c r="C114" s="16"/>
      <c r="D114" s="17"/>
      <c r="E114" s="17"/>
      <c r="F114" s="15"/>
      <c r="G114" s="15"/>
      <c r="H114" s="16"/>
      <c r="I114" s="20"/>
      <c r="J114" s="20"/>
      <c r="K114" s="20"/>
      <c r="L114" s="20"/>
      <c r="M114" s="20"/>
      <c r="N114" s="25"/>
      <c r="O114" s="20"/>
      <c r="P114" s="161"/>
      <c r="Q114" s="71"/>
      <c r="R114" s="35"/>
      <c r="S114" s="35"/>
      <c r="T114" s="35"/>
      <c r="U114" s="36"/>
      <c r="V114" s="37"/>
      <c r="W114" s="37"/>
    </row>
    <row r="115" customFormat="false" ht="12.75" hidden="false" customHeight="false" outlineLevel="0" collapsed="false">
      <c r="A115" s="28"/>
      <c r="B115" s="16"/>
      <c r="C115" s="16"/>
      <c r="D115" s="17"/>
      <c r="E115" s="17"/>
      <c r="F115" s="15"/>
      <c r="G115" s="15"/>
      <c r="H115" s="16"/>
      <c r="I115" s="20"/>
      <c r="J115" s="20"/>
      <c r="K115" s="20"/>
      <c r="L115" s="20"/>
      <c r="M115" s="20"/>
      <c r="N115" s="25"/>
      <c r="O115" s="20"/>
      <c r="P115" s="161"/>
      <c r="Q115" s="71"/>
      <c r="R115" s="35"/>
      <c r="S115" s="35"/>
      <c r="T115" s="35"/>
      <c r="U115" s="36"/>
      <c r="V115" s="37"/>
      <c r="W115" s="37"/>
    </row>
    <row r="116" customFormat="false" ht="12.75" hidden="false" customHeight="false" outlineLevel="0" collapsed="false">
      <c r="A116" s="28"/>
      <c r="B116" s="16"/>
      <c r="C116" s="16"/>
      <c r="D116" s="17"/>
      <c r="E116" s="17"/>
      <c r="F116" s="15"/>
      <c r="G116" s="15"/>
      <c r="H116" s="16"/>
      <c r="I116" s="19"/>
      <c r="J116" s="20"/>
      <c r="K116" s="20"/>
      <c r="L116" s="20"/>
      <c r="M116" s="20"/>
      <c r="N116" s="25"/>
      <c r="O116" s="20"/>
      <c r="P116" s="161"/>
      <c r="Q116" s="71"/>
      <c r="R116" s="69"/>
      <c r="S116" s="35"/>
      <c r="T116" s="35"/>
      <c r="U116" s="36"/>
      <c r="V116" s="37"/>
      <c r="W116" s="37"/>
    </row>
    <row r="117" customFormat="false" ht="12.75" hidden="false" customHeight="false" outlineLevel="0" collapsed="false">
      <c r="A117" s="28"/>
      <c r="B117" s="16"/>
      <c r="C117" s="16"/>
      <c r="D117" s="17"/>
      <c r="E117" s="17"/>
      <c r="F117" s="15"/>
      <c r="G117" s="15"/>
      <c r="H117" s="16"/>
      <c r="I117" s="19"/>
      <c r="J117" s="20"/>
      <c r="K117" s="20"/>
      <c r="L117" s="20"/>
      <c r="M117" s="20"/>
      <c r="N117" s="25"/>
      <c r="O117" s="20"/>
      <c r="P117" s="161"/>
      <c r="Q117" s="71"/>
      <c r="R117" s="69"/>
      <c r="S117" s="35"/>
      <c r="T117" s="35"/>
      <c r="U117" s="36"/>
      <c r="V117" s="37"/>
      <c r="W117" s="37"/>
    </row>
    <row r="118" customFormat="false" ht="12.75" hidden="false" customHeight="false" outlineLevel="0" collapsed="false">
      <c r="P118" s="73"/>
      <c r="Q118" s="73"/>
      <c r="R118" s="73"/>
      <c r="S118" s="162"/>
      <c r="T118" s="73"/>
      <c r="U118" s="72"/>
      <c r="V118" s="72"/>
    </row>
    <row r="119" customFormat="false" ht="12.75" hidden="false" customHeight="false" outlineLevel="0" collapsed="false">
      <c r="P119" s="73"/>
      <c r="Q119" s="73"/>
      <c r="R119" s="73"/>
      <c r="S119" s="162"/>
      <c r="T119" s="73"/>
      <c r="U119" s="72"/>
      <c r="V119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R22" activeCellId="0" sqref="R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27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true" hidden="false" outlineLevel="0" max="19" min="19" style="1" width="12.85"/>
    <col collapsed="false" customWidth="false" hidden="false" outlineLevel="0" max="20" min="20" style="27" width="9.14"/>
    <col collapsed="false" customWidth="true" hidden="false" outlineLevel="0" max="21" min="21" style="30" width="13.56"/>
    <col collapsed="false" customWidth="false" hidden="false" outlineLevel="0" max="23" min="22" style="30" width="9.14"/>
    <col collapsed="false" customWidth="true" hidden="false" outlineLevel="0" max="24" min="24" style="27" width="12.42"/>
    <col collapsed="false" customWidth="false" hidden="false" outlineLevel="0" max="257" min="25" style="27" width="9.14"/>
  </cols>
  <sheetData>
    <row r="1" customFormat="false" ht="12.75" hidden="false" customHeight="false" outlineLevel="0" collapsed="false">
      <c r="A1" s="31" t="s">
        <v>279</v>
      </c>
      <c r="B1" s="16"/>
      <c r="C1" s="16"/>
      <c r="D1" s="17"/>
      <c r="E1" s="17"/>
      <c r="F1" s="15" t="s">
        <v>280</v>
      </c>
      <c r="G1" s="172" t="n">
        <v>8</v>
      </c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2"/>
      <c r="Q1" s="34"/>
      <c r="R1" s="35"/>
      <c r="S1" s="35"/>
      <c r="T1" s="35"/>
      <c r="U1" s="36"/>
      <c r="V1" s="37"/>
      <c r="W1" s="37"/>
    </row>
    <row r="2" customFormat="false" ht="12.75" hidden="false" customHeight="false" outlineLevel="0" collapsed="false">
      <c r="A2" s="15" t="s">
        <v>100</v>
      </c>
      <c r="B2" s="15"/>
      <c r="C2" s="15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2"/>
      <c r="Q2" s="34"/>
      <c r="R2" s="35"/>
      <c r="S2" s="35"/>
      <c r="T2" s="35"/>
      <c r="U2" s="36"/>
      <c r="V2" s="37"/>
      <c r="W2" s="37"/>
    </row>
    <row r="3" customFormat="false" ht="12.75" hidden="false" customHeight="false" outlineLevel="0" collapsed="false">
      <c r="A3" s="15" t="s">
        <v>102</v>
      </c>
      <c r="B3" s="15"/>
      <c r="C3" s="15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2"/>
      <c r="Q3" s="34"/>
      <c r="R3" s="35"/>
      <c r="S3" s="35"/>
      <c r="T3" s="35"/>
      <c r="U3" s="36"/>
      <c r="V3" s="37"/>
      <c r="W3" s="37"/>
    </row>
    <row r="4" customFormat="false" ht="12.75" hidden="false" customHeight="false" outlineLevel="0" collapsed="false">
      <c r="A4" s="15" t="s">
        <v>103</v>
      </c>
      <c r="B4" s="16"/>
      <c r="C4" s="16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2"/>
      <c r="Q4" s="34"/>
      <c r="R4" s="35"/>
      <c r="S4" s="35"/>
      <c r="T4" s="45"/>
      <c r="U4" s="46"/>
      <c r="V4" s="37"/>
      <c r="W4" s="37"/>
    </row>
    <row r="5" customFormat="false" ht="12.75" hidden="false" customHeight="false" outlineLevel="0" collapsed="false">
      <c r="A5" s="15" t="s">
        <v>104</v>
      </c>
      <c r="B5" s="16"/>
      <c r="C5" s="47"/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2"/>
      <c r="Q5" s="34"/>
      <c r="R5" s="35"/>
      <c r="S5" s="35"/>
      <c r="T5" s="45"/>
      <c r="U5" s="46"/>
      <c r="V5" s="37"/>
      <c r="W5" s="37"/>
    </row>
    <row r="6" customFormat="false" ht="12.75" hidden="false" customHeight="false" outlineLevel="0" collapsed="false">
      <c r="A6" s="15"/>
      <c r="B6" s="16"/>
      <c r="C6" s="47"/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2"/>
      <c r="Q6" s="34"/>
      <c r="R6" s="35"/>
      <c r="S6" s="35"/>
      <c r="T6" s="45"/>
      <c r="U6" s="46"/>
      <c r="V6" s="37"/>
      <c r="W6" s="37"/>
    </row>
    <row r="7" customFormat="false" ht="12.75" hidden="false" customHeight="false" outlineLevel="0" collapsed="false">
      <c r="A7" s="15"/>
      <c r="B7" s="16"/>
      <c r="C7" s="47"/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2"/>
      <c r="Q7" s="34"/>
      <c r="R7" s="35"/>
      <c r="S7" s="35"/>
      <c r="T7" s="45"/>
      <c r="U7" s="46"/>
      <c r="V7" s="37"/>
      <c r="W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2"/>
      <c r="Q8" s="34"/>
      <c r="R8" s="35"/>
      <c r="S8" s="35"/>
      <c r="T8" s="45"/>
      <c r="U8" s="46"/>
      <c r="V8" s="37"/>
      <c r="W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2"/>
      <c r="Q9" s="34"/>
      <c r="R9" s="35"/>
      <c r="S9" s="35"/>
      <c r="T9" s="45"/>
      <c r="U9" s="46"/>
      <c r="V9" s="37"/>
      <c r="W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2"/>
      <c r="Q10" s="34"/>
      <c r="R10" s="35"/>
      <c r="S10" s="35"/>
      <c r="T10" s="45"/>
      <c r="U10" s="46"/>
      <c r="V10" s="37"/>
      <c r="W10" s="37"/>
    </row>
    <row r="11" customFormat="false" ht="12.75" hidden="false" customHeight="false" outlineLevel="0" collapsed="false">
      <c r="A11" s="85"/>
      <c r="B11" s="71"/>
      <c r="C11" s="69"/>
      <c r="D11" s="86"/>
      <c r="E11" s="86"/>
      <c r="F11" s="85"/>
      <c r="G11" s="87"/>
      <c r="H11" s="71"/>
      <c r="I11" s="88"/>
      <c r="J11" s="68"/>
      <c r="K11" s="68"/>
      <c r="L11" s="68"/>
      <c r="M11" s="68"/>
      <c r="N11" s="89"/>
      <c r="O11" s="68"/>
      <c r="P11" s="90"/>
      <c r="Q11" s="71"/>
      <c r="R11" s="85"/>
      <c r="S11" s="35"/>
      <c r="T11" s="45"/>
      <c r="U11" s="46"/>
      <c r="V11" s="24"/>
      <c r="W11" s="24"/>
    </row>
    <row r="12" customFormat="false" ht="12.75" hidden="false" customHeight="false" outlineLevel="0" collapsed="false">
      <c r="A12" s="93" t="s">
        <v>108</v>
      </c>
      <c r="B12" s="94" t="s">
        <v>109</v>
      </c>
      <c r="C12" s="94" t="s">
        <v>110</v>
      </c>
      <c r="D12" s="95" t="s">
        <v>111</v>
      </c>
      <c r="E12" s="95"/>
      <c r="F12" s="93" t="s">
        <v>112</v>
      </c>
      <c r="G12" s="93" t="s">
        <v>113</v>
      </c>
      <c r="H12" s="94" t="s">
        <v>114</v>
      </c>
      <c r="I12" s="96" t="s">
        <v>115</v>
      </c>
      <c r="J12" s="94" t="s">
        <v>116</v>
      </c>
      <c r="K12" s="94" t="s">
        <v>117</v>
      </c>
      <c r="L12" s="94" t="s">
        <v>118</v>
      </c>
      <c r="M12" s="94" t="s">
        <v>119</v>
      </c>
      <c r="N12" s="97" t="s">
        <v>120</v>
      </c>
      <c r="O12" s="94" t="s">
        <v>121</v>
      </c>
      <c r="P12" s="98" t="s">
        <v>147</v>
      </c>
      <c r="Q12" s="94" t="s">
        <v>123</v>
      </c>
      <c r="R12" s="93" t="s">
        <v>124</v>
      </c>
      <c r="S12" s="99" t="s">
        <v>125</v>
      </c>
      <c r="T12" s="100" t="s">
        <v>126</v>
      </c>
      <c r="U12" s="101" t="s">
        <v>148</v>
      </c>
      <c r="V12" s="102"/>
      <c r="W12" s="102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  <c r="IV12" s="103"/>
      <c r="IW12" s="103"/>
    </row>
    <row r="13" customFormat="false" ht="12.75" hidden="false" customHeight="false" outlineLevel="0" collapsed="false">
      <c r="A13" s="15" t="s">
        <v>149</v>
      </c>
      <c r="B13" s="16" t="s">
        <v>128</v>
      </c>
      <c r="C13" s="16" t="s">
        <v>128</v>
      </c>
      <c r="D13" s="17" t="n">
        <v>34274</v>
      </c>
      <c r="E13" s="17" t="n">
        <v>37042</v>
      </c>
      <c r="F13" s="15" t="s">
        <v>281</v>
      </c>
      <c r="G13" s="15" t="s">
        <v>282</v>
      </c>
      <c r="H13" s="16" t="s">
        <v>170</v>
      </c>
      <c r="I13" s="19" t="n">
        <f aca="false">1.0603/I$1</f>
        <v>0.0342032258064516</v>
      </c>
      <c r="J13" s="20" t="n">
        <v>0</v>
      </c>
      <c r="K13" s="20" t="n">
        <v>0</v>
      </c>
      <c r="L13" s="20" t="n">
        <v>0</v>
      </c>
      <c r="M13" s="20" t="n">
        <v>0</v>
      </c>
      <c r="N13" s="25" t="n">
        <v>0</v>
      </c>
      <c r="O13" s="20" t="n">
        <f aca="false">SUM(I13:M13)</f>
        <v>0.0342032258064516</v>
      </c>
      <c r="P13" s="22" t="n">
        <v>37393</v>
      </c>
      <c r="Q13" s="16" t="n">
        <v>20000</v>
      </c>
      <c r="R13" s="15" t="s">
        <v>283</v>
      </c>
      <c r="S13" s="23" t="n">
        <f aca="false">I13*I$1*Q13</f>
        <v>21206</v>
      </c>
      <c r="T13" s="23"/>
      <c r="U13" s="26" t="n">
        <v>92346</v>
      </c>
      <c r="V13" s="24"/>
      <c r="W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38" t="s">
        <v>149</v>
      </c>
      <c r="B14" s="104" t="s">
        <v>128</v>
      </c>
      <c r="C14" s="104" t="s">
        <v>128</v>
      </c>
      <c r="D14" s="105" t="n">
        <v>36434</v>
      </c>
      <c r="E14" s="105" t="n">
        <v>37164</v>
      </c>
      <c r="F14" s="38" t="s">
        <v>284</v>
      </c>
      <c r="G14" s="38" t="s">
        <v>285</v>
      </c>
      <c r="H14" s="104" t="s">
        <v>170</v>
      </c>
      <c r="I14" s="106" t="n">
        <v>0.015</v>
      </c>
      <c r="J14" s="107" t="n">
        <v>0</v>
      </c>
      <c r="K14" s="107" t="n">
        <v>0</v>
      </c>
      <c r="L14" s="107" t="n">
        <v>0</v>
      </c>
      <c r="M14" s="107" t="n">
        <v>0</v>
      </c>
      <c r="N14" s="108" t="n">
        <v>0</v>
      </c>
      <c r="O14" s="107" t="n">
        <f aca="false">SUM(I14:M14)</f>
        <v>0.015</v>
      </c>
      <c r="P14" s="109" t="n">
        <v>64937</v>
      </c>
      <c r="Q14" s="104" t="n">
        <v>10000</v>
      </c>
      <c r="R14" s="38" t="s">
        <v>286</v>
      </c>
      <c r="S14" s="110" t="n">
        <f aca="false">I14*I$1*Q14</f>
        <v>4650</v>
      </c>
      <c r="T14" s="110"/>
      <c r="U14" s="111" t="n">
        <v>118000</v>
      </c>
      <c r="V14" s="112"/>
      <c r="W14" s="112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customFormat="false" ht="12.75" hidden="false" customHeight="false" outlineLevel="0" collapsed="false">
      <c r="A15" s="38" t="s">
        <v>149</v>
      </c>
      <c r="B15" s="104" t="s">
        <v>128</v>
      </c>
      <c r="C15" s="104" t="s">
        <v>128</v>
      </c>
      <c r="D15" s="105" t="n">
        <v>36617</v>
      </c>
      <c r="E15" s="105" t="n">
        <v>36981</v>
      </c>
      <c r="F15" s="38" t="s">
        <v>287</v>
      </c>
      <c r="G15" s="38" t="s">
        <v>288</v>
      </c>
      <c r="H15" s="104" t="s">
        <v>170</v>
      </c>
      <c r="I15" s="106" t="n">
        <f aca="false">1.6199/I$1</f>
        <v>0.0522548387096774</v>
      </c>
      <c r="J15" s="107" t="n">
        <v>0</v>
      </c>
      <c r="K15" s="107" t="n">
        <v>0</v>
      </c>
      <c r="L15" s="107" t="n">
        <v>0</v>
      </c>
      <c r="M15" s="107" t="n">
        <v>0</v>
      </c>
      <c r="N15" s="108" t="n">
        <v>0</v>
      </c>
      <c r="O15" s="107" t="n">
        <f aca="false">SUM(I15:M15)</f>
        <v>0.0522548387096774</v>
      </c>
      <c r="P15" s="109" t="n">
        <v>66973</v>
      </c>
      <c r="Q15" s="104" t="n">
        <v>10000</v>
      </c>
      <c r="R15" s="38" t="s">
        <v>289</v>
      </c>
      <c r="S15" s="110" t="n">
        <f aca="false">I15*I$1*Q15</f>
        <v>16199</v>
      </c>
      <c r="T15" s="110"/>
      <c r="U15" s="111" t="n">
        <v>231728</v>
      </c>
      <c r="V15" s="112"/>
      <c r="W15" s="112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</row>
    <row r="16" customFormat="false" ht="12.75" hidden="false" customHeight="false" outlineLevel="0" collapsed="false">
      <c r="A16" s="15" t="s">
        <v>149</v>
      </c>
      <c r="B16" s="16" t="s">
        <v>128</v>
      </c>
      <c r="C16" s="16" t="s">
        <v>128</v>
      </c>
      <c r="D16" s="17" t="n">
        <v>34274</v>
      </c>
      <c r="E16" s="17" t="n">
        <v>40117</v>
      </c>
      <c r="F16" s="15" t="s">
        <v>282</v>
      </c>
      <c r="G16" s="15" t="s">
        <v>213</v>
      </c>
      <c r="H16" s="16" t="s">
        <v>170</v>
      </c>
      <c r="I16" s="19" t="n">
        <f aca="false">3.145/I$1</f>
        <v>0.101451612903226</v>
      </c>
      <c r="J16" s="20" t="n">
        <v>0</v>
      </c>
      <c r="K16" s="20" t="n">
        <v>0</v>
      </c>
      <c r="L16" s="20" t="n">
        <v>0</v>
      </c>
      <c r="M16" s="20" t="n">
        <v>0</v>
      </c>
      <c r="N16" s="25" t="n">
        <v>0</v>
      </c>
      <c r="O16" s="20" t="n">
        <f aca="false">SUM(I16:M16)</f>
        <v>0.101451612903226</v>
      </c>
      <c r="P16" s="22" t="n">
        <v>37861</v>
      </c>
      <c r="Q16" s="16" t="n">
        <v>15000</v>
      </c>
      <c r="R16" s="15" t="s">
        <v>290</v>
      </c>
      <c r="S16" s="23" t="n">
        <f aca="false">I16*I$1*Q16</f>
        <v>47175</v>
      </c>
      <c r="T16" s="23"/>
      <c r="U16" s="26" t="n">
        <v>93034</v>
      </c>
      <c r="V16" s="24"/>
      <c r="W16" s="2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149</v>
      </c>
      <c r="B17" s="16" t="s">
        <v>128</v>
      </c>
      <c r="C17" s="16" t="s">
        <v>129</v>
      </c>
      <c r="D17" s="17" t="n">
        <v>36557</v>
      </c>
      <c r="E17" s="17" t="n">
        <v>36830</v>
      </c>
      <c r="F17" s="15" t="s">
        <v>130</v>
      </c>
      <c r="G17" s="15" t="s">
        <v>131</v>
      </c>
      <c r="H17" s="16"/>
      <c r="I17" s="19" t="n">
        <f aca="false">1.0603/I$1</f>
        <v>0.0342032258064516</v>
      </c>
      <c r="J17" s="20" t="n">
        <v>0</v>
      </c>
      <c r="K17" s="20" t="n">
        <v>0</v>
      </c>
      <c r="L17" s="20" t="n">
        <v>0</v>
      </c>
      <c r="M17" s="20" t="n">
        <v>0</v>
      </c>
      <c r="N17" s="25" t="n">
        <v>0</v>
      </c>
      <c r="O17" s="20" t="n">
        <f aca="false">SUM(I17:M17)</f>
        <v>0.0342032258064516</v>
      </c>
      <c r="P17" s="22" t="n">
        <v>42789</v>
      </c>
      <c r="Q17" s="16" t="n">
        <v>30000</v>
      </c>
      <c r="R17" s="15" t="s">
        <v>132</v>
      </c>
      <c r="S17" s="23" t="n">
        <f aca="false">I17*I$1*Q17</f>
        <v>31809</v>
      </c>
      <c r="T17" s="23"/>
      <c r="U17" s="26" t="n">
        <v>156388</v>
      </c>
      <c r="V17" s="24"/>
      <c r="W17" s="2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149</v>
      </c>
      <c r="B18" s="16" t="s">
        <v>128</v>
      </c>
      <c r="C18" s="16" t="s">
        <v>129</v>
      </c>
      <c r="D18" s="17" t="n">
        <v>36557</v>
      </c>
      <c r="E18" s="17" t="n">
        <v>36830</v>
      </c>
      <c r="F18" s="15" t="s">
        <v>291</v>
      </c>
      <c r="G18" s="15" t="s">
        <v>131</v>
      </c>
      <c r="H18" s="16"/>
      <c r="I18" s="19" t="n">
        <f aca="false">1.0603/I$1</f>
        <v>0.0342032258064516</v>
      </c>
      <c r="J18" s="20" t="n">
        <v>0</v>
      </c>
      <c r="K18" s="20" t="n">
        <v>0</v>
      </c>
      <c r="L18" s="20" t="n">
        <v>0</v>
      </c>
      <c r="M18" s="20" t="n">
        <v>0</v>
      </c>
      <c r="N18" s="25" t="n">
        <v>0</v>
      </c>
      <c r="O18" s="20" t="n">
        <f aca="false">SUM(I18:M18)</f>
        <v>0.0342032258064516</v>
      </c>
      <c r="P18" s="22" t="n">
        <v>50250</v>
      </c>
      <c r="Q18" s="16" t="n">
        <v>20000</v>
      </c>
      <c r="R18" s="15" t="s">
        <v>292</v>
      </c>
      <c r="S18" s="23" t="n">
        <f aca="false">I18*I$1*Q18</f>
        <v>21206</v>
      </c>
      <c r="T18" s="23"/>
      <c r="U18" s="26" t="n">
        <v>156399</v>
      </c>
      <c r="V18" s="24"/>
      <c r="W18" s="24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 t="s">
        <v>149</v>
      </c>
      <c r="B19" s="16" t="s">
        <v>128</v>
      </c>
      <c r="C19" s="16" t="s">
        <v>129</v>
      </c>
      <c r="D19" s="17" t="n">
        <v>36557</v>
      </c>
      <c r="E19" s="17" t="n">
        <v>38442</v>
      </c>
      <c r="F19" s="15" t="s">
        <v>131</v>
      </c>
      <c r="G19" s="15" t="s">
        <v>213</v>
      </c>
      <c r="H19" s="16"/>
      <c r="I19" s="19" t="n">
        <f aca="false">3.145/I$1</f>
        <v>0.101451612903226</v>
      </c>
      <c r="J19" s="20" t="n">
        <v>0</v>
      </c>
      <c r="K19" s="20" t="n">
        <v>0</v>
      </c>
      <c r="L19" s="20" t="n">
        <v>0</v>
      </c>
      <c r="M19" s="20" t="n">
        <v>0</v>
      </c>
      <c r="N19" s="25" t="n">
        <v>0</v>
      </c>
      <c r="O19" s="20" t="n">
        <f aca="false">SUM(I19:M19)</f>
        <v>0.101451612903226</v>
      </c>
      <c r="P19" s="22" t="n">
        <v>58654</v>
      </c>
      <c r="Q19" s="16" t="n">
        <v>15000</v>
      </c>
      <c r="R19" s="15" t="s">
        <v>293</v>
      </c>
      <c r="S19" s="23" t="n">
        <f aca="false">I19*I$1*Q19</f>
        <v>47175</v>
      </c>
      <c r="T19" s="23"/>
      <c r="U19" s="26" t="n">
        <v>156408</v>
      </c>
      <c r="V19" s="24"/>
      <c r="W19" s="2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 t="s">
        <v>149</v>
      </c>
      <c r="B20" s="16" t="s">
        <v>128</v>
      </c>
      <c r="C20" s="16" t="s">
        <v>129</v>
      </c>
      <c r="D20" s="17" t="n">
        <v>36557</v>
      </c>
      <c r="E20" s="17" t="n">
        <v>37955</v>
      </c>
      <c r="F20" s="15" t="s">
        <v>294</v>
      </c>
      <c r="G20" s="15" t="s">
        <v>295</v>
      </c>
      <c r="H20" s="16"/>
      <c r="I20" s="19" t="n">
        <f aca="false">1.0603/I$1</f>
        <v>0.0342032258064516</v>
      </c>
      <c r="J20" s="20" t="n">
        <v>0</v>
      </c>
      <c r="K20" s="20" t="n">
        <v>0</v>
      </c>
      <c r="L20" s="20" t="n">
        <v>0</v>
      </c>
      <c r="M20" s="20" t="n">
        <v>0</v>
      </c>
      <c r="N20" s="25" t="n">
        <v>0</v>
      </c>
      <c r="O20" s="20" t="n">
        <f aca="false">SUM(I20:M20)</f>
        <v>0.0342032258064516</v>
      </c>
      <c r="P20" s="22" t="n">
        <v>62408</v>
      </c>
      <c r="Q20" s="16" t="n">
        <v>40000</v>
      </c>
      <c r="R20" s="15" t="s">
        <v>296</v>
      </c>
      <c r="S20" s="23" t="n">
        <f aca="false">I20*I$1*Q20</f>
        <v>42412</v>
      </c>
      <c r="T20" s="23"/>
      <c r="U20" s="26" t="n">
        <v>156526</v>
      </c>
      <c r="V20" s="24"/>
      <c r="W20" s="2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15" t="s">
        <v>149</v>
      </c>
      <c r="B21" s="16" t="s">
        <v>128</v>
      </c>
      <c r="C21" s="16" t="s">
        <v>129</v>
      </c>
      <c r="D21" s="17" t="n">
        <v>36557</v>
      </c>
      <c r="E21" s="17" t="n">
        <v>37346</v>
      </c>
      <c r="F21" s="15" t="s">
        <v>131</v>
      </c>
      <c r="G21" s="15" t="s">
        <v>213</v>
      </c>
      <c r="H21" s="16"/>
      <c r="I21" s="19" t="n">
        <f aca="false">2.6805/I$1</f>
        <v>0.0864677419354839</v>
      </c>
      <c r="J21" s="20" t="n">
        <v>0</v>
      </c>
      <c r="K21" s="20" t="n">
        <v>0</v>
      </c>
      <c r="L21" s="20" t="n">
        <v>0</v>
      </c>
      <c r="M21" s="20" t="n">
        <v>0</v>
      </c>
      <c r="N21" s="25" t="n">
        <v>0</v>
      </c>
      <c r="O21" s="20" t="n">
        <f aca="false">SUM(I21:M21)</f>
        <v>0.0864677419354839</v>
      </c>
      <c r="P21" s="22" t="n">
        <v>63115</v>
      </c>
      <c r="Q21" s="16" t="n">
        <v>30000</v>
      </c>
      <c r="R21" s="15" t="s">
        <v>293</v>
      </c>
      <c r="S21" s="23" t="n">
        <f aca="false">I21*I$1*Q21</f>
        <v>80415</v>
      </c>
      <c r="T21" s="23"/>
      <c r="U21" s="26" t="n">
        <v>156532</v>
      </c>
      <c r="V21" s="24"/>
      <c r="W21" s="2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5" t="s">
        <v>149</v>
      </c>
      <c r="B22" s="16" t="s">
        <v>128</v>
      </c>
      <c r="C22" s="16" t="s">
        <v>129</v>
      </c>
      <c r="D22" s="17" t="n">
        <v>36557</v>
      </c>
      <c r="E22" s="17" t="n">
        <v>38291</v>
      </c>
      <c r="F22" s="15" t="s">
        <v>297</v>
      </c>
      <c r="G22" s="15" t="s">
        <v>131</v>
      </c>
      <c r="H22" s="16"/>
      <c r="I22" s="19" t="n">
        <f aca="false">1.0603/I$1</f>
        <v>0.0342032258064516</v>
      </c>
      <c r="J22" s="20" t="n">
        <v>0</v>
      </c>
      <c r="K22" s="20" t="n">
        <v>0</v>
      </c>
      <c r="L22" s="20" t="n">
        <v>0</v>
      </c>
      <c r="M22" s="20" t="n">
        <v>0</v>
      </c>
      <c r="N22" s="25" t="n">
        <v>0</v>
      </c>
      <c r="O22" s="20" t="n">
        <f aca="false">SUM(I22:M22)</f>
        <v>0.0342032258064516</v>
      </c>
      <c r="P22" s="22" t="n">
        <v>63922</v>
      </c>
      <c r="Q22" s="16" t="n">
        <v>25654</v>
      </c>
      <c r="R22" s="15" t="s">
        <v>298</v>
      </c>
      <c r="S22" s="23" t="n">
        <f aca="false">I22*I$1*Q22</f>
        <v>27200.9362</v>
      </c>
      <c r="T22" s="23"/>
      <c r="U22" s="26" t="n">
        <v>156540</v>
      </c>
      <c r="V22" s="24"/>
      <c r="W22" s="2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38" t="s">
        <v>149</v>
      </c>
      <c r="B23" s="104" t="s">
        <v>128</v>
      </c>
      <c r="C23" s="104" t="s">
        <v>129</v>
      </c>
      <c r="D23" s="105" t="n">
        <v>36557</v>
      </c>
      <c r="E23" s="105" t="n">
        <v>36769</v>
      </c>
      <c r="F23" s="38" t="s">
        <v>299</v>
      </c>
      <c r="G23" s="38" t="s">
        <v>300</v>
      </c>
      <c r="H23" s="104"/>
      <c r="I23" s="106" t="n">
        <v>0.065</v>
      </c>
      <c r="J23" s="107" t="n">
        <v>0</v>
      </c>
      <c r="K23" s="107" t="n">
        <v>0</v>
      </c>
      <c r="L23" s="107" t="n">
        <v>0</v>
      </c>
      <c r="M23" s="107" t="n">
        <v>0</v>
      </c>
      <c r="N23" s="108" t="n">
        <v>0</v>
      </c>
      <c r="O23" s="107" t="n">
        <f aca="false">SUM(I23:M23)</f>
        <v>0.065</v>
      </c>
      <c r="P23" s="109" t="n">
        <v>64502</v>
      </c>
      <c r="Q23" s="104" t="n">
        <v>29000</v>
      </c>
      <c r="R23" s="38" t="s">
        <v>301</v>
      </c>
      <c r="S23" s="110" t="n">
        <f aca="false">I23*I$1*Q23</f>
        <v>58435</v>
      </c>
      <c r="T23" s="110"/>
      <c r="U23" s="111"/>
      <c r="V23" s="173" t="s">
        <v>302</v>
      </c>
      <c r="W23" s="112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  <c r="IW23" s="113"/>
    </row>
    <row r="24" customFormat="false" ht="12.75" hidden="false" customHeight="false" outlineLevel="0" collapsed="false">
      <c r="A24" s="38" t="s">
        <v>149</v>
      </c>
      <c r="B24" s="104" t="s">
        <v>128</v>
      </c>
      <c r="C24" s="104" t="s">
        <v>303</v>
      </c>
      <c r="D24" s="105" t="n">
        <v>36746</v>
      </c>
      <c r="E24" s="105" t="n">
        <v>37103</v>
      </c>
      <c r="F24" s="38" t="s">
        <v>131</v>
      </c>
      <c r="G24" s="38" t="s">
        <v>213</v>
      </c>
      <c r="H24" s="104"/>
      <c r="I24" s="106" t="n">
        <f aca="false">3.14/I1</f>
        <v>0.101290322580645</v>
      </c>
      <c r="J24" s="107"/>
      <c r="K24" s="107"/>
      <c r="L24" s="107"/>
      <c r="M24" s="107"/>
      <c r="N24" s="108"/>
      <c r="O24" s="107"/>
      <c r="P24" s="109" t="n">
        <v>69119</v>
      </c>
      <c r="Q24" s="104" t="n">
        <v>142</v>
      </c>
      <c r="R24" s="38" t="s">
        <v>303</v>
      </c>
      <c r="S24" s="110" t="n">
        <f aca="false">I24*I$1*Q24</f>
        <v>445.88</v>
      </c>
      <c r="T24" s="110"/>
      <c r="U24" s="111" t="n">
        <v>360720</v>
      </c>
      <c r="V24" s="173"/>
      <c r="W24" s="112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</row>
    <row r="25" customFormat="false" ht="12.75" hidden="false" customHeight="false" outlineLevel="0" collapsed="false">
      <c r="A25" s="15" t="s">
        <v>149</v>
      </c>
      <c r="B25" s="16" t="s">
        <v>128</v>
      </c>
      <c r="C25" s="16" t="s">
        <v>201</v>
      </c>
      <c r="D25" s="17" t="n">
        <v>36557</v>
      </c>
      <c r="E25" s="17" t="n">
        <v>36830</v>
      </c>
      <c r="F25" s="15" t="s">
        <v>304</v>
      </c>
      <c r="G25" s="15" t="s">
        <v>188</v>
      </c>
      <c r="H25" s="16"/>
      <c r="I25" s="19" t="n">
        <f aca="false">3.145/I$1</f>
        <v>0.101451612903226</v>
      </c>
      <c r="J25" s="20" t="n">
        <v>0</v>
      </c>
      <c r="K25" s="20" t="n">
        <v>0</v>
      </c>
      <c r="L25" s="20" t="n">
        <v>0</v>
      </c>
      <c r="M25" s="20" t="n">
        <v>0</v>
      </c>
      <c r="N25" s="25" t="n">
        <v>0</v>
      </c>
      <c r="O25" s="20" t="n">
        <f aca="false">SUM(I25:M25)</f>
        <v>0.101451612903226</v>
      </c>
      <c r="P25" s="22" t="n">
        <v>65072</v>
      </c>
      <c r="Q25" s="16" t="n">
        <v>7391</v>
      </c>
      <c r="R25" s="15" t="s">
        <v>305</v>
      </c>
      <c r="S25" s="23" t="n">
        <f aca="false">I25*I$1*Q25</f>
        <v>23244.695</v>
      </c>
      <c r="T25" s="23"/>
      <c r="U25" s="26" t="n">
        <v>156603</v>
      </c>
      <c r="V25" s="24"/>
      <c r="W25" s="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38" t="s">
        <v>149</v>
      </c>
      <c r="B26" s="104" t="s">
        <v>128</v>
      </c>
      <c r="C26" s="104" t="s">
        <v>201</v>
      </c>
      <c r="D26" s="105" t="n">
        <v>36708</v>
      </c>
      <c r="E26" s="105" t="n">
        <v>36738</v>
      </c>
      <c r="F26" s="38" t="s">
        <v>304</v>
      </c>
      <c r="G26" s="38" t="s">
        <v>188</v>
      </c>
      <c r="H26" s="104"/>
      <c r="I26" s="106" t="n">
        <f aca="false">3.145/I$1</f>
        <v>0.101451612903226</v>
      </c>
      <c r="J26" s="107" t="n">
        <v>0</v>
      </c>
      <c r="K26" s="107" t="n">
        <v>0</v>
      </c>
      <c r="L26" s="107" t="n">
        <v>0</v>
      </c>
      <c r="M26" s="107" t="n">
        <v>0</v>
      </c>
      <c r="N26" s="108" t="n">
        <v>0</v>
      </c>
      <c r="O26" s="107" t="n">
        <f aca="false">SUM(I26:M26)</f>
        <v>0.101451612903226</v>
      </c>
      <c r="P26" s="109" t="n">
        <v>65072</v>
      </c>
      <c r="Q26" s="174" t="n">
        <v>-404</v>
      </c>
      <c r="R26" s="38" t="s">
        <v>306</v>
      </c>
      <c r="S26" s="110" t="n">
        <f aca="false">I26*I$1*Q26</f>
        <v>-1270.58</v>
      </c>
      <c r="T26" s="110"/>
      <c r="U26" s="111" t="n">
        <v>310500</v>
      </c>
      <c r="V26" s="112"/>
      <c r="W26" s="112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3"/>
      <c r="ES26" s="113"/>
      <c r="ET26" s="113"/>
      <c r="EU26" s="113"/>
      <c r="EV26" s="113"/>
      <c r="EW26" s="113"/>
      <c r="EX26" s="113"/>
      <c r="EY26" s="113"/>
      <c r="EZ26" s="113"/>
      <c r="FA26" s="113"/>
      <c r="FB26" s="113"/>
      <c r="FC26" s="113"/>
      <c r="FD26" s="113"/>
      <c r="FE26" s="113"/>
      <c r="FF26" s="113"/>
      <c r="FG26" s="113"/>
      <c r="FH26" s="113"/>
      <c r="FI26" s="113"/>
      <c r="FJ26" s="113"/>
      <c r="FK26" s="113"/>
      <c r="FL26" s="113"/>
      <c r="FM26" s="113"/>
      <c r="FN26" s="113"/>
      <c r="FO26" s="113"/>
      <c r="FP26" s="113"/>
      <c r="FQ26" s="113"/>
      <c r="FR26" s="113"/>
      <c r="FS26" s="113"/>
      <c r="FT26" s="113"/>
      <c r="FU26" s="113"/>
      <c r="FV26" s="113"/>
      <c r="FW26" s="113"/>
      <c r="FX26" s="113"/>
      <c r="FY26" s="113"/>
      <c r="FZ26" s="113"/>
      <c r="GA26" s="113"/>
      <c r="GB26" s="113"/>
      <c r="GC26" s="113"/>
      <c r="GD26" s="113"/>
      <c r="GE26" s="113"/>
      <c r="GF26" s="113"/>
      <c r="GG26" s="113"/>
      <c r="GH26" s="113"/>
      <c r="GI26" s="113"/>
      <c r="GJ26" s="113"/>
      <c r="GK26" s="113"/>
      <c r="GL26" s="113"/>
      <c r="GM26" s="113"/>
      <c r="GN26" s="113"/>
      <c r="GO26" s="113"/>
      <c r="GP26" s="113"/>
      <c r="GQ26" s="113"/>
      <c r="GR26" s="113"/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13"/>
      <c r="HN26" s="113"/>
      <c r="HO26" s="113"/>
      <c r="HP26" s="113"/>
      <c r="HQ26" s="113"/>
      <c r="HR26" s="113"/>
      <c r="HS26" s="113"/>
      <c r="HT26" s="113"/>
      <c r="HU26" s="113"/>
      <c r="HV26" s="113"/>
      <c r="HW26" s="113"/>
      <c r="HX26" s="113"/>
      <c r="HY26" s="113"/>
      <c r="HZ26" s="113"/>
      <c r="IA26" s="113"/>
      <c r="IB26" s="113"/>
      <c r="IC26" s="113"/>
      <c r="ID26" s="113"/>
      <c r="IE26" s="113"/>
      <c r="IF26" s="113"/>
      <c r="IG26" s="113"/>
      <c r="IH26" s="113"/>
      <c r="II26" s="113"/>
      <c r="IJ26" s="113"/>
      <c r="IK26" s="113"/>
      <c r="IL26" s="113"/>
      <c r="IM26" s="113"/>
      <c r="IN26" s="113"/>
      <c r="IO26" s="113"/>
      <c r="IP26" s="113"/>
      <c r="IQ26" s="113"/>
      <c r="IR26" s="113"/>
      <c r="IS26" s="113"/>
      <c r="IT26" s="113"/>
      <c r="IU26" s="113"/>
      <c r="IV26" s="113"/>
      <c r="IW26" s="113"/>
    </row>
    <row r="27" customFormat="false" ht="12.75" hidden="false" customHeight="false" outlineLevel="0" collapsed="false">
      <c r="A27" s="15"/>
      <c r="B27" s="16"/>
      <c r="C27" s="16"/>
      <c r="D27" s="17"/>
      <c r="E27" s="17"/>
      <c r="F27" s="15"/>
      <c r="G27" s="15"/>
      <c r="H27" s="16"/>
      <c r="I27" s="19"/>
      <c r="J27" s="20"/>
      <c r="K27" s="20"/>
      <c r="L27" s="20"/>
      <c r="M27" s="20"/>
      <c r="N27" s="25"/>
      <c r="O27" s="20"/>
      <c r="P27" s="22"/>
      <c r="Q27" s="175"/>
      <c r="R27" s="15"/>
      <c r="S27" s="23"/>
      <c r="T27" s="23"/>
      <c r="U27" s="26"/>
      <c r="V27" s="24"/>
      <c r="W27" s="2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85" t="s">
        <v>1</v>
      </c>
      <c r="B28" s="71" t="s">
        <v>1</v>
      </c>
      <c r="C28" s="69" t="s">
        <v>1</v>
      </c>
      <c r="D28" s="86" t="s">
        <v>1</v>
      </c>
      <c r="E28" s="86"/>
      <c r="F28" s="85" t="s">
        <v>1</v>
      </c>
      <c r="G28" s="87" t="s">
        <v>1</v>
      </c>
      <c r="H28" s="71" t="s">
        <v>1</v>
      </c>
      <c r="I28" s="88"/>
      <c r="J28" s="68"/>
      <c r="K28" s="68"/>
      <c r="L28" s="68"/>
      <c r="M28" s="68"/>
      <c r="N28" s="89"/>
      <c r="O28" s="68"/>
      <c r="P28" s="90" t="s">
        <v>1</v>
      </c>
      <c r="Q28" s="69" t="n">
        <f aca="false">SUM(Q13:Q27)</f>
        <v>251783</v>
      </c>
      <c r="R28" s="85" t="s">
        <v>164</v>
      </c>
      <c r="S28" s="35" t="n">
        <f aca="false">SUM(S13:S27)</f>
        <v>420302.9312</v>
      </c>
      <c r="T28" s="45" t="n">
        <f aca="false">SUM(T17:T27)</f>
        <v>0</v>
      </c>
      <c r="U28" s="46"/>
      <c r="V28" s="37"/>
      <c r="W28" s="37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</row>
    <row r="29" customFormat="false" ht="12.75" hidden="false" customHeight="false" outlineLevel="0" collapsed="false">
      <c r="A29" s="85"/>
      <c r="B29" s="71"/>
      <c r="C29" s="69"/>
      <c r="D29" s="86"/>
      <c r="E29" s="86"/>
      <c r="F29" s="85"/>
      <c r="G29" s="87"/>
      <c r="H29" s="71"/>
      <c r="I29" s="88"/>
      <c r="J29" s="68"/>
      <c r="K29" s="68"/>
      <c r="L29" s="68"/>
      <c r="M29" s="68"/>
      <c r="N29" s="89"/>
      <c r="O29" s="68"/>
      <c r="P29" s="90"/>
      <c r="Q29" s="71"/>
      <c r="R29" s="85" t="s">
        <v>165</v>
      </c>
      <c r="S29" s="35" t="n">
        <f aca="false">SUM(S25:S26)</f>
        <v>21974.115</v>
      </c>
      <c r="T29" s="45"/>
      <c r="U29" s="46"/>
      <c r="V29" s="37"/>
      <c r="W29" s="37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</row>
    <row r="30" customFormat="false" ht="13.5" hidden="false" customHeight="false" outlineLevel="0" collapsed="false">
      <c r="A30" s="85"/>
      <c r="B30" s="71"/>
      <c r="C30" s="69"/>
      <c r="D30" s="86"/>
      <c r="E30" s="86"/>
      <c r="F30" s="85"/>
      <c r="G30" s="87"/>
      <c r="H30" s="71"/>
      <c r="I30" s="88"/>
      <c r="J30" s="68"/>
      <c r="K30" s="68"/>
      <c r="L30" s="68"/>
      <c r="M30" s="68"/>
      <c r="N30" s="89"/>
      <c r="O30" s="68"/>
      <c r="P30" s="90"/>
      <c r="Q30" s="71"/>
      <c r="R30" s="85" t="s">
        <v>166</v>
      </c>
      <c r="S30" s="176" t="n">
        <f aca="false">+S28-S29</f>
        <v>398328.8162</v>
      </c>
      <c r="T30" s="45"/>
      <c r="U30" s="46"/>
      <c r="V30" s="24"/>
      <c r="W30" s="24"/>
    </row>
    <row r="31" customFormat="false" ht="13.5" hidden="false" customHeight="false" outlineLevel="0" collapsed="false">
      <c r="A31" s="85"/>
      <c r="B31" s="71"/>
      <c r="C31" s="69"/>
      <c r="D31" s="86"/>
      <c r="E31" s="86"/>
      <c r="F31" s="85"/>
      <c r="G31" s="87"/>
      <c r="H31" s="71"/>
      <c r="I31" s="88"/>
      <c r="J31" s="68"/>
      <c r="K31" s="68"/>
      <c r="L31" s="68"/>
      <c r="M31" s="68"/>
      <c r="N31" s="89"/>
      <c r="O31" s="68"/>
      <c r="P31" s="90"/>
      <c r="Q31" s="71"/>
      <c r="R31" s="85"/>
      <c r="S31" s="35"/>
      <c r="T31" s="45"/>
      <c r="U31" s="46"/>
      <c r="V31" s="24"/>
      <c r="W31" s="24"/>
    </row>
    <row r="32" customFormat="false" ht="12.75" hidden="false" customHeight="false" outlineLevel="0" collapsed="false">
      <c r="A32" s="93" t="s">
        <v>108</v>
      </c>
      <c r="B32" s="94" t="s">
        <v>109</v>
      </c>
      <c r="C32" s="94" t="s">
        <v>110</v>
      </c>
      <c r="D32" s="95" t="s">
        <v>111</v>
      </c>
      <c r="E32" s="95"/>
      <c r="F32" s="93" t="s">
        <v>112</v>
      </c>
      <c r="G32" s="93" t="s">
        <v>113</v>
      </c>
      <c r="H32" s="94" t="s">
        <v>221</v>
      </c>
      <c r="I32" s="96" t="s">
        <v>115</v>
      </c>
      <c r="J32" s="94" t="s">
        <v>116</v>
      </c>
      <c r="K32" s="94" t="s">
        <v>117</v>
      </c>
      <c r="L32" s="94" t="s">
        <v>118</v>
      </c>
      <c r="M32" s="94" t="s">
        <v>119</v>
      </c>
      <c r="N32" s="97" t="s">
        <v>120</v>
      </c>
      <c r="O32" s="94" t="s">
        <v>121</v>
      </c>
      <c r="P32" s="98" t="s">
        <v>147</v>
      </c>
      <c r="Q32" s="94" t="s">
        <v>123</v>
      </c>
      <c r="R32" s="93" t="s">
        <v>124</v>
      </c>
      <c r="S32" s="99" t="s">
        <v>125</v>
      </c>
      <c r="T32" s="100" t="s">
        <v>126</v>
      </c>
      <c r="U32" s="101" t="s">
        <v>148</v>
      </c>
      <c r="V32" s="102"/>
      <c r="W32" s="102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</row>
    <row r="33" customFormat="false" ht="12.75" hidden="false" customHeight="false" outlineLevel="0" collapsed="false">
      <c r="A33" s="15" t="s">
        <v>307</v>
      </c>
      <c r="B33" s="15" t="s">
        <v>308</v>
      </c>
      <c r="C33" s="16"/>
      <c r="D33" s="17" t="n">
        <v>36526</v>
      </c>
      <c r="E33" s="17" t="n">
        <v>36769</v>
      </c>
      <c r="F33" s="15" t="s">
        <v>224</v>
      </c>
      <c r="G33" s="15"/>
      <c r="H33" s="16" t="s">
        <v>309</v>
      </c>
      <c r="I33" s="19" t="n">
        <v>0.125</v>
      </c>
      <c r="J33" s="20" t="n">
        <v>0</v>
      </c>
      <c r="K33" s="20" t="n">
        <v>0.0022</v>
      </c>
      <c r="L33" s="20" t="n">
        <v>0.0072</v>
      </c>
      <c r="M33" s="20" t="n">
        <v>0.0131</v>
      </c>
      <c r="N33" s="25" t="n">
        <v>0</v>
      </c>
      <c r="O33" s="20" t="n">
        <f aca="false">SUM(I33:M33)</f>
        <v>0.1475</v>
      </c>
      <c r="P33" s="22" t="s">
        <v>310</v>
      </c>
      <c r="Q33" s="16" t="n">
        <v>1000000</v>
      </c>
      <c r="R33" s="15" t="s">
        <v>311</v>
      </c>
      <c r="S33" s="23" t="n">
        <v>125000</v>
      </c>
      <c r="T33" s="23"/>
      <c r="U33" s="26"/>
      <c r="V33" s="24"/>
      <c r="W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5"/>
      <c r="B34" s="16"/>
      <c r="C34" s="16"/>
      <c r="D34" s="17"/>
      <c r="E34" s="17"/>
      <c r="F34" s="15"/>
      <c r="G34" s="15"/>
      <c r="H34" s="16"/>
      <c r="I34" s="19"/>
      <c r="J34" s="20"/>
      <c r="K34" s="20"/>
      <c r="L34" s="20"/>
      <c r="M34" s="20"/>
      <c r="N34" s="25"/>
      <c r="O34" s="20"/>
      <c r="P34" s="22"/>
      <c r="Q34" s="16"/>
      <c r="R34" s="15"/>
      <c r="S34" s="23"/>
      <c r="T34" s="23"/>
      <c r="U34" s="26"/>
      <c r="V34" s="24"/>
      <c r="W34" s="2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5"/>
      <c r="B35" s="16"/>
      <c r="C35" s="16"/>
      <c r="D35" s="17"/>
      <c r="E35" s="17"/>
      <c r="F35" s="15"/>
      <c r="G35" s="15"/>
      <c r="H35" s="16"/>
      <c r="I35" s="19"/>
      <c r="J35" s="20"/>
      <c r="K35" s="20"/>
      <c r="L35" s="20"/>
      <c r="M35" s="20"/>
      <c r="N35" s="25"/>
      <c r="O35" s="20"/>
      <c r="P35" s="22"/>
      <c r="Q35" s="69" t="n">
        <f aca="false">SUM(Q33:Q34)</f>
        <v>1000000</v>
      </c>
      <c r="R35" s="85" t="s">
        <v>164</v>
      </c>
      <c r="S35" s="35" t="n">
        <f aca="false">SUM(S33:S34)</f>
        <v>125000</v>
      </c>
      <c r="T35" s="23"/>
      <c r="U35" s="26"/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5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25"/>
      <c r="O36" s="20"/>
      <c r="P36" s="22"/>
      <c r="Q36" s="71"/>
      <c r="R36" s="85" t="s">
        <v>165</v>
      </c>
      <c r="S36" s="35" t="n">
        <v>0</v>
      </c>
      <c r="T36" s="23"/>
      <c r="U36" s="26"/>
      <c r="V36" s="24"/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3.5" hidden="false" customHeight="false" outlineLevel="0" collapsed="false">
      <c r="A37" s="15"/>
      <c r="B37" s="16"/>
      <c r="C37" s="16"/>
      <c r="D37" s="17"/>
      <c r="E37" s="17"/>
      <c r="F37" s="15"/>
      <c r="G37" s="15"/>
      <c r="H37" s="16"/>
      <c r="I37" s="19"/>
      <c r="J37" s="20"/>
      <c r="K37" s="20"/>
      <c r="L37" s="20"/>
      <c r="M37" s="20"/>
      <c r="N37" s="25"/>
      <c r="O37" s="20"/>
      <c r="P37" s="22"/>
      <c r="Q37" s="71"/>
      <c r="R37" s="85" t="s">
        <v>166</v>
      </c>
      <c r="S37" s="176" t="n">
        <f aca="false">+S35-S36</f>
        <v>125000</v>
      </c>
      <c r="T37" s="23"/>
      <c r="U37" s="26"/>
      <c r="V37" s="24"/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3.5" hidden="false" customHeight="false" outlineLevel="0" collapsed="false">
      <c r="A38" s="15"/>
      <c r="B38" s="16"/>
      <c r="C38" s="16"/>
      <c r="D38" s="17"/>
      <c r="E38" s="17"/>
      <c r="F38" s="15"/>
      <c r="G38" s="15"/>
      <c r="H38" s="16"/>
      <c r="I38" s="19"/>
      <c r="J38" s="20"/>
      <c r="K38" s="20"/>
      <c r="L38" s="20"/>
      <c r="M38" s="20"/>
      <c r="N38" s="25"/>
      <c r="O38" s="20"/>
      <c r="P38" s="22"/>
      <c r="Q38" s="16"/>
      <c r="R38" s="15"/>
      <c r="S38" s="23"/>
      <c r="T38" s="23"/>
      <c r="U38" s="26"/>
      <c r="V38" s="24"/>
      <c r="W38" s="24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77" t="s">
        <v>108</v>
      </c>
      <c r="B39" s="178" t="s">
        <v>109</v>
      </c>
      <c r="C39" s="178" t="s">
        <v>110</v>
      </c>
      <c r="D39" s="179" t="s">
        <v>111</v>
      </c>
      <c r="E39" s="179"/>
      <c r="F39" s="177" t="s">
        <v>112</v>
      </c>
      <c r="G39" s="177" t="s">
        <v>113</v>
      </c>
      <c r="H39" s="178" t="s">
        <v>114</v>
      </c>
      <c r="I39" s="180" t="s">
        <v>115</v>
      </c>
      <c r="J39" s="178" t="s">
        <v>116</v>
      </c>
      <c r="K39" s="178" t="s">
        <v>117</v>
      </c>
      <c r="L39" s="178" t="s">
        <v>118</v>
      </c>
      <c r="M39" s="178" t="s">
        <v>119</v>
      </c>
      <c r="N39" s="181" t="s">
        <v>120</v>
      </c>
      <c r="O39" s="178" t="s">
        <v>121</v>
      </c>
      <c r="P39" s="182" t="s">
        <v>122</v>
      </c>
      <c r="Q39" s="178" t="s">
        <v>123</v>
      </c>
      <c r="R39" s="177" t="s">
        <v>124</v>
      </c>
      <c r="S39" s="75" t="s">
        <v>236</v>
      </c>
      <c r="T39" s="75" t="s">
        <v>237</v>
      </c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3.5" hidden="false" customHeight="true" outlineLevel="0" collapsed="false">
      <c r="A40" s="15" t="s">
        <v>217</v>
      </c>
      <c r="B40" s="16" t="s">
        <v>312</v>
      </c>
      <c r="C40" s="16" t="s">
        <v>313</v>
      </c>
      <c r="D40" s="17" t="n">
        <v>36526</v>
      </c>
      <c r="E40" s="17" t="n">
        <v>36830</v>
      </c>
      <c r="F40" s="15" t="s">
        <v>256</v>
      </c>
      <c r="G40" s="15" t="s">
        <v>313</v>
      </c>
      <c r="H40" s="16"/>
      <c r="I40" s="19" t="n">
        <f aca="false">2.7493/I1</f>
        <v>0.0886870967741936</v>
      </c>
      <c r="J40" s="20" t="n">
        <v>0</v>
      </c>
      <c r="K40" s="20" t="n">
        <v>0</v>
      </c>
      <c r="L40" s="20" t="n">
        <v>0</v>
      </c>
      <c r="M40" s="20" t="n">
        <v>0</v>
      </c>
      <c r="N40" s="21" t="n">
        <v>0.008</v>
      </c>
      <c r="O40" s="20" t="n">
        <f aca="false">SUM(I40:M40)</f>
        <v>0.0886870967741936</v>
      </c>
      <c r="P40" s="22" t="n">
        <v>6025</v>
      </c>
      <c r="Q40" s="16" t="n">
        <v>4581</v>
      </c>
      <c r="R40" s="15"/>
      <c r="S40" s="151" t="n">
        <f aca="false">I40*I$1*Q40</f>
        <v>12594.5433</v>
      </c>
      <c r="T40" s="23"/>
      <c r="U40" s="24" t="n">
        <v>145032</v>
      </c>
      <c r="V40" s="24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38" t="s">
        <v>217</v>
      </c>
      <c r="B41" s="104" t="s">
        <v>312</v>
      </c>
      <c r="C41" s="104" t="s">
        <v>313</v>
      </c>
      <c r="D41" s="105" t="n">
        <v>36526</v>
      </c>
      <c r="E41" s="105" t="n">
        <v>36830</v>
      </c>
      <c r="F41" s="38" t="s">
        <v>256</v>
      </c>
      <c r="G41" s="38" t="s">
        <v>313</v>
      </c>
      <c r="H41" s="104"/>
      <c r="I41" s="106" t="n">
        <f aca="false">2.9957/I1</f>
        <v>0.0966354838709677</v>
      </c>
      <c r="J41" s="107" t="n">
        <v>0</v>
      </c>
      <c r="K41" s="107" t="n">
        <v>0</v>
      </c>
      <c r="L41" s="107" t="n">
        <v>0</v>
      </c>
      <c r="M41" s="107" t="n">
        <v>0</v>
      </c>
      <c r="N41" s="152" t="n">
        <v>0.008</v>
      </c>
      <c r="O41" s="107" t="n">
        <f aca="false">SUM(I41:M41)</f>
        <v>0.0966354838709677</v>
      </c>
      <c r="P41" s="109" t="n">
        <v>6025</v>
      </c>
      <c r="Q41" s="104" t="n">
        <v>-1000</v>
      </c>
      <c r="R41" s="38"/>
      <c r="S41" s="153" t="n">
        <f aca="false">I41*I$1*Q41</f>
        <v>-2995.7</v>
      </c>
      <c r="T41" s="110"/>
      <c r="U41" s="112" t="n">
        <v>277059</v>
      </c>
      <c r="V41" s="112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  <c r="IV41" s="113"/>
      <c r="IW41" s="113"/>
    </row>
    <row r="42" customFormat="false" ht="12.75" hidden="false" customHeight="false" outlineLevel="0" collapsed="false">
      <c r="A42" s="15" t="s">
        <v>217</v>
      </c>
      <c r="B42" s="16" t="s">
        <v>312</v>
      </c>
      <c r="C42" s="16" t="s">
        <v>313</v>
      </c>
      <c r="D42" s="17" t="n">
        <v>36526</v>
      </c>
      <c r="E42" s="17" t="n">
        <v>36830</v>
      </c>
      <c r="F42" s="15" t="s">
        <v>256</v>
      </c>
      <c r="G42" s="15" t="s">
        <v>313</v>
      </c>
      <c r="H42" s="16"/>
      <c r="I42" s="19" t="n">
        <f aca="false">2.7493/I1</f>
        <v>0.0886870967741936</v>
      </c>
      <c r="J42" s="20" t="n">
        <v>0</v>
      </c>
      <c r="K42" s="20" t="n">
        <v>0</v>
      </c>
      <c r="L42" s="20" t="n">
        <v>0</v>
      </c>
      <c r="M42" s="20" t="n">
        <v>0</v>
      </c>
      <c r="N42" s="21" t="n">
        <v>0.008</v>
      </c>
      <c r="O42" s="20" t="n">
        <f aca="false">SUM(I42:M42)</f>
        <v>0.0886870967741936</v>
      </c>
      <c r="P42" s="22" t="n">
        <v>6014</v>
      </c>
      <c r="Q42" s="16" t="n">
        <v>835</v>
      </c>
      <c r="R42" s="15"/>
      <c r="S42" s="151" t="n">
        <f aca="false">I42*I$1*Q42</f>
        <v>2295.6655</v>
      </c>
      <c r="T42" s="23"/>
      <c r="U42" s="24" t="n">
        <v>145036</v>
      </c>
      <c r="V42" s="24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3.5" hidden="false" customHeight="true" outlineLevel="0" collapsed="false">
      <c r="A43" s="38" t="s">
        <v>217</v>
      </c>
      <c r="B43" s="104" t="s">
        <v>312</v>
      </c>
      <c r="C43" s="104" t="s">
        <v>313</v>
      </c>
      <c r="D43" s="105" t="n">
        <v>36526</v>
      </c>
      <c r="E43" s="105" t="n">
        <v>36830</v>
      </c>
      <c r="F43" s="38" t="s">
        <v>256</v>
      </c>
      <c r="G43" s="38" t="s">
        <v>313</v>
      </c>
      <c r="H43" s="104"/>
      <c r="I43" s="106" t="n">
        <f aca="false">2.9557/I1</f>
        <v>0.0953451612903226</v>
      </c>
      <c r="J43" s="107" t="n">
        <v>0</v>
      </c>
      <c r="K43" s="107" t="n">
        <v>0</v>
      </c>
      <c r="L43" s="107" t="n">
        <v>0</v>
      </c>
      <c r="M43" s="107" t="n">
        <v>0</v>
      </c>
      <c r="N43" s="152" t="n">
        <v>0.008</v>
      </c>
      <c r="O43" s="107" t="n">
        <f aca="false">SUM(I43:M43)</f>
        <v>0.0953451612903226</v>
      </c>
      <c r="P43" s="109" t="n">
        <v>6014</v>
      </c>
      <c r="Q43" s="104" t="n">
        <v>-117</v>
      </c>
      <c r="R43" s="38"/>
      <c r="S43" s="153" t="n">
        <f aca="false">I43*I$1*Q43</f>
        <v>-345.8169</v>
      </c>
      <c r="T43" s="110"/>
      <c r="U43" s="112" t="n">
        <v>277022</v>
      </c>
      <c r="V43" s="112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113"/>
      <c r="EO43" s="113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  <c r="FB43" s="113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113"/>
      <c r="FO43" s="113"/>
      <c r="FP43" s="113"/>
      <c r="FQ43" s="113"/>
      <c r="FR43" s="113"/>
      <c r="FS43" s="113"/>
      <c r="FT43" s="113"/>
      <c r="FU43" s="113"/>
      <c r="FV43" s="113"/>
      <c r="FW43" s="113"/>
      <c r="FX43" s="113"/>
      <c r="FY43" s="113"/>
      <c r="FZ43" s="113"/>
      <c r="GA43" s="113"/>
      <c r="GB43" s="113"/>
      <c r="GC43" s="113"/>
      <c r="GD43" s="113"/>
      <c r="GE43" s="113"/>
      <c r="GF43" s="113"/>
      <c r="GG43" s="113"/>
      <c r="GH43" s="113"/>
      <c r="GI43" s="113"/>
      <c r="GJ43" s="113"/>
      <c r="GK43" s="113"/>
      <c r="GL43" s="113"/>
      <c r="GM43" s="113"/>
      <c r="GN43" s="113"/>
      <c r="GO43" s="113"/>
      <c r="GP43" s="113"/>
      <c r="GQ43" s="113"/>
      <c r="GR43" s="113"/>
      <c r="GS43" s="113"/>
      <c r="GT43" s="113"/>
      <c r="GU43" s="113"/>
      <c r="GV43" s="113"/>
      <c r="GW43" s="113"/>
      <c r="GX43" s="113"/>
      <c r="GY43" s="113"/>
      <c r="GZ43" s="113"/>
      <c r="HA43" s="113"/>
      <c r="HB43" s="113"/>
      <c r="HC43" s="113"/>
      <c r="HD43" s="113"/>
      <c r="HE43" s="113"/>
      <c r="HF43" s="113"/>
      <c r="HG43" s="113"/>
      <c r="HH43" s="113"/>
      <c r="HI43" s="113"/>
      <c r="HJ43" s="113"/>
      <c r="HK43" s="113"/>
      <c r="HL43" s="113"/>
      <c r="HM43" s="113"/>
      <c r="HN43" s="113"/>
      <c r="HO43" s="113"/>
      <c r="HP43" s="113"/>
      <c r="HQ43" s="113"/>
      <c r="HR43" s="113"/>
      <c r="HS43" s="113"/>
      <c r="HT43" s="113"/>
      <c r="HU43" s="113"/>
      <c r="HV43" s="113"/>
      <c r="HW43" s="113"/>
      <c r="HX43" s="113"/>
      <c r="HY43" s="113"/>
      <c r="HZ43" s="113"/>
      <c r="IA43" s="113"/>
      <c r="IB43" s="113"/>
      <c r="IC43" s="113"/>
      <c r="ID43" s="113"/>
      <c r="IE43" s="113"/>
      <c r="IF43" s="113"/>
      <c r="IG43" s="113"/>
      <c r="IH43" s="113"/>
      <c r="II43" s="113"/>
      <c r="IJ43" s="113"/>
      <c r="IK43" s="113"/>
      <c r="IL43" s="113"/>
      <c r="IM43" s="113"/>
      <c r="IN43" s="113"/>
      <c r="IO43" s="113"/>
      <c r="IP43" s="113"/>
      <c r="IQ43" s="113"/>
      <c r="IR43" s="113"/>
      <c r="IS43" s="113"/>
      <c r="IT43" s="113"/>
      <c r="IU43" s="113"/>
      <c r="IV43" s="113"/>
      <c r="IW43" s="113"/>
    </row>
    <row r="44" customFormat="false" ht="12.75" hidden="false" customHeight="false" outlineLevel="0" collapsed="false">
      <c r="A44" s="15" t="s">
        <v>217</v>
      </c>
      <c r="B44" s="16" t="s">
        <v>312</v>
      </c>
      <c r="C44" s="16" t="s">
        <v>314</v>
      </c>
      <c r="D44" s="17" t="n">
        <v>36526</v>
      </c>
      <c r="E44" s="17" t="n">
        <v>36830</v>
      </c>
      <c r="F44" s="15" t="s">
        <v>256</v>
      </c>
      <c r="G44" s="15" t="s">
        <v>314</v>
      </c>
      <c r="H44" s="16"/>
      <c r="I44" s="19" t="n">
        <f aca="false">2.9557/I1</f>
        <v>0.0953451612903226</v>
      </c>
      <c r="J44" s="20" t="n">
        <v>0</v>
      </c>
      <c r="K44" s="20" t="n">
        <v>0</v>
      </c>
      <c r="L44" s="20" t="n">
        <v>0</v>
      </c>
      <c r="M44" s="20" t="n">
        <v>0</v>
      </c>
      <c r="N44" s="21" t="n">
        <v>0.008</v>
      </c>
      <c r="O44" s="20" t="n">
        <f aca="false">SUM(I44:M44)</f>
        <v>0.0953451612903226</v>
      </c>
      <c r="P44" s="22" t="n">
        <v>6011</v>
      </c>
      <c r="Q44" s="16" t="n">
        <v>500</v>
      </c>
      <c r="R44" s="15"/>
      <c r="S44" s="151" t="n">
        <f aca="false">I44*I$1*Q44</f>
        <v>1477.85</v>
      </c>
      <c r="T44" s="23"/>
      <c r="U44" s="24" t="n">
        <v>145040</v>
      </c>
      <c r="V44" s="2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183" t="s">
        <v>145</v>
      </c>
      <c r="B45" s="184" t="s">
        <v>312</v>
      </c>
      <c r="C45" s="184" t="s">
        <v>314</v>
      </c>
      <c r="D45" s="185" t="n">
        <v>36739</v>
      </c>
      <c r="E45" s="185" t="n">
        <v>36769</v>
      </c>
      <c r="F45" s="183" t="s">
        <v>256</v>
      </c>
      <c r="G45" s="183" t="s">
        <v>314</v>
      </c>
      <c r="H45" s="184"/>
      <c r="I45" s="186" t="n">
        <v>0.01</v>
      </c>
      <c r="J45" s="187"/>
      <c r="K45" s="187"/>
      <c r="L45" s="187"/>
      <c r="M45" s="187"/>
      <c r="N45" s="188"/>
      <c r="O45" s="187"/>
      <c r="P45" s="189" t="n">
        <v>6011</v>
      </c>
      <c r="Q45" s="184" t="n">
        <v>-500</v>
      </c>
      <c r="R45" s="183"/>
      <c r="S45" s="190" t="n">
        <v>-500</v>
      </c>
      <c r="T45" s="191"/>
      <c r="U45" s="192" t="n">
        <v>356680</v>
      </c>
      <c r="V45" s="192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  <c r="BQ45" s="193"/>
      <c r="BR45" s="193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  <c r="CO45" s="193"/>
      <c r="CP45" s="193"/>
      <c r="CQ45" s="193"/>
      <c r="CR45" s="193"/>
      <c r="CS45" s="193"/>
      <c r="CT45" s="193"/>
      <c r="CU45" s="193"/>
      <c r="CV45" s="193"/>
      <c r="CW45" s="193"/>
      <c r="CX45" s="193"/>
      <c r="CY45" s="193"/>
      <c r="CZ45" s="193"/>
      <c r="DA45" s="193"/>
      <c r="DB45" s="193"/>
      <c r="DC45" s="193"/>
      <c r="DD45" s="193"/>
      <c r="DE45" s="193"/>
      <c r="DF45" s="193"/>
      <c r="DG45" s="193"/>
      <c r="DH45" s="193"/>
      <c r="DI45" s="193"/>
      <c r="DJ45" s="193"/>
      <c r="DK45" s="193"/>
      <c r="DL45" s="193"/>
      <c r="DM45" s="193"/>
      <c r="DN45" s="193"/>
      <c r="DO45" s="193"/>
      <c r="DP45" s="193"/>
      <c r="DQ45" s="193"/>
      <c r="DR45" s="193"/>
      <c r="DS45" s="193"/>
      <c r="DT45" s="193"/>
      <c r="DU45" s="193"/>
      <c r="DV45" s="193"/>
      <c r="DW45" s="193"/>
      <c r="DX45" s="193"/>
      <c r="DY45" s="193"/>
      <c r="DZ45" s="193"/>
      <c r="EA45" s="193"/>
      <c r="EB45" s="193"/>
      <c r="EC45" s="193"/>
      <c r="ED45" s="193"/>
      <c r="EE45" s="193"/>
      <c r="EF45" s="193"/>
      <c r="EG45" s="193"/>
      <c r="EH45" s="193"/>
      <c r="EI45" s="193"/>
      <c r="EJ45" s="193"/>
      <c r="EK45" s="193"/>
      <c r="EL45" s="193"/>
      <c r="EM45" s="193"/>
      <c r="EN45" s="193"/>
      <c r="EO45" s="193"/>
      <c r="EP45" s="193"/>
      <c r="EQ45" s="193"/>
      <c r="ER45" s="193"/>
      <c r="ES45" s="193"/>
      <c r="ET45" s="193"/>
      <c r="EU45" s="193"/>
      <c r="EV45" s="193"/>
      <c r="EW45" s="193"/>
      <c r="EX45" s="193"/>
      <c r="EY45" s="193"/>
      <c r="EZ45" s="193"/>
      <c r="FA45" s="193"/>
      <c r="FB45" s="193"/>
      <c r="FC45" s="193"/>
      <c r="FD45" s="193"/>
      <c r="FE45" s="193"/>
      <c r="FF45" s="193"/>
      <c r="FG45" s="193"/>
      <c r="FH45" s="193"/>
      <c r="FI45" s="193"/>
      <c r="FJ45" s="193"/>
      <c r="FK45" s="193"/>
      <c r="FL45" s="193"/>
      <c r="FM45" s="193"/>
      <c r="FN45" s="193"/>
      <c r="FO45" s="193"/>
      <c r="FP45" s="193"/>
      <c r="FQ45" s="193"/>
      <c r="FR45" s="193"/>
      <c r="FS45" s="193"/>
      <c r="FT45" s="193"/>
      <c r="FU45" s="193"/>
      <c r="FV45" s="193"/>
      <c r="FW45" s="193"/>
      <c r="FX45" s="193"/>
      <c r="FY45" s="193"/>
      <c r="FZ45" s="193"/>
      <c r="GA45" s="193"/>
      <c r="GB45" s="193"/>
      <c r="GC45" s="193"/>
      <c r="GD45" s="193"/>
      <c r="GE45" s="193"/>
      <c r="GF45" s="193"/>
      <c r="GG45" s="193"/>
      <c r="GH45" s="193"/>
      <c r="GI45" s="193"/>
      <c r="GJ45" s="193"/>
      <c r="GK45" s="193"/>
      <c r="GL45" s="193"/>
      <c r="GM45" s="193"/>
      <c r="GN45" s="193"/>
      <c r="GO45" s="193"/>
      <c r="GP45" s="193"/>
      <c r="GQ45" s="193"/>
      <c r="GR45" s="193"/>
      <c r="GS45" s="193"/>
      <c r="GT45" s="193"/>
      <c r="GU45" s="193"/>
      <c r="GV45" s="193"/>
      <c r="GW45" s="193"/>
      <c r="GX45" s="193"/>
      <c r="GY45" s="193"/>
      <c r="GZ45" s="193"/>
      <c r="HA45" s="193"/>
      <c r="HB45" s="193"/>
      <c r="HC45" s="193"/>
      <c r="HD45" s="193"/>
      <c r="HE45" s="193"/>
      <c r="HF45" s="193"/>
      <c r="HG45" s="193"/>
      <c r="HH45" s="193"/>
      <c r="HI45" s="193"/>
      <c r="HJ45" s="193"/>
      <c r="HK45" s="193"/>
      <c r="HL45" s="193"/>
      <c r="HM45" s="193"/>
      <c r="HN45" s="193"/>
      <c r="HO45" s="193"/>
      <c r="HP45" s="193"/>
      <c r="HQ45" s="193"/>
      <c r="HR45" s="193"/>
      <c r="HS45" s="193"/>
      <c r="HT45" s="193"/>
      <c r="HU45" s="193"/>
      <c r="HV45" s="193"/>
      <c r="HW45" s="193"/>
      <c r="HX45" s="193"/>
      <c r="HY45" s="193"/>
      <c r="HZ45" s="193"/>
      <c r="IA45" s="193"/>
      <c r="IB45" s="193"/>
      <c r="IC45" s="193"/>
      <c r="ID45" s="193"/>
      <c r="IE45" s="193"/>
      <c r="IF45" s="193"/>
      <c r="IG45" s="193"/>
      <c r="IH45" s="193"/>
      <c r="II45" s="193"/>
      <c r="IJ45" s="193"/>
      <c r="IK45" s="193"/>
      <c r="IL45" s="193"/>
      <c r="IM45" s="193"/>
      <c r="IN45" s="193"/>
      <c r="IO45" s="193"/>
      <c r="IP45" s="193"/>
      <c r="IQ45" s="193"/>
      <c r="IR45" s="193"/>
      <c r="IS45" s="193"/>
      <c r="IT45" s="193"/>
      <c r="IU45" s="193"/>
      <c r="IV45" s="193"/>
      <c r="IW45" s="193"/>
    </row>
    <row r="46" customFormat="false" ht="12.75" hidden="false" customHeight="false" outlineLevel="0" collapsed="false">
      <c r="A46" s="15" t="s">
        <v>217</v>
      </c>
      <c r="B46" s="16" t="s">
        <v>312</v>
      </c>
      <c r="C46" s="16" t="s">
        <v>315</v>
      </c>
      <c r="D46" s="17" t="n">
        <v>36526</v>
      </c>
      <c r="E46" s="17" t="n">
        <v>36830</v>
      </c>
      <c r="F46" s="15" t="s">
        <v>256</v>
      </c>
      <c r="G46" s="15" t="s">
        <v>315</v>
      </c>
      <c r="H46" s="16"/>
      <c r="I46" s="19" t="n">
        <v>0.2161</v>
      </c>
      <c r="J46" s="20" t="n">
        <v>0</v>
      </c>
      <c r="K46" s="20" t="n">
        <v>0</v>
      </c>
      <c r="L46" s="20" t="n">
        <v>0</v>
      </c>
      <c r="M46" s="20" t="n">
        <v>0</v>
      </c>
      <c r="N46" s="21" t="n">
        <v>0.008</v>
      </c>
      <c r="O46" s="20" t="n">
        <f aca="false">SUM(I46:M46)</f>
        <v>0.2161</v>
      </c>
      <c r="P46" s="22" t="n">
        <v>6500</v>
      </c>
      <c r="Q46" s="16" t="n">
        <v>7</v>
      </c>
      <c r="R46" s="15"/>
      <c r="S46" s="151" t="n">
        <f aca="false">I46*I$1*Q46</f>
        <v>46.8937</v>
      </c>
      <c r="T46" s="23"/>
      <c r="U46" s="24" t="n">
        <v>145042</v>
      </c>
      <c r="V46" s="24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15" t="s">
        <v>217</v>
      </c>
      <c r="B47" s="16" t="s">
        <v>312</v>
      </c>
      <c r="C47" s="16" t="s">
        <v>316</v>
      </c>
      <c r="D47" s="17" t="n">
        <v>36526</v>
      </c>
      <c r="E47" s="17" t="n">
        <v>36830</v>
      </c>
      <c r="F47" s="15" t="s">
        <v>256</v>
      </c>
      <c r="G47" s="15" t="s">
        <v>315</v>
      </c>
      <c r="H47" s="16"/>
      <c r="I47" s="19" t="n">
        <f aca="false">2.9557/I1</f>
        <v>0.0953451612903226</v>
      </c>
      <c r="J47" s="20" t="n">
        <v>0</v>
      </c>
      <c r="K47" s="20" t="n">
        <v>0</v>
      </c>
      <c r="L47" s="20" t="n">
        <v>0</v>
      </c>
      <c r="M47" s="20" t="n">
        <v>0</v>
      </c>
      <c r="N47" s="21" t="n">
        <v>0.008</v>
      </c>
      <c r="O47" s="20" t="n">
        <f aca="false">SUM(I47:M47)</f>
        <v>0.0953451612903226</v>
      </c>
      <c r="P47" s="22" t="n">
        <v>6005</v>
      </c>
      <c r="Q47" s="16" t="n">
        <v>1690</v>
      </c>
      <c r="R47" s="15"/>
      <c r="S47" s="151" t="n">
        <f aca="false">I47*I$1*Q47</f>
        <v>4995.133</v>
      </c>
      <c r="T47" s="23"/>
      <c r="U47" s="24" t="n">
        <v>144644</v>
      </c>
      <c r="V47" s="2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5" t="s">
        <v>217</v>
      </c>
      <c r="B48" s="16" t="s">
        <v>312</v>
      </c>
      <c r="C48" s="16" t="s">
        <v>316</v>
      </c>
      <c r="D48" s="17" t="n">
        <v>36526</v>
      </c>
      <c r="E48" s="17" t="n">
        <v>36830</v>
      </c>
      <c r="F48" s="15" t="s">
        <v>256</v>
      </c>
      <c r="G48" s="15" t="s">
        <v>315</v>
      </c>
      <c r="H48" s="16"/>
      <c r="I48" s="19" t="n">
        <f aca="false">2.9557/I1</f>
        <v>0.0953451612903226</v>
      </c>
      <c r="J48" s="20" t="n">
        <v>0</v>
      </c>
      <c r="K48" s="20" t="n">
        <v>0</v>
      </c>
      <c r="L48" s="20" t="n">
        <v>0</v>
      </c>
      <c r="M48" s="20" t="n">
        <v>0</v>
      </c>
      <c r="N48" s="21" t="n">
        <v>0.008</v>
      </c>
      <c r="O48" s="20" t="n">
        <f aca="false">SUM(I48:M48)</f>
        <v>0.0953451612903226</v>
      </c>
      <c r="P48" s="22" t="n">
        <v>6047</v>
      </c>
      <c r="Q48" s="16" t="n">
        <v>1758</v>
      </c>
      <c r="R48" s="15"/>
      <c r="S48" s="151" t="n">
        <f aca="false">I48*I$1*Q48</f>
        <v>5196.1206</v>
      </c>
      <c r="T48" s="23"/>
      <c r="U48" s="24" t="n">
        <v>145016</v>
      </c>
      <c r="V48" s="24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5" t="s">
        <v>217</v>
      </c>
      <c r="B49" s="16" t="s">
        <v>312</v>
      </c>
      <c r="C49" s="16" t="s">
        <v>316</v>
      </c>
      <c r="D49" s="17" t="n">
        <v>36526</v>
      </c>
      <c r="E49" s="17" t="n">
        <v>36830</v>
      </c>
      <c r="F49" s="15" t="s">
        <v>256</v>
      </c>
      <c r="G49" s="15" t="s">
        <v>315</v>
      </c>
      <c r="H49" s="16"/>
      <c r="I49" s="19" t="n">
        <f aca="false">2.9557/I1</f>
        <v>0.0953451612903226</v>
      </c>
      <c r="J49" s="20" t="n">
        <v>0</v>
      </c>
      <c r="K49" s="20" t="n">
        <v>0</v>
      </c>
      <c r="L49" s="20" t="n">
        <v>0</v>
      </c>
      <c r="M49" s="20" t="n">
        <v>0</v>
      </c>
      <c r="N49" s="21" t="n">
        <v>0.008</v>
      </c>
      <c r="O49" s="20" t="n">
        <f aca="false">SUM(I49:M49)</f>
        <v>0.0953451612903226</v>
      </c>
      <c r="P49" s="22" t="n">
        <v>6048</v>
      </c>
      <c r="Q49" s="16" t="n">
        <v>2500</v>
      </c>
      <c r="R49" s="15"/>
      <c r="S49" s="151" t="n">
        <f aca="false">I49*I$1*Q49</f>
        <v>7389.25</v>
      </c>
      <c r="T49" s="23"/>
      <c r="U49" s="24" t="n">
        <v>145019</v>
      </c>
      <c r="V49" s="24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5" t="s">
        <v>217</v>
      </c>
      <c r="B50" s="16" t="s">
        <v>312</v>
      </c>
      <c r="C50" s="16" t="s">
        <v>316</v>
      </c>
      <c r="D50" s="17" t="n">
        <v>36526</v>
      </c>
      <c r="E50" s="17" t="n">
        <v>36830</v>
      </c>
      <c r="F50" s="15" t="s">
        <v>256</v>
      </c>
      <c r="G50" s="15" t="s">
        <v>315</v>
      </c>
      <c r="H50" s="16"/>
      <c r="I50" s="19" t="n">
        <f aca="false">2.9557/I1</f>
        <v>0.0953451612903226</v>
      </c>
      <c r="J50" s="20" t="n">
        <v>0</v>
      </c>
      <c r="K50" s="20" t="n">
        <v>0</v>
      </c>
      <c r="L50" s="20" t="n">
        <v>0</v>
      </c>
      <c r="M50" s="20" t="n">
        <v>0</v>
      </c>
      <c r="N50" s="21" t="n">
        <v>0.008</v>
      </c>
      <c r="O50" s="20" t="n">
        <f aca="false">SUM(I50:M50)</f>
        <v>0.0953451612903226</v>
      </c>
      <c r="P50" s="22" t="n">
        <v>6049</v>
      </c>
      <c r="Q50" s="16" t="n">
        <v>12000</v>
      </c>
      <c r="R50" s="15"/>
      <c r="S50" s="151" t="n">
        <f aca="false">I50*I$1*Q50</f>
        <v>35468.4</v>
      </c>
      <c r="T50" s="23"/>
      <c r="U50" s="24" t="n">
        <v>145020</v>
      </c>
      <c r="V50" s="24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83" t="s">
        <v>217</v>
      </c>
      <c r="B51" s="184" t="s">
        <v>312</v>
      </c>
      <c r="C51" s="184" t="s">
        <v>316</v>
      </c>
      <c r="D51" s="185" t="n">
        <v>36739</v>
      </c>
      <c r="E51" s="185" t="n">
        <v>36769</v>
      </c>
      <c r="F51" s="183" t="s">
        <v>256</v>
      </c>
      <c r="G51" s="183" t="s">
        <v>316</v>
      </c>
      <c r="H51" s="184"/>
      <c r="I51" s="186" t="n">
        <v>0.02</v>
      </c>
      <c r="J51" s="187"/>
      <c r="K51" s="187"/>
      <c r="L51" s="187"/>
      <c r="M51" s="187"/>
      <c r="N51" s="188"/>
      <c r="O51" s="187"/>
      <c r="P51" s="189" t="n">
        <v>6049</v>
      </c>
      <c r="Q51" s="184" t="n">
        <v>-1700</v>
      </c>
      <c r="R51" s="183"/>
      <c r="S51" s="190" t="n">
        <f aca="false">+I51*Q51*30</f>
        <v>-1020</v>
      </c>
      <c r="T51" s="191"/>
      <c r="U51" s="192" t="n">
        <v>356697</v>
      </c>
      <c r="V51" s="192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  <c r="DE51" s="193"/>
      <c r="DF51" s="193"/>
      <c r="DG51" s="193"/>
      <c r="DH51" s="193"/>
      <c r="DI51" s="193"/>
      <c r="DJ51" s="193"/>
      <c r="DK51" s="193"/>
      <c r="DL51" s="193"/>
      <c r="DM51" s="193"/>
      <c r="DN51" s="193"/>
      <c r="DO51" s="193"/>
      <c r="DP51" s="193"/>
      <c r="DQ51" s="193"/>
      <c r="DR51" s="193"/>
      <c r="DS51" s="193"/>
      <c r="DT51" s="193"/>
      <c r="DU51" s="193"/>
      <c r="DV51" s="193"/>
      <c r="DW51" s="193"/>
      <c r="DX51" s="193"/>
      <c r="DY51" s="193"/>
      <c r="DZ51" s="193"/>
      <c r="EA51" s="193"/>
      <c r="EB51" s="193"/>
      <c r="EC51" s="193"/>
      <c r="ED51" s="193"/>
      <c r="EE51" s="193"/>
      <c r="EF51" s="193"/>
      <c r="EG51" s="193"/>
      <c r="EH51" s="193"/>
      <c r="EI51" s="193"/>
      <c r="EJ51" s="193"/>
      <c r="EK51" s="193"/>
      <c r="EL51" s="193"/>
      <c r="EM51" s="193"/>
      <c r="EN51" s="193"/>
      <c r="EO51" s="193"/>
      <c r="EP51" s="193"/>
      <c r="EQ51" s="193"/>
      <c r="ER51" s="193"/>
      <c r="ES51" s="193"/>
      <c r="ET51" s="193"/>
      <c r="EU51" s="193"/>
      <c r="EV51" s="193"/>
      <c r="EW51" s="193"/>
      <c r="EX51" s="193"/>
      <c r="EY51" s="193"/>
      <c r="EZ51" s="193"/>
      <c r="FA51" s="193"/>
      <c r="FB51" s="193"/>
      <c r="FC51" s="193"/>
      <c r="FD51" s="193"/>
      <c r="FE51" s="193"/>
      <c r="FF51" s="193"/>
      <c r="FG51" s="193"/>
      <c r="FH51" s="193"/>
      <c r="FI51" s="193"/>
      <c r="FJ51" s="193"/>
      <c r="FK51" s="193"/>
      <c r="FL51" s="193"/>
      <c r="FM51" s="193"/>
      <c r="FN51" s="193"/>
      <c r="FO51" s="193"/>
      <c r="FP51" s="193"/>
      <c r="FQ51" s="193"/>
      <c r="FR51" s="193"/>
      <c r="FS51" s="193"/>
      <c r="FT51" s="193"/>
      <c r="FU51" s="193"/>
      <c r="FV51" s="193"/>
      <c r="FW51" s="193"/>
      <c r="FX51" s="193"/>
      <c r="FY51" s="193"/>
      <c r="FZ51" s="193"/>
      <c r="GA51" s="193"/>
      <c r="GB51" s="193"/>
      <c r="GC51" s="193"/>
      <c r="GD51" s="193"/>
      <c r="GE51" s="193"/>
      <c r="GF51" s="193"/>
      <c r="GG51" s="193"/>
      <c r="GH51" s="193"/>
      <c r="GI51" s="193"/>
      <c r="GJ51" s="193"/>
      <c r="GK51" s="193"/>
      <c r="GL51" s="193"/>
      <c r="GM51" s="193"/>
      <c r="GN51" s="193"/>
      <c r="GO51" s="193"/>
      <c r="GP51" s="193"/>
      <c r="GQ51" s="193"/>
      <c r="GR51" s="193"/>
      <c r="GS51" s="193"/>
      <c r="GT51" s="193"/>
      <c r="GU51" s="193"/>
      <c r="GV51" s="193"/>
      <c r="GW51" s="193"/>
      <c r="GX51" s="193"/>
      <c r="GY51" s="193"/>
      <c r="GZ51" s="193"/>
      <c r="HA51" s="193"/>
      <c r="HB51" s="193"/>
      <c r="HC51" s="193"/>
      <c r="HD51" s="193"/>
      <c r="HE51" s="193"/>
      <c r="HF51" s="193"/>
      <c r="HG51" s="193"/>
      <c r="HH51" s="193"/>
      <c r="HI51" s="193"/>
      <c r="HJ51" s="193"/>
      <c r="HK51" s="193"/>
      <c r="HL51" s="193"/>
      <c r="HM51" s="193"/>
      <c r="HN51" s="193"/>
      <c r="HO51" s="193"/>
      <c r="HP51" s="193"/>
      <c r="HQ51" s="193"/>
      <c r="HR51" s="193"/>
      <c r="HS51" s="193"/>
      <c r="HT51" s="193"/>
      <c r="HU51" s="193"/>
      <c r="HV51" s="193"/>
      <c r="HW51" s="193"/>
      <c r="HX51" s="193"/>
      <c r="HY51" s="193"/>
      <c r="HZ51" s="193"/>
      <c r="IA51" s="193"/>
      <c r="IB51" s="193"/>
      <c r="IC51" s="193"/>
      <c r="ID51" s="193"/>
      <c r="IE51" s="193"/>
      <c r="IF51" s="193"/>
      <c r="IG51" s="193"/>
      <c r="IH51" s="193"/>
      <c r="II51" s="193"/>
      <c r="IJ51" s="193"/>
      <c r="IK51" s="193"/>
      <c r="IL51" s="193"/>
      <c r="IM51" s="193"/>
      <c r="IN51" s="193"/>
      <c r="IO51" s="193"/>
      <c r="IP51" s="193"/>
      <c r="IQ51" s="193"/>
      <c r="IR51" s="193"/>
      <c r="IS51" s="193"/>
      <c r="IT51" s="193"/>
      <c r="IU51" s="193"/>
      <c r="IV51" s="193"/>
      <c r="IW51" s="193"/>
    </row>
    <row r="52" customFormat="false" ht="12.75" hidden="false" customHeight="false" outlineLevel="0" collapsed="false">
      <c r="A52" s="15" t="s">
        <v>217</v>
      </c>
      <c r="B52" s="16" t="s">
        <v>312</v>
      </c>
      <c r="C52" s="16" t="s">
        <v>316</v>
      </c>
      <c r="D52" s="17" t="n">
        <v>36526</v>
      </c>
      <c r="E52" s="17" t="n">
        <v>36830</v>
      </c>
      <c r="F52" s="15" t="s">
        <v>256</v>
      </c>
      <c r="G52" s="15" t="s">
        <v>315</v>
      </c>
      <c r="H52" s="16"/>
      <c r="I52" s="19" t="n">
        <f aca="false">2.9557/I1</f>
        <v>0.0953451612903226</v>
      </c>
      <c r="J52" s="20" t="n">
        <v>0</v>
      </c>
      <c r="K52" s="20" t="n">
        <v>0</v>
      </c>
      <c r="L52" s="20" t="n">
        <v>0</v>
      </c>
      <c r="M52" s="20" t="n">
        <v>0</v>
      </c>
      <c r="N52" s="21" t="n">
        <v>0.008</v>
      </c>
      <c r="O52" s="20" t="n">
        <f aca="false">SUM(I52:M52)</f>
        <v>0.0953451612903226</v>
      </c>
      <c r="P52" s="22" t="n">
        <v>6050</v>
      </c>
      <c r="Q52" s="16" t="n">
        <v>1745</v>
      </c>
      <c r="R52" s="15"/>
      <c r="S52" s="151" t="n">
        <f aca="false">I52*I$1*Q52</f>
        <v>5157.6965</v>
      </c>
      <c r="T52" s="23"/>
      <c r="U52" s="24" t="n">
        <v>145025</v>
      </c>
      <c r="V52" s="24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5" t="s">
        <v>217</v>
      </c>
      <c r="B53" s="16" t="s">
        <v>312</v>
      </c>
      <c r="C53" s="16" t="s">
        <v>316</v>
      </c>
      <c r="D53" s="17" t="n">
        <v>36526</v>
      </c>
      <c r="E53" s="17" t="n">
        <v>36830</v>
      </c>
      <c r="F53" s="15" t="s">
        <v>256</v>
      </c>
      <c r="G53" s="15" t="s">
        <v>315</v>
      </c>
      <c r="H53" s="16"/>
      <c r="I53" s="19" t="n">
        <f aca="false">2.9557/I1</f>
        <v>0.0953451612903226</v>
      </c>
      <c r="J53" s="20" t="n">
        <v>0</v>
      </c>
      <c r="K53" s="20" t="n">
        <v>0</v>
      </c>
      <c r="L53" s="20" t="n">
        <v>0</v>
      </c>
      <c r="M53" s="20" t="n">
        <v>0</v>
      </c>
      <c r="N53" s="21" t="n">
        <v>0.008</v>
      </c>
      <c r="O53" s="20" t="n">
        <f aca="false">SUM(I53:M53)</f>
        <v>0.0953451612903226</v>
      </c>
      <c r="P53" s="22" t="n">
        <v>6051</v>
      </c>
      <c r="Q53" s="16" t="n">
        <v>2800</v>
      </c>
      <c r="R53" s="15"/>
      <c r="S53" s="151" t="n">
        <f aca="false">I53*I$1*Q53</f>
        <v>8275.96</v>
      </c>
      <c r="T53" s="23"/>
      <c r="U53" s="24" t="n">
        <v>145028</v>
      </c>
      <c r="V53" s="24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5" t="s">
        <v>217</v>
      </c>
      <c r="B54" s="16" t="s">
        <v>312</v>
      </c>
      <c r="C54" s="16" t="s">
        <v>316</v>
      </c>
      <c r="D54" s="17" t="n">
        <v>36526</v>
      </c>
      <c r="E54" s="17" t="n">
        <v>36830</v>
      </c>
      <c r="F54" s="15" t="s">
        <v>256</v>
      </c>
      <c r="G54" s="15" t="s">
        <v>315</v>
      </c>
      <c r="H54" s="16"/>
      <c r="I54" s="19" t="n">
        <f aca="false">2.9557/I1</f>
        <v>0.0953451612903226</v>
      </c>
      <c r="J54" s="20" t="n">
        <v>0</v>
      </c>
      <c r="K54" s="20" t="n">
        <v>0</v>
      </c>
      <c r="L54" s="20" t="n">
        <v>0</v>
      </c>
      <c r="M54" s="20" t="n">
        <v>0</v>
      </c>
      <c r="N54" s="21" t="n">
        <v>0.008</v>
      </c>
      <c r="O54" s="20" t="n">
        <f aca="false">SUM(I54:M54)</f>
        <v>0.0953451612903226</v>
      </c>
      <c r="P54" s="22" t="n">
        <v>6052</v>
      </c>
      <c r="Q54" s="16" t="n">
        <v>1241</v>
      </c>
      <c r="R54" s="15"/>
      <c r="S54" s="151" t="n">
        <f aca="false">I54*I$1*Q54</f>
        <v>3668.0237</v>
      </c>
      <c r="T54" s="23"/>
      <c r="U54" s="24" t="n">
        <v>145029</v>
      </c>
      <c r="V54" s="24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5" t="s">
        <v>217</v>
      </c>
      <c r="B55" s="16" t="s">
        <v>312</v>
      </c>
      <c r="C55" s="16" t="s">
        <v>316</v>
      </c>
      <c r="D55" s="17" t="n">
        <v>36526</v>
      </c>
      <c r="E55" s="17" t="n">
        <v>36830</v>
      </c>
      <c r="F55" s="15" t="s">
        <v>256</v>
      </c>
      <c r="G55" s="15" t="s">
        <v>315</v>
      </c>
      <c r="H55" s="16"/>
      <c r="I55" s="19" t="n">
        <f aca="false">2.9557/I1</f>
        <v>0.0953451612903226</v>
      </c>
      <c r="J55" s="20" t="n">
        <v>0</v>
      </c>
      <c r="K55" s="20" t="n">
        <v>0</v>
      </c>
      <c r="L55" s="20" t="n">
        <v>0</v>
      </c>
      <c r="M55" s="20" t="n">
        <v>0</v>
      </c>
      <c r="N55" s="21" t="n">
        <v>0.008</v>
      </c>
      <c r="O55" s="20" t="n">
        <f aca="false">SUM(I55:M55)</f>
        <v>0.0953451612903226</v>
      </c>
      <c r="P55" s="22" t="n">
        <v>6053</v>
      </c>
      <c r="Q55" s="16" t="n">
        <v>2500</v>
      </c>
      <c r="R55" s="15"/>
      <c r="S55" s="151" t="n">
        <f aca="false">I55*I$1*Q55</f>
        <v>7389.25</v>
      </c>
      <c r="T55" s="23"/>
      <c r="U55" s="24" t="n">
        <v>145030</v>
      </c>
      <c r="V55" s="24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5" t="s">
        <v>217</v>
      </c>
      <c r="B56" s="16" t="s">
        <v>312</v>
      </c>
      <c r="C56" s="16" t="s">
        <v>317</v>
      </c>
      <c r="D56" s="17" t="n">
        <v>36526</v>
      </c>
      <c r="E56" s="17" t="n">
        <v>36830</v>
      </c>
      <c r="F56" s="15" t="s">
        <v>256</v>
      </c>
      <c r="G56" s="15" t="s">
        <v>317</v>
      </c>
      <c r="H56" s="16"/>
      <c r="I56" s="19" t="n">
        <f aca="false">2.9557/I1</f>
        <v>0.0953451612903226</v>
      </c>
      <c r="J56" s="20" t="n">
        <v>0</v>
      </c>
      <c r="K56" s="20" t="n">
        <v>0</v>
      </c>
      <c r="L56" s="20" t="n">
        <v>0</v>
      </c>
      <c r="M56" s="20" t="n">
        <v>0</v>
      </c>
      <c r="N56" s="21" t="n">
        <v>0.008</v>
      </c>
      <c r="O56" s="20" t="n">
        <f aca="false">SUM(I56:M56)</f>
        <v>0.0953451612903226</v>
      </c>
      <c r="P56" s="22" t="n">
        <v>6009</v>
      </c>
      <c r="Q56" s="16" t="n">
        <v>5281</v>
      </c>
      <c r="R56" s="15"/>
      <c r="S56" s="151" t="n">
        <f aca="false">I56*I$1*Q56</f>
        <v>15609.0517</v>
      </c>
      <c r="T56" s="23"/>
      <c r="U56" s="24" t="n">
        <v>212387</v>
      </c>
      <c r="V56" s="2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83" t="s">
        <v>217</v>
      </c>
      <c r="B57" s="184" t="s">
        <v>312</v>
      </c>
      <c r="C57" s="184" t="s">
        <v>317</v>
      </c>
      <c r="D57" s="185" t="n">
        <v>36739</v>
      </c>
      <c r="E57" s="185" t="n">
        <v>36769</v>
      </c>
      <c r="F57" s="183" t="s">
        <v>256</v>
      </c>
      <c r="G57" s="183" t="s">
        <v>317</v>
      </c>
      <c r="H57" s="184"/>
      <c r="I57" s="186" t="n">
        <v>0.02</v>
      </c>
      <c r="J57" s="187"/>
      <c r="K57" s="187"/>
      <c r="L57" s="187"/>
      <c r="M57" s="187"/>
      <c r="N57" s="188"/>
      <c r="O57" s="187"/>
      <c r="P57" s="189" t="n">
        <v>6009</v>
      </c>
      <c r="Q57" s="184" t="n">
        <v>-1400</v>
      </c>
      <c r="R57" s="183"/>
      <c r="S57" s="190" t="n">
        <f aca="false">+Q57*I57*30</f>
        <v>-840</v>
      </c>
      <c r="T57" s="191"/>
      <c r="U57" s="192" t="n">
        <v>346727</v>
      </c>
      <c r="V57" s="192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  <c r="BI57" s="193"/>
      <c r="BJ57" s="193"/>
      <c r="BK57" s="193"/>
      <c r="BL57" s="193"/>
      <c r="BM57" s="193"/>
      <c r="BN57" s="193"/>
      <c r="BO57" s="193"/>
      <c r="BP57" s="193"/>
      <c r="BQ57" s="193"/>
      <c r="BR57" s="193"/>
      <c r="BS57" s="193"/>
      <c r="BT57" s="193"/>
      <c r="BU57" s="193"/>
      <c r="BV57" s="193"/>
      <c r="BW57" s="193"/>
      <c r="BX57" s="193"/>
      <c r="BY57" s="193"/>
      <c r="BZ57" s="193"/>
      <c r="CA57" s="193"/>
      <c r="CB57" s="193"/>
      <c r="CC57" s="193"/>
      <c r="CD57" s="193"/>
      <c r="CE57" s="193"/>
      <c r="CF57" s="193"/>
      <c r="CG57" s="193"/>
      <c r="CH57" s="193"/>
      <c r="CI57" s="193"/>
      <c r="CJ57" s="193"/>
      <c r="CK57" s="193"/>
      <c r="CL57" s="193"/>
      <c r="CM57" s="193"/>
      <c r="CN57" s="193"/>
      <c r="CO57" s="193"/>
      <c r="CP57" s="193"/>
      <c r="CQ57" s="193"/>
      <c r="CR57" s="193"/>
      <c r="CS57" s="193"/>
      <c r="CT57" s="193"/>
      <c r="CU57" s="193"/>
      <c r="CV57" s="193"/>
      <c r="CW57" s="193"/>
      <c r="CX57" s="193"/>
      <c r="CY57" s="193"/>
      <c r="CZ57" s="193"/>
      <c r="DA57" s="193"/>
      <c r="DB57" s="193"/>
      <c r="DC57" s="193"/>
      <c r="DD57" s="193"/>
      <c r="DE57" s="193"/>
      <c r="DF57" s="193"/>
      <c r="DG57" s="193"/>
      <c r="DH57" s="193"/>
      <c r="DI57" s="193"/>
      <c r="DJ57" s="193"/>
      <c r="DK57" s="193"/>
      <c r="DL57" s="193"/>
      <c r="DM57" s="193"/>
      <c r="DN57" s="193"/>
      <c r="DO57" s="193"/>
      <c r="DP57" s="193"/>
      <c r="DQ57" s="193"/>
      <c r="DR57" s="193"/>
      <c r="DS57" s="193"/>
      <c r="DT57" s="193"/>
      <c r="DU57" s="193"/>
      <c r="DV57" s="193"/>
      <c r="DW57" s="193"/>
      <c r="DX57" s="193"/>
      <c r="DY57" s="193"/>
      <c r="DZ57" s="193"/>
      <c r="EA57" s="193"/>
      <c r="EB57" s="193"/>
      <c r="EC57" s="193"/>
      <c r="ED57" s="193"/>
      <c r="EE57" s="193"/>
      <c r="EF57" s="193"/>
      <c r="EG57" s="193"/>
      <c r="EH57" s="193"/>
      <c r="EI57" s="193"/>
      <c r="EJ57" s="193"/>
      <c r="EK57" s="193"/>
      <c r="EL57" s="193"/>
      <c r="EM57" s="193"/>
      <c r="EN57" s="193"/>
      <c r="EO57" s="193"/>
      <c r="EP57" s="193"/>
      <c r="EQ57" s="193"/>
      <c r="ER57" s="193"/>
      <c r="ES57" s="193"/>
      <c r="ET57" s="193"/>
      <c r="EU57" s="193"/>
      <c r="EV57" s="193"/>
      <c r="EW57" s="193"/>
      <c r="EX57" s="193"/>
      <c r="EY57" s="193"/>
      <c r="EZ57" s="193"/>
      <c r="FA57" s="193"/>
      <c r="FB57" s="193"/>
      <c r="FC57" s="193"/>
      <c r="FD57" s="193"/>
      <c r="FE57" s="193"/>
      <c r="FF57" s="193"/>
      <c r="FG57" s="193"/>
      <c r="FH57" s="193"/>
      <c r="FI57" s="193"/>
      <c r="FJ57" s="193"/>
      <c r="FK57" s="193"/>
      <c r="FL57" s="193"/>
      <c r="FM57" s="193"/>
      <c r="FN57" s="193"/>
      <c r="FO57" s="193"/>
      <c r="FP57" s="193"/>
      <c r="FQ57" s="193"/>
      <c r="FR57" s="193"/>
      <c r="FS57" s="193"/>
      <c r="FT57" s="193"/>
      <c r="FU57" s="193"/>
      <c r="FV57" s="193"/>
      <c r="FW57" s="193"/>
      <c r="FX57" s="193"/>
      <c r="FY57" s="193"/>
      <c r="FZ57" s="193"/>
      <c r="GA57" s="193"/>
      <c r="GB57" s="193"/>
      <c r="GC57" s="193"/>
      <c r="GD57" s="193"/>
      <c r="GE57" s="193"/>
      <c r="GF57" s="193"/>
      <c r="GG57" s="193"/>
      <c r="GH57" s="193"/>
      <c r="GI57" s="193"/>
      <c r="GJ57" s="193"/>
      <c r="GK57" s="193"/>
      <c r="GL57" s="193"/>
      <c r="GM57" s="193"/>
      <c r="GN57" s="193"/>
      <c r="GO57" s="193"/>
      <c r="GP57" s="193"/>
      <c r="GQ57" s="193"/>
      <c r="GR57" s="193"/>
      <c r="GS57" s="193"/>
      <c r="GT57" s="193"/>
      <c r="GU57" s="193"/>
      <c r="GV57" s="193"/>
      <c r="GW57" s="193"/>
      <c r="GX57" s="193"/>
      <c r="GY57" s="193"/>
      <c r="GZ57" s="193"/>
      <c r="HA57" s="193"/>
      <c r="HB57" s="193"/>
      <c r="HC57" s="193"/>
      <c r="HD57" s="193"/>
      <c r="HE57" s="193"/>
      <c r="HF57" s="193"/>
      <c r="HG57" s="193"/>
      <c r="HH57" s="193"/>
      <c r="HI57" s="193"/>
      <c r="HJ57" s="193"/>
      <c r="HK57" s="193"/>
      <c r="HL57" s="193"/>
      <c r="HM57" s="193"/>
      <c r="HN57" s="193"/>
      <c r="HO57" s="193"/>
      <c r="HP57" s="193"/>
      <c r="HQ57" s="193"/>
      <c r="HR57" s="193"/>
      <c r="HS57" s="193"/>
      <c r="HT57" s="193"/>
      <c r="HU57" s="193"/>
      <c r="HV57" s="193"/>
      <c r="HW57" s="193"/>
      <c r="HX57" s="193"/>
      <c r="HY57" s="193"/>
      <c r="HZ57" s="193"/>
      <c r="IA57" s="193"/>
      <c r="IB57" s="193"/>
      <c r="IC57" s="193"/>
      <c r="ID57" s="193"/>
      <c r="IE57" s="193"/>
      <c r="IF57" s="193"/>
      <c r="IG57" s="193"/>
      <c r="IH57" s="193"/>
      <c r="II57" s="193"/>
      <c r="IJ57" s="193"/>
      <c r="IK57" s="193"/>
      <c r="IL57" s="193"/>
      <c r="IM57" s="193"/>
      <c r="IN57" s="193"/>
      <c r="IO57" s="193"/>
      <c r="IP57" s="193"/>
      <c r="IQ57" s="193"/>
      <c r="IR57" s="193"/>
      <c r="IS57" s="193"/>
      <c r="IT57" s="193"/>
      <c r="IU57" s="193"/>
      <c r="IV57" s="193"/>
      <c r="IW57" s="193"/>
    </row>
    <row r="58" customFormat="false" ht="12.75" hidden="false" customHeight="false" outlineLevel="0" collapsed="false">
      <c r="A58" s="15" t="s">
        <v>217</v>
      </c>
      <c r="B58" s="16" t="s">
        <v>312</v>
      </c>
      <c r="C58" s="16" t="s">
        <v>317</v>
      </c>
      <c r="D58" s="17" t="n">
        <v>36526</v>
      </c>
      <c r="E58" s="17" t="n">
        <v>36830</v>
      </c>
      <c r="F58" s="15" t="s">
        <v>256</v>
      </c>
      <c r="G58" s="15" t="s">
        <v>317</v>
      </c>
      <c r="H58" s="16"/>
      <c r="I58" s="19" t="n">
        <f aca="false">2.9557/I1</f>
        <v>0.0953451612903226</v>
      </c>
      <c r="J58" s="20" t="n">
        <v>0</v>
      </c>
      <c r="K58" s="20" t="n">
        <v>0</v>
      </c>
      <c r="L58" s="20" t="n">
        <v>0</v>
      </c>
      <c r="M58" s="20" t="n">
        <v>0</v>
      </c>
      <c r="N58" s="21" t="n">
        <v>0.008</v>
      </c>
      <c r="O58" s="20" t="n">
        <f aca="false">SUM(I58:M58)</f>
        <v>0.0953451612903226</v>
      </c>
      <c r="P58" s="22" t="n">
        <v>6055</v>
      </c>
      <c r="Q58" s="16" t="n">
        <v>23254</v>
      </c>
      <c r="R58" s="15"/>
      <c r="S58" s="151" t="n">
        <f aca="false">I58*I$1*Q58</f>
        <v>68731.8478</v>
      </c>
      <c r="T58" s="23"/>
      <c r="U58" s="24" t="n">
        <v>145048</v>
      </c>
      <c r="V58" s="24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5" t="s">
        <v>217</v>
      </c>
      <c r="B59" s="16" t="s">
        <v>312</v>
      </c>
      <c r="C59" s="16" t="s">
        <v>317</v>
      </c>
      <c r="D59" s="17" t="n">
        <v>36526</v>
      </c>
      <c r="E59" s="17" t="n">
        <v>36830</v>
      </c>
      <c r="F59" s="15" t="s">
        <v>256</v>
      </c>
      <c r="G59" s="15" t="s">
        <v>317</v>
      </c>
      <c r="H59" s="16"/>
      <c r="I59" s="19" t="n">
        <f aca="false">2.9557/I1</f>
        <v>0.0953451612903226</v>
      </c>
      <c r="J59" s="20" t="n">
        <v>0</v>
      </c>
      <c r="K59" s="20" t="n">
        <v>0</v>
      </c>
      <c r="L59" s="20" t="n">
        <v>0</v>
      </c>
      <c r="M59" s="20" t="n">
        <v>0</v>
      </c>
      <c r="N59" s="21" t="n">
        <v>0.008</v>
      </c>
      <c r="O59" s="20" t="n">
        <f aca="false">SUM(I59:M59)</f>
        <v>0.0953451612903226</v>
      </c>
      <c r="P59" s="22" t="n">
        <v>6056</v>
      </c>
      <c r="Q59" s="16" t="n">
        <v>10000</v>
      </c>
      <c r="R59" s="15"/>
      <c r="S59" s="151" t="n">
        <f aca="false">I59*I$1*Q59</f>
        <v>29557</v>
      </c>
      <c r="T59" s="23"/>
      <c r="U59" s="24" t="n">
        <v>145049</v>
      </c>
      <c r="V59" s="24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5" t="s">
        <v>217</v>
      </c>
      <c r="B60" s="16" t="s">
        <v>312</v>
      </c>
      <c r="C60" s="16" t="s">
        <v>317</v>
      </c>
      <c r="D60" s="17" t="n">
        <v>36526</v>
      </c>
      <c r="E60" s="17" t="n">
        <v>36830</v>
      </c>
      <c r="F60" s="15" t="s">
        <v>256</v>
      </c>
      <c r="G60" s="15" t="s">
        <v>317</v>
      </c>
      <c r="H60" s="16"/>
      <c r="I60" s="19" t="n">
        <f aca="false">2.9557/I1</f>
        <v>0.0953451612903226</v>
      </c>
      <c r="J60" s="20" t="n">
        <v>0</v>
      </c>
      <c r="K60" s="20" t="n">
        <v>0</v>
      </c>
      <c r="L60" s="20" t="n">
        <v>0</v>
      </c>
      <c r="M60" s="20" t="n">
        <v>0</v>
      </c>
      <c r="N60" s="21" t="n">
        <v>0.008</v>
      </c>
      <c r="O60" s="20" t="n">
        <f aca="false">SUM(I60:M60)</f>
        <v>0.0953451612903226</v>
      </c>
      <c r="P60" s="22" t="n">
        <v>6063</v>
      </c>
      <c r="Q60" s="16" t="n">
        <v>5000</v>
      </c>
      <c r="R60" s="15"/>
      <c r="S60" s="151" t="n">
        <f aca="false">I60*I$1*Q60</f>
        <v>14778.5</v>
      </c>
      <c r="T60" s="23"/>
      <c r="U60" s="24" t="n">
        <v>145050</v>
      </c>
      <c r="V60" s="24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2" customFormat="false" ht="12.75" hidden="false" customHeight="false" outlineLevel="0" collapsed="false">
      <c r="A62" s="15"/>
      <c r="B62" s="16"/>
      <c r="C62" s="16"/>
      <c r="D62" s="17"/>
      <c r="E62" s="17"/>
      <c r="F62" s="15"/>
      <c r="G62" s="15"/>
      <c r="H62" s="16"/>
      <c r="I62" s="19"/>
      <c r="J62" s="20"/>
      <c r="K62" s="68"/>
      <c r="L62" s="20"/>
      <c r="M62" s="20"/>
      <c r="N62" s="21"/>
      <c r="O62" s="20"/>
      <c r="P62" s="22"/>
      <c r="Q62" s="16"/>
      <c r="R62" s="16"/>
      <c r="S62" s="23"/>
      <c r="T62" s="23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false" outlineLevel="0" collapsed="false">
      <c r="A63" s="15"/>
      <c r="B63" s="16"/>
      <c r="C63" s="16"/>
      <c r="D63" s="17"/>
      <c r="E63" s="17"/>
      <c r="F63" s="15"/>
      <c r="G63" s="15"/>
      <c r="H63" s="16"/>
      <c r="I63" s="19"/>
      <c r="J63" s="20"/>
      <c r="K63" s="20"/>
      <c r="L63" s="20"/>
      <c r="M63" s="20"/>
      <c r="N63" s="25"/>
      <c r="O63" s="20"/>
      <c r="P63" s="22"/>
      <c r="Q63" s="69" t="n">
        <f aca="false">SUM(Q40:Q62)</f>
        <v>70975</v>
      </c>
      <c r="R63" s="85" t="s">
        <v>164</v>
      </c>
      <c r="S63" s="35" t="n">
        <f aca="false">SUM(S40:S62)</f>
        <v>216929.6689</v>
      </c>
      <c r="T63" s="23"/>
      <c r="U63" s="26"/>
      <c r="V63" s="24"/>
      <c r="W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15"/>
      <c r="B64" s="16"/>
      <c r="C64" s="16"/>
      <c r="D64" s="17"/>
      <c r="E64" s="17"/>
      <c r="F64" s="15"/>
      <c r="G64" s="15"/>
      <c r="H64" s="16"/>
      <c r="I64" s="19"/>
      <c r="J64" s="20"/>
      <c r="K64" s="20"/>
      <c r="L64" s="20"/>
      <c r="M64" s="20"/>
      <c r="N64" s="25"/>
      <c r="O64" s="20"/>
      <c r="P64" s="22"/>
      <c r="Q64" s="71"/>
      <c r="R64" s="85" t="s">
        <v>165</v>
      </c>
      <c r="S64" s="35" t="n">
        <f aca="false">SUM(S40:S60)</f>
        <v>216929.6689</v>
      </c>
      <c r="T64" s="23"/>
      <c r="U64" s="26"/>
      <c r="V64" s="24"/>
      <c r="W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3.5" hidden="false" customHeight="false" outlineLevel="0" collapsed="false">
      <c r="A65" s="15"/>
      <c r="B65" s="16"/>
      <c r="C65" s="16"/>
      <c r="D65" s="17"/>
      <c r="E65" s="17"/>
      <c r="F65" s="15"/>
      <c r="G65" s="15"/>
      <c r="H65" s="16"/>
      <c r="I65" s="19"/>
      <c r="J65" s="20"/>
      <c r="K65" s="20"/>
      <c r="L65" s="20"/>
      <c r="M65" s="20"/>
      <c r="N65" s="25"/>
      <c r="O65" s="20"/>
      <c r="P65" s="22"/>
      <c r="Q65" s="71"/>
      <c r="R65" s="85" t="s">
        <v>166</v>
      </c>
      <c r="S65" s="176" t="n">
        <f aca="false">+S63-S64</f>
        <v>0</v>
      </c>
      <c r="T65" s="23"/>
      <c r="U65" s="26"/>
      <c r="V65" s="24"/>
      <c r="W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3.5" hidden="false" customHeight="false" outlineLevel="0" collapsed="false">
      <c r="A66" s="15"/>
      <c r="B66" s="16"/>
      <c r="C66" s="16"/>
      <c r="D66" s="17"/>
      <c r="E66" s="17"/>
      <c r="F66" s="15"/>
      <c r="G66" s="15"/>
      <c r="H66" s="16"/>
      <c r="I66" s="19"/>
      <c r="J66" s="20"/>
      <c r="K66" s="20"/>
      <c r="L66" s="20"/>
      <c r="M66" s="20"/>
      <c r="N66" s="25"/>
      <c r="O66" s="20"/>
      <c r="P66" s="22"/>
      <c r="Q66" s="16"/>
      <c r="R66" s="15"/>
      <c r="S66" s="23"/>
      <c r="T66" s="23"/>
      <c r="U66" s="26"/>
      <c r="V66" s="24"/>
      <c r="W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false" outlineLevel="0" collapsed="false">
      <c r="A67" s="141" t="s">
        <v>108</v>
      </c>
      <c r="B67" s="142" t="s">
        <v>109</v>
      </c>
      <c r="C67" s="142" t="s">
        <v>110</v>
      </c>
      <c r="D67" s="143" t="s">
        <v>111</v>
      </c>
      <c r="E67" s="143"/>
      <c r="F67" s="141" t="s">
        <v>112</v>
      </c>
      <c r="G67" s="141" t="s">
        <v>113</v>
      </c>
      <c r="H67" s="142" t="s">
        <v>114</v>
      </c>
      <c r="I67" s="144" t="s">
        <v>115</v>
      </c>
      <c r="J67" s="142" t="s">
        <v>116</v>
      </c>
      <c r="K67" s="142" t="s">
        <v>117</v>
      </c>
      <c r="L67" s="142" t="s">
        <v>118</v>
      </c>
      <c r="M67" s="142" t="s">
        <v>119</v>
      </c>
      <c r="N67" s="150" t="s">
        <v>120</v>
      </c>
      <c r="O67" s="142" t="s">
        <v>121</v>
      </c>
      <c r="P67" s="146" t="s">
        <v>122</v>
      </c>
      <c r="Q67" s="142" t="s">
        <v>123</v>
      </c>
      <c r="R67" s="141" t="s">
        <v>124</v>
      </c>
      <c r="S67" s="99" t="s">
        <v>236</v>
      </c>
      <c r="T67" s="99" t="s">
        <v>237</v>
      </c>
      <c r="U67" s="102"/>
      <c r="V67" s="102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  <c r="CP67" s="148"/>
      <c r="CQ67" s="148"/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  <c r="DB67" s="148"/>
      <c r="DC67" s="148"/>
      <c r="DD67" s="148"/>
      <c r="DE67" s="148"/>
      <c r="DF67" s="148"/>
      <c r="DG67" s="148"/>
      <c r="DH67" s="148"/>
      <c r="DI67" s="148"/>
      <c r="DJ67" s="148"/>
      <c r="DK67" s="148"/>
      <c r="DL67" s="148"/>
      <c r="DM67" s="148"/>
      <c r="DN67" s="148"/>
      <c r="DO67" s="148"/>
      <c r="DP67" s="148"/>
      <c r="DQ67" s="148"/>
      <c r="DR67" s="148"/>
      <c r="DS67" s="148"/>
      <c r="DT67" s="148"/>
      <c r="DU67" s="148"/>
      <c r="DV67" s="148"/>
      <c r="DW67" s="148"/>
      <c r="DX67" s="148"/>
      <c r="DY67" s="148"/>
      <c r="DZ67" s="148"/>
      <c r="EA67" s="148"/>
      <c r="EB67" s="148"/>
      <c r="EC67" s="148"/>
      <c r="ED67" s="148"/>
      <c r="EE67" s="148"/>
      <c r="EF67" s="148"/>
      <c r="EG67" s="148"/>
      <c r="EH67" s="148"/>
      <c r="EI67" s="148"/>
      <c r="EJ67" s="148"/>
      <c r="EK67" s="148"/>
      <c r="EL67" s="148"/>
      <c r="EM67" s="148"/>
      <c r="EN67" s="148"/>
      <c r="EO67" s="148"/>
      <c r="EP67" s="148"/>
      <c r="EQ67" s="148"/>
      <c r="ER67" s="148"/>
      <c r="ES67" s="148"/>
      <c r="ET67" s="148"/>
      <c r="EU67" s="148"/>
      <c r="EV67" s="148"/>
      <c r="EW67" s="148"/>
      <c r="EX67" s="148"/>
      <c r="EY67" s="148"/>
      <c r="EZ67" s="148"/>
      <c r="FA67" s="148"/>
      <c r="FB67" s="148"/>
      <c r="FC67" s="148"/>
      <c r="FD67" s="148"/>
      <c r="FE67" s="148"/>
      <c r="FF67" s="148"/>
      <c r="FG67" s="148"/>
      <c r="FH67" s="148"/>
      <c r="FI67" s="148"/>
      <c r="FJ67" s="148"/>
      <c r="FK67" s="148"/>
      <c r="FL67" s="148"/>
      <c r="FM67" s="148"/>
      <c r="FN67" s="148"/>
      <c r="FO67" s="148"/>
      <c r="FP67" s="148"/>
      <c r="FQ67" s="148"/>
      <c r="FR67" s="148"/>
      <c r="FS67" s="148"/>
      <c r="FT67" s="148"/>
      <c r="FU67" s="148"/>
      <c r="FV67" s="148"/>
      <c r="FW67" s="148"/>
      <c r="FX67" s="148"/>
      <c r="FY67" s="148"/>
      <c r="FZ67" s="148"/>
      <c r="GA67" s="148"/>
      <c r="GB67" s="148"/>
      <c r="GC67" s="148"/>
      <c r="GD67" s="148"/>
      <c r="GE67" s="148"/>
      <c r="GF67" s="148"/>
      <c r="GG67" s="148"/>
      <c r="GH67" s="148"/>
      <c r="GI67" s="148"/>
      <c r="GJ67" s="148"/>
      <c r="GK67" s="148"/>
      <c r="GL67" s="148"/>
      <c r="GM67" s="148"/>
      <c r="GN67" s="148"/>
      <c r="GO67" s="148"/>
      <c r="GP67" s="148"/>
      <c r="GQ67" s="148"/>
      <c r="GR67" s="148"/>
      <c r="GS67" s="148"/>
      <c r="GT67" s="148"/>
      <c r="GU67" s="148"/>
      <c r="GV67" s="148"/>
      <c r="GW67" s="148"/>
      <c r="GX67" s="148"/>
      <c r="GY67" s="148"/>
      <c r="GZ67" s="148"/>
      <c r="HA67" s="148"/>
      <c r="HB67" s="148"/>
      <c r="HC67" s="148"/>
      <c r="HD67" s="148"/>
      <c r="HE67" s="148"/>
      <c r="HF67" s="148"/>
      <c r="HG67" s="148"/>
      <c r="HH67" s="148"/>
      <c r="HI67" s="148"/>
      <c r="HJ67" s="148"/>
      <c r="HK67" s="148"/>
      <c r="HL67" s="148"/>
      <c r="HM67" s="148"/>
      <c r="HN67" s="148"/>
      <c r="HO67" s="148"/>
      <c r="HP67" s="148"/>
      <c r="HQ67" s="148"/>
      <c r="HR67" s="148"/>
      <c r="HS67" s="148"/>
      <c r="HT67" s="148"/>
      <c r="HU67" s="148"/>
      <c r="HV67" s="148"/>
      <c r="HW67" s="148"/>
      <c r="HX67" s="148"/>
      <c r="HY67" s="148"/>
      <c r="HZ67" s="148"/>
      <c r="IA67" s="148"/>
      <c r="IB67" s="148"/>
      <c r="IC67" s="148"/>
      <c r="ID67" s="148"/>
      <c r="IE67" s="148"/>
      <c r="IF67" s="148"/>
      <c r="IG67" s="148"/>
      <c r="IH67" s="148"/>
      <c r="II67" s="148"/>
      <c r="IJ67" s="148"/>
      <c r="IK67" s="148"/>
      <c r="IL67" s="148"/>
      <c r="IM67" s="148"/>
      <c r="IN67" s="148"/>
      <c r="IO67" s="148"/>
      <c r="IP67" s="148"/>
      <c r="IQ67" s="148"/>
      <c r="IR67" s="148"/>
      <c r="IS67" s="148"/>
      <c r="IT67" s="148"/>
      <c r="IU67" s="148"/>
      <c r="IV67" s="148"/>
      <c r="IW67" s="148"/>
    </row>
    <row r="68" customFormat="false" ht="12.75" hidden="false" customHeight="false" outlineLevel="0" collapsed="false">
      <c r="A68" s="15" t="s">
        <v>52</v>
      </c>
      <c r="B68" s="15" t="s">
        <v>318</v>
      </c>
      <c r="C68" s="16" t="s">
        <v>239</v>
      </c>
      <c r="D68" s="17" t="n">
        <v>36281</v>
      </c>
      <c r="E68" s="17" t="n">
        <v>36831</v>
      </c>
      <c r="F68" s="15" t="s">
        <v>319</v>
      </c>
      <c r="G68" s="15" t="s">
        <v>320</v>
      </c>
      <c r="H68" s="16" t="s">
        <v>1</v>
      </c>
      <c r="I68" s="20" t="n">
        <v>0.039</v>
      </c>
      <c r="J68" s="20" t="n">
        <v>0.003</v>
      </c>
      <c r="K68" s="20" t="n">
        <v>0.0022</v>
      </c>
      <c r="L68" s="20" t="n">
        <v>0</v>
      </c>
      <c r="M68" s="20" t="n">
        <v>0</v>
      </c>
      <c r="N68" s="21" t="n">
        <v>0</v>
      </c>
      <c r="O68" s="20" t="n">
        <f aca="false">SUM(I68:M68)</f>
        <v>0.0442</v>
      </c>
      <c r="P68" s="22" t="n">
        <v>105431</v>
      </c>
      <c r="Q68" s="16" t="n">
        <v>5000</v>
      </c>
      <c r="R68" s="15" t="s">
        <v>321</v>
      </c>
      <c r="S68" s="151" t="n">
        <f aca="false">I68*I$1*Q68</f>
        <v>6045</v>
      </c>
      <c r="T68" s="151"/>
      <c r="U68" s="24" t="n">
        <v>93729</v>
      </c>
      <c r="V68" s="24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5"/>
      <c r="B69" s="16"/>
      <c r="C69" s="16"/>
      <c r="D69" s="17"/>
      <c r="E69" s="17"/>
      <c r="F69" s="15"/>
      <c r="G69" s="15"/>
      <c r="H69" s="16"/>
      <c r="I69" s="19"/>
      <c r="J69" s="20"/>
      <c r="K69" s="68"/>
      <c r="L69" s="20"/>
      <c r="M69" s="20"/>
      <c r="N69" s="21"/>
      <c r="O69" s="20"/>
      <c r="P69" s="22"/>
      <c r="Q69" s="16"/>
      <c r="R69" s="16"/>
      <c r="S69" s="194"/>
      <c r="T69" s="194" t="n">
        <f aca="false">SUM(T68)</f>
        <v>0</v>
      </c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false" customHeight="false" outlineLevel="0" collapsed="false">
      <c r="A70" s="15"/>
      <c r="B70" s="16"/>
      <c r="C70" s="16"/>
      <c r="D70" s="17"/>
      <c r="E70" s="17"/>
      <c r="F70" s="15"/>
      <c r="G70" s="15"/>
      <c r="H70" s="16"/>
      <c r="I70" s="19"/>
      <c r="J70" s="20"/>
      <c r="K70" s="20"/>
      <c r="L70" s="20"/>
      <c r="M70" s="20"/>
      <c r="N70" s="25"/>
      <c r="O70" s="20"/>
      <c r="P70" s="22"/>
      <c r="Q70" s="69" t="n">
        <f aca="false">SUM(Q68:Q69)</f>
        <v>5000</v>
      </c>
      <c r="R70" s="85" t="s">
        <v>164</v>
      </c>
      <c r="S70" s="35" t="n">
        <f aca="false">SUM(S68:S69)</f>
        <v>6045</v>
      </c>
      <c r="T70" s="23"/>
      <c r="U70" s="26"/>
      <c r="V70" s="24"/>
      <c r="W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false" customHeight="false" outlineLevel="0" collapsed="false">
      <c r="A71" s="15"/>
      <c r="B71" s="16"/>
      <c r="C71" s="16"/>
      <c r="D71" s="17"/>
      <c r="E71" s="17"/>
      <c r="F71" s="15"/>
      <c r="G71" s="15"/>
      <c r="H71" s="16"/>
      <c r="I71" s="19"/>
      <c r="J71" s="20"/>
      <c r="K71" s="20"/>
      <c r="L71" s="20"/>
      <c r="M71" s="20"/>
      <c r="N71" s="25"/>
      <c r="O71" s="20"/>
      <c r="P71" s="22"/>
      <c r="Q71" s="71"/>
      <c r="R71" s="85" t="s">
        <v>165</v>
      </c>
      <c r="S71" s="35" t="n">
        <v>0</v>
      </c>
      <c r="T71" s="23"/>
      <c r="U71" s="26"/>
      <c r="V71" s="24"/>
      <c r="W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3.5" hidden="false" customHeight="false" outlineLevel="0" collapsed="false">
      <c r="A72" s="15"/>
      <c r="B72" s="16"/>
      <c r="C72" s="16"/>
      <c r="D72" s="17"/>
      <c r="E72" s="17"/>
      <c r="F72" s="15"/>
      <c r="G72" s="15"/>
      <c r="H72" s="16"/>
      <c r="I72" s="19"/>
      <c r="J72" s="20"/>
      <c r="K72" s="20"/>
      <c r="L72" s="20"/>
      <c r="M72" s="20"/>
      <c r="N72" s="25"/>
      <c r="O72" s="20"/>
      <c r="P72" s="22"/>
      <c r="Q72" s="71"/>
      <c r="R72" s="85" t="s">
        <v>166</v>
      </c>
      <c r="S72" s="176" t="n">
        <f aca="false">+S70-S71</f>
        <v>6045</v>
      </c>
      <c r="T72" s="23"/>
      <c r="U72" s="26"/>
      <c r="V72" s="24"/>
      <c r="W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3.5" hidden="false" customHeight="false" outlineLevel="0" collapsed="false">
      <c r="A73" s="15"/>
      <c r="B73" s="16"/>
      <c r="C73" s="16"/>
      <c r="D73" s="17"/>
      <c r="E73" s="17"/>
      <c r="F73" s="15"/>
      <c r="G73" s="15"/>
      <c r="H73" s="16"/>
      <c r="I73" s="19"/>
      <c r="J73" s="20"/>
      <c r="K73" s="20"/>
      <c r="L73" s="20"/>
      <c r="M73" s="20"/>
      <c r="N73" s="25"/>
      <c r="O73" s="20"/>
      <c r="P73" s="22"/>
      <c r="Q73" s="16"/>
      <c r="R73" s="15"/>
      <c r="S73" s="23"/>
      <c r="T73" s="23"/>
      <c r="U73" s="26"/>
      <c r="V73" s="24"/>
      <c r="W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false" outlineLevel="0" collapsed="false">
      <c r="A74" s="141" t="s">
        <v>108</v>
      </c>
      <c r="B74" s="142" t="s">
        <v>109</v>
      </c>
      <c r="C74" s="142" t="s">
        <v>110</v>
      </c>
      <c r="D74" s="143" t="s">
        <v>111</v>
      </c>
      <c r="E74" s="143"/>
      <c r="F74" s="141" t="s">
        <v>112</v>
      </c>
      <c r="G74" s="141" t="s">
        <v>113</v>
      </c>
      <c r="H74" s="142" t="s">
        <v>114</v>
      </c>
      <c r="I74" s="144" t="s">
        <v>115</v>
      </c>
      <c r="J74" s="142" t="s">
        <v>116</v>
      </c>
      <c r="K74" s="142" t="s">
        <v>117</v>
      </c>
      <c r="L74" s="142" t="s">
        <v>118</v>
      </c>
      <c r="M74" s="142" t="s">
        <v>119</v>
      </c>
      <c r="N74" s="150" t="s">
        <v>120</v>
      </c>
      <c r="O74" s="142" t="s">
        <v>121</v>
      </c>
      <c r="P74" s="146" t="s">
        <v>122</v>
      </c>
      <c r="Q74" s="142" t="s">
        <v>123</v>
      </c>
      <c r="R74" s="141" t="s">
        <v>124</v>
      </c>
      <c r="S74" s="99" t="s">
        <v>236</v>
      </c>
      <c r="T74" s="99" t="s">
        <v>237</v>
      </c>
      <c r="U74" s="102"/>
      <c r="V74" s="102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  <c r="CP74" s="148"/>
      <c r="CQ74" s="148"/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  <c r="DB74" s="148"/>
      <c r="DC74" s="148"/>
      <c r="DD74" s="148"/>
      <c r="DE74" s="148"/>
      <c r="DF74" s="148"/>
      <c r="DG74" s="148"/>
      <c r="DH74" s="148"/>
      <c r="DI74" s="148"/>
      <c r="DJ74" s="148"/>
      <c r="DK74" s="148"/>
      <c r="DL74" s="148"/>
      <c r="DM74" s="148"/>
      <c r="DN74" s="148"/>
      <c r="DO74" s="148"/>
      <c r="DP74" s="148"/>
      <c r="DQ74" s="148"/>
      <c r="DR74" s="148"/>
      <c r="DS74" s="148"/>
      <c r="DT74" s="148"/>
      <c r="DU74" s="148"/>
      <c r="DV74" s="148"/>
      <c r="DW74" s="148"/>
      <c r="DX74" s="148"/>
      <c r="DY74" s="148"/>
      <c r="DZ74" s="148"/>
      <c r="EA74" s="148"/>
      <c r="EB74" s="148"/>
      <c r="EC74" s="148"/>
      <c r="ED74" s="148"/>
      <c r="EE74" s="148"/>
      <c r="EF74" s="148"/>
      <c r="EG74" s="148"/>
      <c r="EH74" s="148"/>
      <c r="EI74" s="148"/>
      <c r="EJ74" s="148"/>
      <c r="EK74" s="148"/>
      <c r="EL74" s="148"/>
      <c r="EM74" s="148"/>
      <c r="EN74" s="148"/>
      <c r="EO74" s="148"/>
      <c r="EP74" s="148"/>
      <c r="EQ74" s="148"/>
      <c r="ER74" s="148"/>
      <c r="ES74" s="148"/>
      <c r="ET74" s="148"/>
      <c r="EU74" s="148"/>
      <c r="EV74" s="148"/>
      <c r="EW74" s="148"/>
      <c r="EX74" s="148"/>
      <c r="EY74" s="148"/>
      <c r="EZ74" s="148"/>
      <c r="FA74" s="148"/>
      <c r="FB74" s="148"/>
      <c r="FC74" s="148"/>
      <c r="FD74" s="148"/>
      <c r="FE74" s="148"/>
      <c r="FF74" s="148"/>
      <c r="FG74" s="148"/>
      <c r="FH74" s="148"/>
      <c r="FI74" s="148"/>
      <c r="FJ74" s="148"/>
      <c r="FK74" s="148"/>
      <c r="FL74" s="148"/>
      <c r="FM74" s="148"/>
      <c r="FN74" s="148"/>
      <c r="FO74" s="148"/>
      <c r="FP74" s="148"/>
      <c r="FQ74" s="148"/>
      <c r="FR74" s="148"/>
      <c r="FS74" s="148"/>
      <c r="FT74" s="148"/>
      <c r="FU74" s="148"/>
      <c r="FV74" s="148"/>
      <c r="FW74" s="148"/>
      <c r="FX74" s="148"/>
      <c r="FY74" s="148"/>
      <c r="FZ74" s="148"/>
      <c r="GA74" s="148"/>
      <c r="GB74" s="148"/>
      <c r="GC74" s="148"/>
      <c r="GD74" s="148"/>
      <c r="GE74" s="148"/>
      <c r="GF74" s="148"/>
      <c r="GG74" s="148"/>
      <c r="GH74" s="148"/>
      <c r="GI74" s="148"/>
      <c r="GJ74" s="148"/>
      <c r="GK74" s="148"/>
      <c r="GL74" s="148"/>
      <c r="GM74" s="148"/>
      <c r="GN74" s="148"/>
      <c r="GO74" s="148"/>
      <c r="GP74" s="148"/>
      <c r="GQ74" s="148"/>
      <c r="GR74" s="148"/>
      <c r="GS74" s="148"/>
      <c r="GT74" s="148"/>
      <c r="GU74" s="148"/>
      <c r="GV74" s="148"/>
      <c r="GW74" s="148"/>
      <c r="GX74" s="148"/>
      <c r="GY74" s="148"/>
      <c r="GZ74" s="148"/>
      <c r="HA74" s="148"/>
      <c r="HB74" s="148"/>
      <c r="HC74" s="148"/>
      <c r="HD74" s="148"/>
      <c r="HE74" s="148"/>
      <c r="HF74" s="148"/>
      <c r="HG74" s="148"/>
      <c r="HH74" s="148"/>
      <c r="HI74" s="148"/>
      <c r="HJ74" s="148"/>
      <c r="HK74" s="148"/>
      <c r="HL74" s="148"/>
      <c r="HM74" s="148"/>
      <c r="HN74" s="148"/>
      <c r="HO74" s="148"/>
      <c r="HP74" s="148"/>
      <c r="HQ74" s="148"/>
      <c r="HR74" s="148"/>
      <c r="HS74" s="148"/>
      <c r="HT74" s="148"/>
      <c r="HU74" s="148"/>
      <c r="HV74" s="148"/>
      <c r="HW74" s="148"/>
      <c r="HX74" s="148"/>
      <c r="HY74" s="148"/>
      <c r="HZ74" s="148"/>
      <c r="IA74" s="148"/>
      <c r="IB74" s="148"/>
      <c r="IC74" s="148"/>
      <c r="ID74" s="148"/>
      <c r="IE74" s="148"/>
      <c r="IF74" s="148"/>
      <c r="IG74" s="148"/>
      <c r="IH74" s="148"/>
      <c r="II74" s="148"/>
      <c r="IJ74" s="148"/>
      <c r="IK74" s="148"/>
      <c r="IL74" s="148"/>
      <c r="IM74" s="148"/>
      <c r="IN74" s="148"/>
      <c r="IO74" s="148"/>
      <c r="IP74" s="148"/>
      <c r="IQ74" s="148"/>
      <c r="IR74" s="148"/>
      <c r="IS74" s="148"/>
      <c r="IT74" s="148"/>
      <c r="IU74" s="148"/>
      <c r="IV74" s="148"/>
      <c r="IW74" s="148"/>
    </row>
    <row r="75" customFormat="false" ht="12.75" hidden="false" customHeight="false" outlineLevel="0" collapsed="false">
      <c r="A75" s="183" t="s">
        <v>217</v>
      </c>
      <c r="B75" s="184" t="s">
        <v>249</v>
      </c>
      <c r="C75" s="184" t="s">
        <v>322</v>
      </c>
      <c r="D75" s="185" t="n">
        <v>36526</v>
      </c>
      <c r="E75" s="185"/>
      <c r="F75" s="183" t="s">
        <v>323</v>
      </c>
      <c r="G75" s="183" t="s">
        <v>323</v>
      </c>
      <c r="H75" s="184" t="s">
        <v>170</v>
      </c>
      <c r="I75" s="186" t="n">
        <f aca="false">5.4801/I1</f>
        <v>0.176777419354839</v>
      </c>
      <c r="J75" s="187" t="n">
        <v>0</v>
      </c>
      <c r="K75" s="187" t="n">
        <v>0</v>
      </c>
      <c r="L75" s="187" t="n">
        <v>0</v>
      </c>
      <c r="M75" s="187" t="n">
        <v>0</v>
      </c>
      <c r="N75" s="188" t="n">
        <v>0.0369</v>
      </c>
      <c r="O75" s="187" t="n">
        <v>0</v>
      </c>
      <c r="P75" s="189" t="n">
        <v>1440</v>
      </c>
      <c r="Q75" s="184" t="n">
        <v>5553</v>
      </c>
      <c r="R75" s="191" t="s">
        <v>1</v>
      </c>
      <c r="S75" s="191" t="n">
        <f aca="false">+I75*Q75*I1</f>
        <v>30430.9953</v>
      </c>
      <c r="T75" s="191"/>
      <c r="U75" s="192"/>
      <c r="V75" s="192"/>
      <c r="W75" s="193" t="s">
        <v>324</v>
      </c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  <c r="IA75" s="193"/>
      <c r="IB75" s="193"/>
      <c r="IC75" s="193"/>
      <c r="ID75" s="193"/>
      <c r="IE75" s="193"/>
      <c r="IF75" s="193"/>
      <c r="IG75" s="193"/>
      <c r="IH75" s="193"/>
      <c r="II75" s="193"/>
      <c r="IJ75" s="193"/>
      <c r="IK75" s="193"/>
      <c r="IL75" s="193"/>
      <c r="IM75" s="193"/>
      <c r="IN75" s="193"/>
      <c r="IO75" s="193"/>
      <c r="IP75" s="193"/>
      <c r="IQ75" s="193"/>
      <c r="IR75" s="193"/>
      <c r="IS75" s="193"/>
      <c r="IT75" s="193"/>
      <c r="IU75" s="193"/>
      <c r="IV75" s="193"/>
      <c r="IW75" s="193"/>
    </row>
    <row r="76" customFormat="false" ht="12.75" hidden="false" customHeight="false" outlineLevel="0" collapsed="false">
      <c r="A76" s="183" t="s">
        <v>217</v>
      </c>
      <c r="B76" s="184" t="s">
        <v>249</v>
      </c>
      <c r="C76" s="184" t="s">
        <v>322</v>
      </c>
      <c r="D76" s="185" t="n">
        <v>36526</v>
      </c>
      <c r="E76" s="185"/>
      <c r="F76" s="183" t="s">
        <v>323</v>
      </c>
      <c r="G76" s="183" t="s">
        <v>323</v>
      </c>
      <c r="H76" s="184" t="s">
        <v>170</v>
      </c>
      <c r="I76" s="186" t="n">
        <f aca="false">5.64/I1</f>
        <v>0.181935483870968</v>
      </c>
      <c r="J76" s="187" t="n">
        <v>0</v>
      </c>
      <c r="K76" s="187" t="n">
        <v>0</v>
      </c>
      <c r="L76" s="187" t="n">
        <v>0</v>
      </c>
      <c r="M76" s="187" t="n">
        <v>0</v>
      </c>
      <c r="N76" s="188" t="n">
        <v>0.0369</v>
      </c>
      <c r="O76" s="187" t="n">
        <v>0</v>
      </c>
      <c r="P76" s="189" t="n">
        <v>1548</v>
      </c>
      <c r="Q76" s="184" t="n">
        <v>4591</v>
      </c>
      <c r="R76" s="191" t="s">
        <v>1</v>
      </c>
      <c r="S76" s="191" t="n">
        <f aca="false">+I76*Q76*I1</f>
        <v>25893.24</v>
      </c>
      <c r="T76" s="191"/>
      <c r="U76" s="192"/>
      <c r="V76" s="192"/>
      <c r="W76" s="193" t="s">
        <v>324</v>
      </c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  <c r="IA76" s="193"/>
      <c r="IB76" s="193"/>
      <c r="IC76" s="193"/>
      <c r="ID76" s="193"/>
      <c r="IE76" s="193"/>
      <c r="IF76" s="193"/>
      <c r="IG76" s="193"/>
      <c r="IH76" s="193"/>
      <c r="II76" s="193"/>
      <c r="IJ76" s="193"/>
      <c r="IK76" s="193"/>
      <c r="IL76" s="193"/>
      <c r="IM76" s="193"/>
      <c r="IN76" s="193"/>
      <c r="IO76" s="193"/>
      <c r="IP76" s="193"/>
      <c r="IQ76" s="193"/>
      <c r="IR76" s="193"/>
      <c r="IS76" s="193"/>
      <c r="IT76" s="193"/>
      <c r="IU76" s="193"/>
      <c r="IV76" s="193"/>
      <c r="IW76" s="193"/>
    </row>
    <row r="77" customFormat="false" ht="12.75" hidden="false" customHeight="false" outlineLevel="0" collapsed="false">
      <c r="A77" s="183" t="s">
        <v>217</v>
      </c>
      <c r="B77" s="184" t="s">
        <v>249</v>
      </c>
      <c r="C77" s="184" t="s">
        <v>322</v>
      </c>
      <c r="D77" s="185" t="n">
        <v>36039</v>
      </c>
      <c r="E77" s="185" t="n">
        <v>36831</v>
      </c>
      <c r="F77" s="183" t="s">
        <v>325</v>
      </c>
      <c r="G77" s="183"/>
      <c r="H77" s="184" t="s">
        <v>170</v>
      </c>
      <c r="I77" s="186" t="n">
        <v>0.0187</v>
      </c>
      <c r="J77" s="187" t="n">
        <v>0</v>
      </c>
      <c r="K77" s="187" t="n">
        <v>0</v>
      </c>
      <c r="L77" s="187" t="n">
        <v>0</v>
      </c>
      <c r="M77" s="187" t="n">
        <v>0</v>
      </c>
      <c r="N77" s="188" t="n">
        <v>0.0369</v>
      </c>
      <c r="O77" s="187" t="n">
        <v>0</v>
      </c>
      <c r="P77" s="189" t="n">
        <v>2210</v>
      </c>
      <c r="Q77" s="184" t="n">
        <v>709765</v>
      </c>
      <c r="R77" s="191" t="s">
        <v>326</v>
      </c>
      <c r="S77" s="191" t="n">
        <f aca="false">+Q77*I77</f>
        <v>13272.6055</v>
      </c>
      <c r="T77" s="191"/>
      <c r="U77" s="192" t="n">
        <v>105938</v>
      </c>
      <c r="V77" s="192" t="n">
        <v>96005270</v>
      </c>
      <c r="W77" s="193" t="s">
        <v>324</v>
      </c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  <c r="IA77" s="193"/>
      <c r="IB77" s="193"/>
      <c r="IC77" s="193"/>
      <c r="ID77" s="193"/>
      <c r="IE77" s="193"/>
      <c r="IF77" s="193"/>
      <c r="IG77" s="193"/>
      <c r="IH77" s="193"/>
      <c r="II77" s="193"/>
      <c r="IJ77" s="193"/>
      <c r="IK77" s="193"/>
      <c r="IL77" s="193"/>
      <c r="IM77" s="193"/>
      <c r="IN77" s="193"/>
      <c r="IO77" s="193"/>
      <c r="IP77" s="193"/>
      <c r="IQ77" s="193"/>
      <c r="IR77" s="193"/>
      <c r="IS77" s="193"/>
      <c r="IT77" s="193"/>
      <c r="IU77" s="193"/>
      <c r="IV77" s="193"/>
      <c r="IW77" s="193"/>
    </row>
    <row r="78" customFormat="false" ht="12.75" hidden="false" customHeight="false" outlineLevel="0" collapsed="false">
      <c r="A78" s="183" t="s">
        <v>217</v>
      </c>
      <c r="B78" s="184" t="s">
        <v>249</v>
      </c>
      <c r="C78" s="184" t="s">
        <v>322</v>
      </c>
      <c r="D78" s="185" t="n">
        <v>36039</v>
      </c>
      <c r="E78" s="185" t="n">
        <v>36831</v>
      </c>
      <c r="F78" s="183" t="s">
        <v>325</v>
      </c>
      <c r="G78" s="183"/>
      <c r="H78" s="184" t="s">
        <v>170</v>
      </c>
      <c r="I78" s="186" t="n">
        <v>0.039</v>
      </c>
      <c r="J78" s="187" t="n">
        <v>0</v>
      </c>
      <c r="K78" s="187" t="n">
        <v>0</v>
      </c>
      <c r="L78" s="187" t="n">
        <v>0</v>
      </c>
      <c r="M78" s="187" t="n">
        <v>0</v>
      </c>
      <c r="N78" s="188" t="n">
        <v>0.0369</v>
      </c>
      <c r="O78" s="187" t="n">
        <v>0</v>
      </c>
      <c r="P78" s="189" t="n">
        <v>2210</v>
      </c>
      <c r="Q78" s="184" t="n">
        <v>14388</v>
      </c>
      <c r="R78" s="191" t="s">
        <v>326</v>
      </c>
      <c r="S78" s="191" t="n">
        <f aca="false">+I78*Q78*I1</f>
        <v>17395.092</v>
      </c>
      <c r="T78" s="191"/>
      <c r="U78" s="192" t="n">
        <v>105938</v>
      </c>
      <c r="V78" s="192" t="n">
        <v>96005270</v>
      </c>
      <c r="W78" s="193" t="s">
        <v>324</v>
      </c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  <c r="IA78" s="193"/>
      <c r="IB78" s="193"/>
      <c r="IC78" s="193"/>
      <c r="ID78" s="193"/>
      <c r="IE78" s="193"/>
      <c r="IF78" s="193"/>
      <c r="IG78" s="193"/>
      <c r="IH78" s="193"/>
      <c r="II78" s="193"/>
      <c r="IJ78" s="193"/>
      <c r="IK78" s="193"/>
      <c r="IL78" s="193"/>
      <c r="IM78" s="193"/>
      <c r="IN78" s="193"/>
      <c r="IO78" s="193"/>
      <c r="IP78" s="193"/>
      <c r="IQ78" s="193"/>
      <c r="IR78" s="193"/>
      <c r="IS78" s="193"/>
      <c r="IT78" s="193"/>
      <c r="IU78" s="193"/>
      <c r="IV78" s="193"/>
      <c r="IW78" s="193"/>
    </row>
    <row r="79" customFormat="false" ht="12.75" hidden="false" customHeight="false" outlineLevel="0" collapsed="false">
      <c r="A79" s="183" t="s">
        <v>217</v>
      </c>
      <c r="B79" s="184" t="s">
        <v>249</v>
      </c>
      <c r="C79" s="184" t="s">
        <v>327</v>
      </c>
      <c r="D79" s="185" t="n">
        <v>36039</v>
      </c>
      <c r="E79" s="185" t="n">
        <v>36831</v>
      </c>
      <c r="F79" s="183" t="s">
        <v>325</v>
      </c>
      <c r="G79" s="183"/>
      <c r="H79" s="184" t="s">
        <v>170</v>
      </c>
      <c r="I79" s="186" t="n">
        <v>0.0187</v>
      </c>
      <c r="J79" s="187" t="n">
        <v>0</v>
      </c>
      <c r="K79" s="187" t="n">
        <v>0</v>
      </c>
      <c r="L79" s="187" t="n">
        <v>0</v>
      </c>
      <c r="M79" s="187" t="n">
        <v>0</v>
      </c>
      <c r="N79" s="188" t="n">
        <v>0.0369</v>
      </c>
      <c r="O79" s="187" t="n">
        <v>0</v>
      </c>
      <c r="P79" s="189" t="n">
        <v>2076</v>
      </c>
      <c r="Q79" s="184" t="n">
        <v>11827</v>
      </c>
      <c r="R79" s="191" t="s">
        <v>328</v>
      </c>
      <c r="S79" s="191" t="n">
        <f aca="false">+I79*Q79</f>
        <v>221.1649</v>
      </c>
      <c r="T79" s="191"/>
      <c r="U79" s="192" t="n">
        <v>105939</v>
      </c>
      <c r="V79" s="192" t="n">
        <v>96006727</v>
      </c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  <c r="IA79" s="193"/>
      <c r="IB79" s="193"/>
      <c r="IC79" s="193"/>
      <c r="ID79" s="193"/>
      <c r="IE79" s="193"/>
      <c r="IF79" s="193"/>
      <c r="IG79" s="193"/>
      <c r="IH79" s="193"/>
      <c r="II79" s="193"/>
      <c r="IJ79" s="193"/>
      <c r="IK79" s="193"/>
      <c r="IL79" s="193"/>
      <c r="IM79" s="193"/>
      <c r="IN79" s="193"/>
      <c r="IO79" s="193"/>
      <c r="IP79" s="193"/>
      <c r="IQ79" s="193"/>
      <c r="IR79" s="193"/>
      <c r="IS79" s="193"/>
      <c r="IT79" s="193"/>
      <c r="IU79" s="193"/>
      <c r="IV79" s="193"/>
      <c r="IW79" s="193"/>
    </row>
    <row r="80" customFormat="false" ht="12.75" hidden="false" customHeight="false" outlineLevel="0" collapsed="false">
      <c r="A80" s="183" t="s">
        <v>217</v>
      </c>
      <c r="B80" s="184" t="s">
        <v>249</v>
      </c>
      <c r="C80" s="184" t="s">
        <v>327</v>
      </c>
      <c r="D80" s="185" t="n">
        <v>36039</v>
      </c>
      <c r="E80" s="185" t="n">
        <v>36831</v>
      </c>
      <c r="F80" s="183" t="s">
        <v>325</v>
      </c>
      <c r="G80" s="183"/>
      <c r="H80" s="184"/>
      <c r="I80" s="186" t="n">
        <v>0.039</v>
      </c>
      <c r="J80" s="187"/>
      <c r="K80" s="187"/>
      <c r="L80" s="187"/>
      <c r="M80" s="187"/>
      <c r="N80" s="188"/>
      <c r="O80" s="187"/>
      <c r="P80" s="189" t="n">
        <v>2076</v>
      </c>
      <c r="Q80" s="184" t="n">
        <v>209</v>
      </c>
      <c r="R80" s="191" t="s">
        <v>328</v>
      </c>
      <c r="S80" s="191" t="n">
        <f aca="false">+I80*Q80*I1</f>
        <v>252.681</v>
      </c>
      <c r="T80" s="191"/>
      <c r="U80" s="192"/>
      <c r="V80" s="192"/>
      <c r="W80" s="193"/>
      <c r="X80" s="193" t="n">
        <v>1</v>
      </c>
      <c r="Y80" s="193" t="n">
        <v>2</v>
      </c>
      <c r="Z80" s="193" t="n">
        <v>3</v>
      </c>
      <c r="AA80" s="193" t="n">
        <v>4</v>
      </c>
      <c r="AB80" s="193" t="n">
        <v>5</v>
      </c>
      <c r="AC80" s="193" t="n">
        <v>6</v>
      </c>
      <c r="AD80" s="193" t="n">
        <v>7</v>
      </c>
      <c r="AE80" s="193" t="n">
        <v>8</v>
      </c>
      <c r="AF80" s="193" t="n">
        <v>9</v>
      </c>
      <c r="AG80" s="193" t="n">
        <v>10</v>
      </c>
      <c r="AH80" s="193" t="n">
        <v>11</v>
      </c>
      <c r="AI80" s="193" t="n">
        <v>12</v>
      </c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  <c r="IA80" s="193"/>
      <c r="IB80" s="193"/>
      <c r="IC80" s="193"/>
      <c r="ID80" s="193"/>
      <c r="IE80" s="193"/>
      <c r="IF80" s="193"/>
      <c r="IG80" s="193"/>
      <c r="IH80" s="193"/>
      <c r="II80" s="193"/>
      <c r="IJ80" s="193"/>
      <c r="IK80" s="193"/>
      <c r="IL80" s="193"/>
      <c r="IM80" s="193"/>
      <c r="IN80" s="193"/>
      <c r="IO80" s="193"/>
      <c r="IP80" s="193"/>
      <c r="IQ80" s="193"/>
      <c r="IR80" s="193"/>
      <c r="IS80" s="193"/>
      <c r="IT80" s="193"/>
      <c r="IU80" s="193"/>
      <c r="IV80" s="193"/>
      <c r="IW80" s="193"/>
    </row>
    <row r="81" customFormat="false" ht="12.75" hidden="false" customHeight="false" outlineLevel="0" collapsed="false">
      <c r="A81" s="183" t="s">
        <v>217</v>
      </c>
      <c r="B81" s="184" t="s">
        <v>249</v>
      </c>
      <c r="C81" s="184" t="s">
        <v>327</v>
      </c>
      <c r="D81" s="185" t="n">
        <v>36039</v>
      </c>
      <c r="E81" s="185" t="n">
        <v>36831</v>
      </c>
      <c r="F81" s="183" t="s">
        <v>323</v>
      </c>
      <c r="G81" s="183" t="s">
        <v>323</v>
      </c>
      <c r="H81" s="184" t="s">
        <v>170</v>
      </c>
      <c r="I81" s="186" t="n">
        <v>0.19567</v>
      </c>
      <c r="J81" s="187" t="n">
        <v>0</v>
      </c>
      <c r="K81" s="187" t="n">
        <v>0</v>
      </c>
      <c r="L81" s="187" t="n">
        <v>0</v>
      </c>
      <c r="M81" s="187" t="n">
        <v>0</v>
      </c>
      <c r="N81" s="188" t="n">
        <v>0.0369</v>
      </c>
      <c r="O81" s="187" t="n">
        <v>0</v>
      </c>
      <c r="P81" s="189" t="n">
        <v>1339</v>
      </c>
      <c r="Q81" s="184" t="n">
        <f aca="false">VLOOKUP(X81,X80:AI81,$G$1)</f>
        <v>58</v>
      </c>
      <c r="R81" s="191" t="s">
        <v>329</v>
      </c>
      <c r="S81" s="191" t="n">
        <f aca="false">+I81*Q81*I1</f>
        <v>351.81466</v>
      </c>
      <c r="T81" s="191"/>
      <c r="U81" s="192" t="n">
        <v>251714</v>
      </c>
      <c r="V81" s="192"/>
      <c r="W81" s="193"/>
      <c r="X81" s="193" t="n">
        <f aca="false">373+72</f>
        <v>445</v>
      </c>
      <c r="Y81" s="193" t="n">
        <f aca="false">230+72</f>
        <v>302</v>
      </c>
      <c r="Z81" s="193" t="n">
        <f aca="false">180+72</f>
        <v>252</v>
      </c>
      <c r="AA81" s="193" t="n">
        <f aca="false">120+52</f>
        <v>172</v>
      </c>
      <c r="AB81" s="193" t="n">
        <f aca="false">90+40</f>
        <v>130</v>
      </c>
      <c r="AC81" s="193" t="n">
        <f aca="false">40+18</f>
        <v>58</v>
      </c>
      <c r="AD81" s="193" t="n">
        <f aca="false">40+18</f>
        <v>58</v>
      </c>
      <c r="AE81" s="193" t="n">
        <v>58</v>
      </c>
      <c r="AF81" s="193" t="n">
        <f aca="false">90+40</f>
        <v>130</v>
      </c>
      <c r="AG81" s="193" t="n">
        <f aca="false">120+52</f>
        <v>172</v>
      </c>
      <c r="AH81" s="193" t="n">
        <f aca="false">200+72+200+72</f>
        <v>544</v>
      </c>
      <c r="AI81" s="193" t="n">
        <f aca="false">373+72</f>
        <v>445</v>
      </c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3"/>
      <c r="CC81" s="193"/>
      <c r="CD81" s="193"/>
      <c r="CE81" s="193"/>
      <c r="CF81" s="193"/>
      <c r="CG81" s="193"/>
      <c r="CH81" s="193"/>
      <c r="CI81" s="193"/>
      <c r="CJ81" s="193"/>
      <c r="CK81" s="193"/>
      <c r="CL81" s="193"/>
      <c r="CM81" s="193"/>
      <c r="CN81" s="193"/>
      <c r="CO81" s="193"/>
      <c r="CP81" s="193"/>
      <c r="CQ81" s="193"/>
      <c r="CR81" s="193"/>
      <c r="CS81" s="193"/>
      <c r="CT81" s="193"/>
      <c r="CU81" s="193"/>
      <c r="CV81" s="193"/>
      <c r="CW81" s="193"/>
      <c r="CX81" s="193"/>
      <c r="CY81" s="193"/>
      <c r="CZ81" s="193"/>
      <c r="DA81" s="193"/>
      <c r="DB81" s="193"/>
      <c r="DC81" s="193"/>
      <c r="DD81" s="193"/>
      <c r="DE81" s="193"/>
      <c r="DF81" s="193"/>
      <c r="DG81" s="193"/>
      <c r="DH81" s="193"/>
      <c r="DI81" s="193"/>
      <c r="DJ81" s="193"/>
      <c r="DK81" s="193"/>
      <c r="DL81" s="193"/>
      <c r="DM81" s="193"/>
      <c r="DN81" s="193"/>
      <c r="DO81" s="193"/>
      <c r="DP81" s="193"/>
      <c r="DQ81" s="193"/>
      <c r="DR81" s="193"/>
      <c r="DS81" s="193"/>
      <c r="DT81" s="193"/>
      <c r="DU81" s="193"/>
      <c r="DV81" s="193"/>
      <c r="DW81" s="193"/>
      <c r="DX81" s="193"/>
      <c r="DY81" s="193"/>
      <c r="DZ81" s="193"/>
      <c r="EA81" s="193"/>
      <c r="EB81" s="193"/>
      <c r="EC81" s="193"/>
      <c r="ED81" s="193"/>
      <c r="EE81" s="193"/>
      <c r="EF81" s="193"/>
      <c r="EG81" s="193"/>
      <c r="EH81" s="193"/>
      <c r="EI81" s="193"/>
      <c r="EJ81" s="193"/>
      <c r="EK81" s="193"/>
      <c r="EL81" s="193"/>
      <c r="EM81" s="193"/>
      <c r="EN81" s="193"/>
      <c r="EO81" s="193"/>
      <c r="EP81" s="193"/>
      <c r="EQ81" s="193"/>
      <c r="ER81" s="193"/>
      <c r="ES81" s="193"/>
      <c r="ET81" s="193"/>
      <c r="EU81" s="193"/>
      <c r="EV81" s="193"/>
      <c r="EW81" s="193"/>
      <c r="EX81" s="193"/>
      <c r="EY81" s="193"/>
      <c r="EZ81" s="193"/>
      <c r="FA81" s="193"/>
      <c r="FB81" s="193"/>
      <c r="FC81" s="193"/>
      <c r="FD81" s="193"/>
      <c r="FE81" s="193"/>
      <c r="FF81" s="193"/>
      <c r="FG81" s="193"/>
      <c r="FH81" s="193"/>
      <c r="FI81" s="193"/>
      <c r="FJ81" s="193"/>
      <c r="FK81" s="193"/>
      <c r="FL81" s="193"/>
      <c r="FM81" s="193"/>
      <c r="FN81" s="193"/>
      <c r="FO81" s="193"/>
      <c r="FP81" s="193"/>
      <c r="FQ81" s="193"/>
      <c r="FR81" s="193"/>
      <c r="FS81" s="193"/>
      <c r="FT81" s="193"/>
      <c r="FU81" s="193"/>
      <c r="FV81" s="193"/>
      <c r="FW81" s="193"/>
      <c r="FX81" s="193"/>
      <c r="FY81" s="193"/>
      <c r="FZ81" s="193"/>
      <c r="GA81" s="193"/>
      <c r="GB81" s="193"/>
      <c r="GC81" s="193"/>
      <c r="GD81" s="193"/>
      <c r="GE81" s="193"/>
      <c r="GF81" s="193"/>
      <c r="GG81" s="193"/>
      <c r="GH81" s="193"/>
      <c r="GI81" s="193"/>
      <c r="GJ81" s="193"/>
      <c r="GK81" s="193"/>
      <c r="GL81" s="193"/>
      <c r="GM81" s="193"/>
      <c r="GN81" s="193"/>
      <c r="GO81" s="193"/>
      <c r="GP81" s="193"/>
      <c r="GQ81" s="193"/>
      <c r="GR81" s="193"/>
      <c r="GS81" s="193"/>
      <c r="GT81" s="193"/>
      <c r="GU81" s="193"/>
      <c r="GV81" s="193"/>
      <c r="GW81" s="193"/>
      <c r="GX81" s="193"/>
      <c r="GY81" s="193"/>
      <c r="GZ81" s="193"/>
      <c r="HA81" s="193"/>
      <c r="HB81" s="193"/>
      <c r="HC81" s="193"/>
      <c r="HD81" s="193"/>
      <c r="HE81" s="193"/>
      <c r="HF81" s="193"/>
      <c r="HG81" s="193"/>
      <c r="HH81" s="193"/>
      <c r="HI81" s="193"/>
      <c r="HJ81" s="193"/>
      <c r="HK81" s="193"/>
      <c r="HL81" s="193"/>
      <c r="HM81" s="193"/>
      <c r="HN81" s="193"/>
      <c r="HO81" s="193"/>
      <c r="HP81" s="193"/>
      <c r="HQ81" s="193"/>
      <c r="HR81" s="193"/>
      <c r="HS81" s="193"/>
      <c r="HT81" s="193"/>
      <c r="HU81" s="193"/>
      <c r="HV81" s="193"/>
      <c r="HW81" s="193"/>
      <c r="HX81" s="193"/>
      <c r="HY81" s="193"/>
      <c r="HZ81" s="193"/>
      <c r="IA81" s="193"/>
      <c r="IB81" s="193"/>
      <c r="IC81" s="193"/>
      <c r="ID81" s="193"/>
      <c r="IE81" s="193"/>
      <c r="IF81" s="193"/>
      <c r="IG81" s="193"/>
      <c r="IH81" s="193"/>
      <c r="II81" s="193"/>
      <c r="IJ81" s="193"/>
      <c r="IK81" s="193"/>
      <c r="IL81" s="193"/>
      <c r="IM81" s="193"/>
      <c r="IN81" s="193"/>
      <c r="IO81" s="193"/>
      <c r="IP81" s="193"/>
      <c r="IQ81" s="193"/>
      <c r="IR81" s="193"/>
      <c r="IS81" s="193"/>
      <c r="IT81" s="193"/>
      <c r="IU81" s="193"/>
      <c r="IV81" s="193"/>
      <c r="IW81" s="193"/>
    </row>
    <row r="82" customFormat="false" ht="12" hidden="false" customHeight="true" outlineLevel="0" collapsed="false">
      <c r="A82" s="38" t="s">
        <v>144</v>
      </c>
      <c r="B82" s="104" t="s">
        <v>249</v>
      </c>
      <c r="C82" s="104" t="s">
        <v>330</v>
      </c>
      <c r="D82" s="105" t="n">
        <v>36617</v>
      </c>
      <c r="E82" s="105" t="n">
        <v>36830</v>
      </c>
      <c r="F82" s="38" t="s">
        <v>331</v>
      </c>
      <c r="G82" s="38" t="s">
        <v>332</v>
      </c>
      <c r="H82" s="104" t="s">
        <v>170</v>
      </c>
      <c r="I82" s="106" t="n">
        <f aca="false">0.47/I1</f>
        <v>0.0151612903225806</v>
      </c>
      <c r="J82" s="107" t="n">
        <v>0.0669</v>
      </c>
      <c r="K82" s="107" t="n">
        <v>0.0022</v>
      </c>
      <c r="L82" s="107" t="n">
        <v>0.0075</v>
      </c>
      <c r="M82" s="107" t="n">
        <v>0</v>
      </c>
      <c r="N82" s="152" t="n">
        <v>0.0279</v>
      </c>
      <c r="O82" s="107" t="n">
        <f aca="false">SUM(I82:M82)</f>
        <v>0.0917612903225807</v>
      </c>
      <c r="P82" s="109" t="n">
        <v>32976</v>
      </c>
      <c r="Q82" s="104" t="n">
        <v>10000</v>
      </c>
      <c r="R82" s="158" t="s">
        <v>1</v>
      </c>
      <c r="S82" s="110" t="n">
        <f aca="false">I82*$I$1*Q82</f>
        <v>4700</v>
      </c>
      <c r="T82" s="110"/>
      <c r="U82" s="112" t="n">
        <v>227993</v>
      </c>
      <c r="V82" s="112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13"/>
      <c r="DS82" s="113"/>
      <c r="DT82" s="113"/>
      <c r="DU82" s="113"/>
      <c r="DV82" s="113"/>
      <c r="DW82" s="113"/>
      <c r="DX82" s="113"/>
      <c r="DY82" s="113"/>
      <c r="DZ82" s="113"/>
      <c r="EA82" s="113"/>
      <c r="EB82" s="113"/>
      <c r="EC82" s="113"/>
      <c r="ED82" s="113"/>
      <c r="EE82" s="113"/>
      <c r="EF82" s="113"/>
      <c r="EG82" s="113"/>
      <c r="EH82" s="113"/>
      <c r="EI82" s="113"/>
      <c r="EJ82" s="113"/>
      <c r="EK82" s="113"/>
      <c r="EL82" s="113"/>
      <c r="EM82" s="113"/>
      <c r="EN82" s="113"/>
      <c r="EO82" s="113"/>
      <c r="EP82" s="113"/>
      <c r="EQ82" s="113"/>
      <c r="ER82" s="113"/>
      <c r="ES82" s="113"/>
      <c r="ET82" s="113"/>
      <c r="EU82" s="113"/>
      <c r="EV82" s="113"/>
      <c r="EW82" s="113"/>
      <c r="EX82" s="113"/>
      <c r="EY82" s="113"/>
      <c r="EZ82" s="113"/>
      <c r="FA82" s="113"/>
      <c r="FB82" s="113"/>
      <c r="FC82" s="113"/>
      <c r="FD82" s="113"/>
      <c r="FE82" s="113"/>
      <c r="FF82" s="113"/>
      <c r="FG82" s="113"/>
      <c r="FH82" s="113"/>
      <c r="FI82" s="113"/>
      <c r="FJ82" s="113"/>
      <c r="FK82" s="113"/>
      <c r="FL82" s="113"/>
      <c r="FM82" s="113"/>
      <c r="FN82" s="113"/>
      <c r="FO82" s="113"/>
      <c r="FP82" s="113"/>
      <c r="FQ82" s="113"/>
      <c r="FR82" s="113"/>
      <c r="FS82" s="113"/>
      <c r="FT82" s="113"/>
      <c r="FU82" s="113"/>
      <c r="FV82" s="113"/>
      <c r="FW82" s="113"/>
      <c r="FX82" s="113"/>
      <c r="FY82" s="113"/>
      <c r="FZ82" s="113"/>
      <c r="GA82" s="113"/>
      <c r="GB82" s="113"/>
      <c r="GC82" s="113"/>
      <c r="GD82" s="113"/>
      <c r="GE82" s="113"/>
      <c r="GF82" s="113"/>
      <c r="GG82" s="113"/>
      <c r="GH82" s="113"/>
      <c r="GI82" s="113"/>
      <c r="GJ82" s="113"/>
      <c r="GK82" s="113"/>
      <c r="GL82" s="113"/>
      <c r="GM82" s="113"/>
      <c r="GN82" s="113"/>
      <c r="GO82" s="113"/>
      <c r="GP82" s="113"/>
      <c r="GQ82" s="113"/>
      <c r="GR82" s="113"/>
      <c r="GS82" s="113"/>
      <c r="GT82" s="113"/>
      <c r="GU82" s="113"/>
      <c r="GV82" s="113"/>
      <c r="GW82" s="113"/>
      <c r="GX82" s="113"/>
      <c r="GY82" s="113"/>
      <c r="GZ82" s="113"/>
      <c r="HA82" s="113"/>
      <c r="HB82" s="113"/>
      <c r="HC82" s="113"/>
      <c r="HD82" s="113"/>
      <c r="HE82" s="113"/>
      <c r="HF82" s="113"/>
      <c r="HG82" s="113"/>
      <c r="HH82" s="113"/>
      <c r="HI82" s="113"/>
      <c r="HJ82" s="113"/>
      <c r="HK82" s="113"/>
      <c r="HL82" s="113"/>
      <c r="HM82" s="113"/>
      <c r="HN82" s="113"/>
      <c r="HO82" s="113"/>
      <c r="HP82" s="113"/>
      <c r="HQ82" s="113"/>
      <c r="HR82" s="113"/>
      <c r="HS82" s="113"/>
      <c r="HT82" s="113"/>
      <c r="HU82" s="113"/>
      <c r="HV82" s="113"/>
      <c r="HW82" s="113"/>
      <c r="HX82" s="113"/>
      <c r="HY82" s="113"/>
      <c r="HZ82" s="113"/>
      <c r="IA82" s="113"/>
      <c r="IB82" s="113"/>
      <c r="IC82" s="113"/>
      <c r="ID82" s="113"/>
      <c r="IE82" s="113"/>
      <c r="IF82" s="113"/>
      <c r="IG82" s="113"/>
      <c r="IH82" s="113"/>
      <c r="II82" s="113"/>
      <c r="IJ82" s="113"/>
      <c r="IK82" s="113"/>
      <c r="IL82" s="113"/>
      <c r="IM82" s="113"/>
      <c r="IN82" s="113"/>
      <c r="IO82" s="113"/>
      <c r="IP82" s="113"/>
      <c r="IQ82" s="113"/>
      <c r="IR82" s="113"/>
      <c r="IS82" s="113"/>
      <c r="IT82" s="113"/>
      <c r="IU82" s="113"/>
      <c r="IV82" s="113"/>
      <c r="IW82" s="113"/>
    </row>
    <row r="83" customFormat="false" ht="12" hidden="false" customHeight="true" outlineLevel="0" collapsed="false">
      <c r="A83" s="15" t="s">
        <v>144</v>
      </c>
      <c r="B83" s="16" t="s">
        <v>249</v>
      </c>
      <c r="C83" s="16" t="s">
        <v>333</v>
      </c>
      <c r="D83" s="17" t="n">
        <v>36617</v>
      </c>
      <c r="E83" s="17" t="n">
        <v>36830</v>
      </c>
      <c r="F83" s="15" t="s">
        <v>331</v>
      </c>
      <c r="G83" s="15" t="s">
        <v>331</v>
      </c>
      <c r="H83" s="16" t="s">
        <v>170</v>
      </c>
      <c r="I83" s="19" t="n">
        <v>0</v>
      </c>
      <c r="J83" s="20" t="n">
        <v>0.0669</v>
      </c>
      <c r="K83" s="20" t="n">
        <v>0.0022</v>
      </c>
      <c r="L83" s="20" t="n">
        <v>0.0075</v>
      </c>
      <c r="M83" s="20" t="n">
        <v>0</v>
      </c>
      <c r="N83" s="21" t="n">
        <v>0.0279</v>
      </c>
      <c r="O83" s="20" t="n">
        <f aca="false">SUM(I83:M83)</f>
        <v>0.0766</v>
      </c>
      <c r="P83" s="22" t="n">
        <v>32975</v>
      </c>
      <c r="Q83" s="16" t="n">
        <v>10000</v>
      </c>
      <c r="R83" s="157" t="s">
        <v>334</v>
      </c>
      <c r="S83" s="23" t="n">
        <f aca="false">I83*$I$1*Q83</f>
        <v>0</v>
      </c>
      <c r="T83" s="23"/>
      <c r="U83" s="24" t="n">
        <v>231367</v>
      </c>
      <c r="V83" s="24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" hidden="false" customHeight="true" outlineLevel="0" collapsed="false">
      <c r="A84" s="15" t="s">
        <v>144</v>
      </c>
      <c r="B84" s="16" t="s">
        <v>335</v>
      </c>
      <c r="C84" s="16" t="s">
        <v>256</v>
      </c>
      <c r="D84" s="17" t="n">
        <v>36617</v>
      </c>
      <c r="E84" s="17" t="n">
        <v>36829</v>
      </c>
      <c r="F84" s="15" t="s">
        <v>336</v>
      </c>
      <c r="G84" s="15" t="n">
        <v>5</v>
      </c>
      <c r="H84" s="16" t="s">
        <v>170</v>
      </c>
      <c r="I84" s="19" t="n">
        <f aca="false">0.91/I$1</f>
        <v>0.0293548387096774</v>
      </c>
      <c r="J84" s="20" t="n">
        <v>0</v>
      </c>
      <c r="K84" s="20" t="n">
        <v>0</v>
      </c>
      <c r="L84" s="20" t="n">
        <v>0</v>
      </c>
      <c r="M84" s="20" t="n">
        <v>0</v>
      </c>
      <c r="N84" s="21" t="n">
        <v>0.0101</v>
      </c>
      <c r="O84" s="20" t="n">
        <f aca="false">SUM(I84:M84)</f>
        <v>0.0293548387096774</v>
      </c>
      <c r="P84" s="22" t="n">
        <v>32954</v>
      </c>
      <c r="Q84" s="16" t="n">
        <v>1900</v>
      </c>
      <c r="R84" s="157" t="s">
        <v>1</v>
      </c>
      <c r="S84" s="23" t="n">
        <f aca="false">I84*$I$1*Q84</f>
        <v>1729</v>
      </c>
      <c r="T84" s="23"/>
      <c r="U84" s="24" t="n">
        <v>231261</v>
      </c>
      <c r="V84" s="24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" hidden="false" customHeight="true" outlineLevel="0" collapsed="false">
      <c r="A85" s="15" t="s">
        <v>144</v>
      </c>
      <c r="B85" s="16" t="s">
        <v>335</v>
      </c>
      <c r="C85" s="16" t="s">
        <v>256</v>
      </c>
      <c r="D85" s="17" t="n">
        <v>36617</v>
      </c>
      <c r="E85" s="17" t="n">
        <v>36829</v>
      </c>
      <c r="F85" s="15" t="s">
        <v>336</v>
      </c>
      <c r="G85" s="15" t="n">
        <v>5</v>
      </c>
      <c r="H85" s="16" t="s">
        <v>170</v>
      </c>
      <c r="I85" s="19" t="n">
        <f aca="false">0.91/I$1</f>
        <v>0.0293548387096774</v>
      </c>
      <c r="J85" s="20" t="n">
        <v>0</v>
      </c>
      <c r="K85" s="20" t="n">
        <v>0</v>
      </c>
      <c r="L85" s="20" t="n">
        <v>0</v>
      </c>
      <c r="M85" s="20" t="n">
        <v>0</v>
      </c>
      <c r="N85" s="21" t="n">
        <v>0.0101</v>
      </c>
      <c r="O85" s="20" t="n">
        <f aca="false">SUM(I85:M85)</f>
        <v>0.0293548387096774</v>
      </c>
      <c r="P85" s="22" t="n">
        <v>32956</v>
      </c>
      <c r="Q85" s="16" t="n">
        <v>2899</v>
      </c>
      <c r="R85" s="157" t="s">
        <v>1</v>
      </c>
      <c r="S85" s="23" t="n">
        <f aca="false">I85*$I$1*Q85</f>
        <v>2638.09</v>
      </c>
      <c r="T85" s="23"/>
      <c r="U85" s="24" t="n">
        <v>231241</v>
      </c>
      <c r="V85" s="24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" hidden="false" customHeight="true" outlineLevel="0" collapsed="false">
      <c r="A86" s="15" t="s">
        <v>144</v>
      </c>
      <c r="B86" s="16" t="s">
        <v>255</v>
      </c>
      <c r="C86" s="16" t="s">
        <v>256</v>
      </c>
      <c r="D86" s="17" t="n">
        <v>36617</v>
      </c>
      <c r="E86" s="17" t="n">
        <v>36829</v>
      </c>
      <c r="F86" s="15" t="n">
        <v>4</v>
      </c>
      <c r="G86" s="15" t="n">
        <v>6</v>
      </c>
      <c r="H86" s="16" t="s">
        <v>170</v>
      </c>
      <c r="I86" s="19" t="n">
        <f aca="false">0.76/I$1</f>
        <v>0.0245161290322581</v>
      </c>
      <c r="J86" s="20" t="n">
        <v>0</v>
      </c>
      <c r="K86" s="20" t="n">
        <v>0</v>
      </c>
      <c r="L86" s="20" t="n">
        <v>0</v>
      </c>
      <c r="M86" s="20" t="n">
        <v>0</v>
      </c>
      <c r="N86" s="21" t="n">
        <v>0.0101</v>
      </c>
      <c r="O86" s="20" t="n">
        <f aca="false">SUM(I86:M86)</f>
        <v>0.0245161290322581</v>
      </c>
      <c r="P86" s="22" t="n">
        <v>32958</v>
      </c>
      <c r="Q86" s="16" t="n">
        <v>5265</v>
      </c>
      <c r="R86" s="157" t="s">
        <v>1</v>
      </c>
      <c r="S86" s="23" t="n">
        <f aca="false">I86*$I$1*Q86</f>
        <v>4001.4</v>
      </c>
      <c r="T86" s="23"/>
      <c r="U86" s="24" t="n">
        <v>231270</v>
      </c>
      <c r="V86" s="24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" hidden="false" customHeight="true" outlineLevel="0" collapsed="false">
      <c r="A87" s="15" t="s">
        <v>337</v>
      </c>
      <c r="B87" s="16" t="s">
        <v>24</v>
      </c>
      <c r="C87" s="16" t="s">
        <v>256</v>
      </c>
      <c r="D87" s="17" t="n">
        <v>36617</v>
      </c>
      <c r="E87" s="17" t="n">
        <v>36829</v>
      </c>
      <c r="F87" s="15" t="s">
        <v>338</v>
      </c>
      <c r="G87" s="15" t="s">
        <v>337</v>
      </c>
      <c r="H87" s="16" t="s">
        <v>170</v>
      </c>
      <c r="I87" s="19" t="s">
        <v>339</v>
      </c>
      <c r="J87" s="20" t="n">
        <v>0</v>
      </c>
      <c r="K87" s="20" t="n">
        <v>0</v>
      </c>
      <c r="L87" s="20" t="n">
        <v>0</v>
      </c>
      <c r="M87" s="20" t="n">
        <v>0</v>
      </c>
      <c r="N87" s="21" t="n">
        <v>0</v>
      </c>
      <c r="O87" s="20" t="n">
        <f aca="false">SUM(I87:M87)</f>
        <v>0</v>
      </c>
      <c r="P87" s="22" t="n">
        <v>33140</v>
      </c>
      <c r="Q87" s="16" t="n">
        <v>250000</v>
      </c>
      <c r="R87" s="157" t="s">
        <v>340</v>
      </c>
      <c r="S87" s="23" t="n">
        <v>10000</v>
      </c>
      <c r="T87" s="23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" hidden="false" customHeight="true" outlineLevel="0" collapsed="false">
      <c r="A88" s="195" t="s">
        <v>341</v>
      </c>
      <c r="B88" s="196" t="s">
        <v>24</v>
      </c>
      <c r="C88" s="196" t="s">
        <v>256</v>
      </c>
      <c r="D88" s="197" t="n">
        <v>36736</v>
      </c>
      <c r="E88" s="197" t="n">
        <v>36769</v>
      </c>
      <c r="F88" s="195" t="s">
        <v>338</v>
      </c>
      <c r="G88" s="195" t="s">
        <v>337</v>
      </c>
      <c r="H88" s="196" t="s">
        <v>170</v>
      </c>
      <c r="I88" s="198" t="s">
        <v>339</v>
      </c>
      <c r="J88" s="199" t="n">
        <v>0</v>
      </c>
      <c r="K88" s="199" t="n">
        <v>0</v>
      </c>
      <c r="L88" s="199" t="n">
        <v>0</v>
      </c>
      <c r="M88" s="199" t="n">
        <v>0</v>
      </c>
      <c r="N88" s="200" t="n">
        <v>0</v>
      </c>
      <c r="O88" s="199" t="n">
        <f aca="false">SUM(I88:M88)</f>
        <v>0</v>
      </c>
      <c r="P88" s="201" t="n">
        <v>34445</v>
      </c>
      <c r="Q88" s="196" t="n">
        <v>20000</v>
      </c>
      <c r="R88" s="202"/>
      <c r="S88" s="203" t="n">
        <v>22500</v>
      </c>
      <c r="T88" s="203"/>
      <c r="U88" s="204" t="n">
        <v>348687</v>
      </c>
      <c r="V88" s="204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5"/>
      <c r="BH88" s="205"/>
      <c r="BI88" s="205"/>
      <c r="BJ88" s="205"/>
      <c r="BK88" s="205"/>
      <c r="BL88" s="205"/>
      <c r="BM88" s="205"/>
      <c r="BN88" s="205"/>
      <c r="BO88" s="205"/>
      <c r="BP88" s="205"/>
      <c r="BQ88" s="205"/>
      <c r="BR88" s="205"/>
      <c r="BS88" s="205"/>
      <c r="BT88" s="205"/>
      <c r="BU88" s="205"/>
      <c r="BV88" s="205"/>
      <c r="BW88" s="205"/>
      <c r="BX88" s="205"/>
      <c r="BY88" s="205"/>
      <c r="BZ88" s="205"/>
      <c r="CA88" s="205"/>
      <c r="CB88" s="205"/>
      <c r="CC88" s="205"/>
      <c r="CD88" s="205"/>
      <c r="CE88" s="205"/>
      <c r="CF88" s="205"/>
      <c r="CG88" s="205"/>
      <c r="CH88" s="205"/>
      <c r="CI88" s="205"/>
      <c r="CJ88" s="205"/>
      <c r="CK88" s="205"/>
      <c r="CL88" s="205"/>
      <c r="CM88" s="205"/>
      <c r="CN88" s="205"/>
      <c r="CO88" s="205"/>
      <c r="CP88" s="205"/>
      <c r="CQ88" s="205"/>
      <c r="CR88" s="205"/>
      <c r="CS88" s="205"/>
      <c r="CT88" s="205"/>
      <c r="CU88" s="205"/>
      <c r="CV88" s="205"/>
      <c r="CW88" s="205"/>
      <c r="CX88" s="205"/>
      <c r="CY88" s="205"/>
      <c r="CZ88" s="205"/>
      <c r="DA88" s="205"/>
      <c r="DB88" s="205"/>
      <c r="DC88" s="205"/>
      <c r="DD88" s="205"/>
      <c r="DE88" s="205"/>
      <c r="DF88" s="205"/>
      <c r="DG88" s="205"/>
      <c r="DH88" s="205"/>
      <c r="DI88" s="205"/>
      <c r="DJ88" s="205"/>
      <c r="DK88" s="205"/>
      <c r="DL88" s="205"/>
      <c r="DM88" s="205"/>
      <c r="DN88" s="205"/>
      <c r="DO88" s="205"/>
      <c r="DP88" s="205"/>
      <c r="DQ88" s="205"/>
      <c r="DR88" s="205"/>
      <c r="DS88" s="205"/>
      <c r="DT88" s="205"/>
      <c r="DU88" s="205"/>
      <c r="DV88" s="205"/>
      <c r="DW88" s="205"/>
      <c r="DX88" s="205"/>
      <c r="DY88" s="205"/>
      <c r="DZ88" s="205"/>
      <c r="EA88" s="205"/>
      <c r="EB88" s="205"/>
      <c r="EC88" s="205"/>
      <c r="ED88" s="205"/>
      <c r="EE88" s="205"/>
      <c r="EF88" s="205"/>
      <c r="EG88" s="205"/>
      <c r="EH88" s="205"/>
      <c r="EI88" s="205"/>
      <c r="EJ88" s="205"/>
      <c r="EK88" s="205"/>
      <c r="EL88" s="205"/>
      <c r="EM88" s="205"/>
      <c r="EN88" s="205"/>
      <c r="EO88" s="205"/>
      <c r="EP88" s="205"/>
      <c r="EQ88" s="205"/>
      <c r="ER88" s="205"/>
      <c r="ES88" s="205"/>
      <c r="ET88" s="205"/>
      <c r="EU88" s="205"/>
      <c r="EV88" s="205"/>
      <c r="EW88" s="205"/>
      <c r="EX88" s="205"/>
      <c r="EY88" s="205"/>
      <c r="EZ88" s="205"/>
      <c r="FA88" s="205"/>
      <c r="FB88" s="205"/>
      <c r="FC88" s="205"/>
      <c r="FD88" s="205"/>
      <c r="FE88" s="205"/>
      <c r="FF88" s="205"/>
      <c r="FG88" s="205"/>
      <c r="FH88" s="205"/>
      <c r="FI88" s="205"/>
      <c r="FJ88" s="205"/>
      <c r="FK88" s="205"/>
      <c r="FL88" s="205"/>
      <c r="FM88" s="205"/>
      <c r="FN88" s="205"/>
      <c r="FO88" s="205"/>
      <c r="FP88" s="205"/>
      <c r="FQ88" s="205"/>
      <c r="FR88" s="205"/>
      <c r="FS88" s="205"/>
      <c r="FT88" s="205"/>
      <c r="FU88" s="205"/>
      <c r="FV88" s="205"/>
      <c r="FW88" s="205"/>
      <c r="FX88" s="205"/>
      <c r="FY88" s="205"/>
      <c r="FZ88" s="205"/>
      <c r="GA88" s="205"/>
      <c r="GB88" s="205"/>
      <c r="GC88" s="205"/>
      <c r="GD88" s="205"/>
      <c r="GE88" s="205"/>
      <c r="GF88" s="205"/>
      <c r="GG88" s="205"/>
      <c r="GH88" s="205"/>
      <c r="GI88" s="205"/>
      <c r="GJ88" s="205"/>
      <c r="GK88" s="205"/>
      <c r="GL88" s="205"/>
      <c r="GM88" s="205"/>
      <c r="GN88" s="205"/>
      <c r="GO88" s="205"/>
      <c r="GP88" s="205"/>
      <c r="GQ88" s="205"/>
      <c r="GR88" s="205"/>
      <c r="GS88" s="205"/>
      <c r="GT88" s="205"/>
      <c r="GU88" s="205"/>
      <c r="GV88" s="205"/>
      <c r="GW88" s="205"/>
      <c r="GX88" s="205"/>
      <c r="GY88" s="205"/>
      <c r="GZ88" s="205"/>
      <c r="HA88" s="205"/>
      <c r="HB88" s="205"/>
      <c r="HC88" s="205"/>
      <c r="HD88" s="205"/>
      <c r="HE88" s="205"/>
      <c r="HF88" s="205"/>
      <c r="HG88" s="205"/>
      <c r="HH88" s="205"/>
      <c r="HI88" s="205"/>
      <c r="HJ88" s="205"/>
      <c r="HK88" s="205"/>
      <c r="HL88" s="205"/>
      <c r="HM88" s="205"/>
      <c r="HN88" s="205"/>
      <c r="HO88" s="205"/>
      <c r="HP88" s="205"/>
      <c r="HQ88" s="205"/>
      <c r="HR88" s="205"/>
      <c r="HS88" s="205"/>
      <c r="HT88" s="205"/>
      <c r="HU88" s="205"/>
      <c r="HV88" s="205"/>
      <c r="HW88" s="205"/>
      <c r="HX88" s="205"/>
      <c r="HY88" s="205"/>
      <c r="HZ88" s="205"/>
      <c r="IA88" s="205"/>
      <c r="IB88" s="205"/>
      <c r="IC88" s="205"/>
      <c r="ID88" s="205"/>
      <c r="IE88" s="205"/>
      <c r="IF88" s="205"/>
      <c r="IG88" s="205"/>
      <c r="IH88" s="205"/>
      <c r="II88" s="205"/>
      <c r="IJ88" s="205"/>
      <c r="IK88" s="205"/>
      <c r="IL88" s="205"/>
      <c r="IM88" s="205"/>
      <c r="IN88" s="205"/>
      <c r="IO88" s="205"/>
      <c r="IP88" s="205"/>
      <c r="IQ88" s="205"/>
      <c r="IR88" s="205"/>
      <c r="IS88" s="205"/>
      <c r="IT88" s="205"/>
      <c r="IU88" s="205"/>
      <c r="IV88" s="205"/>
      <c r="IW88" s="205"/>
    </row>
    <row r="89" customFormat="false" ht="12" hidden="false" customHeight="true" outlineLevel="0" collapsed="false">
      <c r="A89" s="38" t="s">
        <v>341</v>
      </c>
      <c r="B89" s="104" t="s">
        <v>24</v>
      </c>
      <c r="C89" s="104" t="s">
        <v>256</v>
      </c>
      <c r="D89" s="105" t="s">
        <v>342</v>
      </c>
      <c r="E89" s="105" t="n">
        <v>36799</v>
      </c>
      <c r="F89" s="38" t="s">
        <v>338</v>
      </c>
      <c r="G89" s="38" t="s">
        <v>337</v>
      </c>
      <c r="H89" s="104" t="s">
        <v>170</v>
      </c>
      <c r="I89" s="106" t="n">
        <v>0.015</v>
      </c>
      <c r="J89" s="107" t="n">
        <v>0</v>
      </c>
      <c r="K89" s="107" t="n">
        <v>0</v>
      </c>
      <c r="L89" s="107" t="n">
        <v>0</v>
      </c>
      <c r="M89" s="107" t="n">
        <v>0</v>
      </c>
      <c r="N89" s="152" t="n">
        <v>0</v>
      </c>
      <c r="O89" s="107" t="n">
        <f aca="false">SUM(I89:M89)</f>
        <v>0.015</v>
      </c>
      <c r="P89" s="109" t="n">
        <v>34518</v>
      </c>
      <c r="Q89" s="104" t="n">
        <v>100000</v>
      </c>
      <c r="R89" s="158"/>
      <c r="S89" s="110" t="n">
        <f aca="false">+Q89*I89</f>
        <v>1500</v>
      </c>
      <c r="T89" s="110"/>
      <c r="U89" s="112" t="n">
        <v>363363</v>
      </c>
      <c r="V89" s="112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13"/>
      <c r="FG89" s="113"/>
      <c r="FH89" s="113"/>
      <c r="FI89" s="113"/>
      <c r="FJ89" s="113"/>
      <c r="FK89" s="113"/>
      <c r="FL89" s="113"/>
      <c r="FM89" s="113"/>
      <c r="FN89" s="113"/>
      <c r="FO89" s="113"/>
      <c r="FP89" s="113"/>
      <c r="FQ89" s="113"/>
      <c r="FR89" s="113"/>
      <c r="FS89" s="113"/>
      <c r="FT89" s="113"/>
      <c r="FU89" s="113"/>
      <c r="FV89" s="113"/>
      <c r="FW89" s="113"/>
      <c r="FX89" s="113"/>
      <c r="FY89" s="113"/>
      <c r="FZ89" s="113"/>
      <c r="GA89" s="113"/>
      <c r="GB89" s="113"/>
      <c r="GC89" s="113"/>
      <c r="GD89" s="113"/>
      <c r="GE89" s="113"/>
      <c r="GF89" s="113"/>
      <c r="GG89" s="113"/>
      <c r="GH89" s="113"/>
      <c r="GI89" s="113"/>
      <c r="GJ89" s="113"/>
      <c r="GK89" s="113"/>
      <c r="GL89" s="113"/>
      <c r="GM89" s="113"/>
      <c r="GN89" s="113"/>
      <c r="GO89" s="113"/>
      <c r="GP89" s="113"/>
      <c r="GQ89" s="113"/>
      <c r="GR89" s="113"/>
      <c r="GS89" s="113"/>
      <c r="GT89" s="113"/>
      <c r="GU89" s="113"/>
      <c r="GV89" s="113"/>
      <c r="GW89" s="113"/>
      <c r="GX89" s="113"/>
      <c r="GY89" s="113"/>
      <c r="GZ89" s="113"/>
      <c r="HA89" s="113"/>
      <c r="HB89" s="113"/>
      <c r="HC89" s="113"/>
      <c r="HD89" s="113"/>
      <c r="HE89" s="113"/>
      <c r="HF89" s="113"/>
      <c r="HG89" s="113"/>
      <c r="HH89" s="113"/>
      <c r="HI89" s="113"/>
      <c r="HJ89" s="113"/>
      <c r="HK89" s="113"/>
      <c r="HL89" s="113"/>
      <c r="HM89" s="113"/>
      <c r="HN89" s="113"/>
      <c r="HO89" s="113"/>
      <c r="HP89" s="113"/>
      <c r="HQ89" s="113"/>
      <c r="HR89" s="113"/>
      <c r="HS89" s="113"/>
      <c r="HT89" s="113"/>
      <c r="HU89" s="113"/>
      <c r="HV89" s="113"/>
      <c r="HW89" s="113"/>
      <c r="HX89" s="113"/>
      <c r="HY89" s="113"/>
      <c r="HZ89" s="113"/>
      <c r="IA89" s="113"/>
      <c r="IB89" s="113"/>
      <c r="IC89" s="113"/>
      <c r="ID89" s="113"/>
      <c r="IE89" s="113"/>
      <c r="IF89" s="113"/>
      <c r="IG89" s="113"/>
      <c r="IH89" s="113"/>
      <c r="II89" s="113"/>
      <c r="IJ89" s="113"/>
      <c r="IK89" s="113"/>
      <c r="IL89" s="113"/>
      <c r="IM89" s="113"/>
      <c r="IN89" s="113"/>
      <c r="IO89" s="113"/>
      <c r="IP89" s="113"/>
      <c r="IQ89" s="113"/>
      <c r="IR89" s="113"/>
      <c r="IS89" s="113"/>
      <c r="IT89" s="113"/>
      <c r="IU89" s="113"/>
      <c r="IV89" s="113"/>
      <c r="IW89" s="113"/>
    </row>
    <row r="90" customFormat="false" ht="12.75" hidden="false" customHeight="false" outlineLevel="0" collapsed="false">
      <c r="A90" s="15" t="s">
        <v>217</v>
      </c>
      <c r="B90" s="16" t="s">
        <v>249</v>
      </c>
      <c r="C90" s="16" t="s">
        <v>315</v>
      </c>
      <c r="D90" s="17" t="n">
        <v>36526</v>
      </c>
      <c r="E90" s="17" t="n">
        <v>36556</v>
      </c>
      <c r="F90" s="15" t="s">
        <v>256</v>
      </c>
      <c r="G90" s="15" t="s">
        <v>343</v>
      </c>
      <c r="H90" s="16"/>
      <c r="I90" s="19" t="n">
        <v>0.2216</v>
      </c>
      <c r="J90" s="20" t="n">
        <v>0</v>
      </c>
      <c r="K90" s="20" t="n">
        <v>0</v>
      </c>
      <c r="L90" s="20" t="n">
        <v>0</v>
      </c>
      <c r="M90" s="20" t="n">
        <v>0</v>
      </c>
      <c r="N90" s="21" t="n">
        <v>0.0244</v>
      </c>
      <c r="O90" s="20" t="n">
        <f aca="false">SUM(I90:M90)</f>
        <v>0.2216</v>
      </c>
      <c r="P90" s="22" t="n">
        <v>1943</v>
      </c>
      <c r="Q90" s="16" t="n">
        <v>359</v>
      </c>
      <c r="R90" s="15" t="s">
        <v>344</v>
      </c>
      <c r="S90" s="151" t="n">
        <f aca="false">I90*I$1*Q90</f>
        <v>2466.1864</v>
      </c>
      <c r="T90" s="23"/>
      <c r="U90" s="24" t="n">
        <v>142636</v>
      </c>
      <c r="V90" s="24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2.75" hidden="false" customHeight="false" outlineLevel="0" collapsed="false">
      <c r="A91" s="38" t="s">
        <v>217</v>
      </c>
      <c r="B91" s="104" t="s">
        <v>249</v>
      </c>
      <c r="C91" s="104" t="s">
        <v>315</v>
      </c>
      <c r="D91" s="105" t="n">
        <v>36526</v>
      </c>
      <c r="E91" s="105" t="n">
        <v>37560</v>
      </c>
      <c r="F91" s="38" t="s">
        <v>256</v>
      </c>
      <c r="G91" s="38" t="s">
        <v>343</v>
      </c>
      <c r="H91" s="104"/>
      <c r="I91" s="106"/>
      <c r="J91" s="107"/>
      <c r="K91" s="107"/>
      <c r="L91" s="107"/>
      <c r="M91" s="107"/>
      <c r="N91" s="152"/>
      <c r="O91" s="107"/>
      <c r="P91" s="109" t="n">
        <v>1990</v>
      </c>
      <c r="Q91" s="104"/>
      <c r="R91" s="38" t="s">
        <v>345</v>
      </c>
      <c r="S91" s="153" t="n">
        <v>430.5</v>
      </c>
      <c r="T91" s="110"/>
      <c r="U91" s="112" t="n">
        <v>145771</v>
      </c>
      <c r="V91" s="112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/>
      <c r="CR91" s="113"/>
      <c r="CS91" s="113"/>
      <c r="CT91" s="113"/>
      <c r="CU91" s="113"/>
      <c r="CV91" s="113"/>
      <c r="CW91" s="113"/>
      <c r="CX91" s="113"/>
      <c r="CY91" s="113"/>
      <c r="CZ91" s="113"/>
      <c r="DA91" s="113"/>
      <c r="DB91" s="113"/>
      <c r="DC91" s="113"/>
      <c r="DD91" s="113"/>
      <c r="DE91" s="113"/>
      <c r="DF91" s="113"/>
      <c r="DG91" s="113"/>
      <c r="DH91" s="113"/>
      <c r="DI91" s="113"/>
      <c r="DJ91" s="113"/>
      <c r="DK91" s="113"/>
      <c r="DL91" s="113"/>
      <c r="DM91" s="113"/>
      <c r="DN91" s="113"/>
      <c r="DO91" s="113"/>
      <c r="DP91" s="113"/>
      <c r="DQ91" s="113"/>
      <c r="DR91" s="113"/>
      <c r="DS91" s="113"/>
      <c r="DT91" s="113"/>
      <c r="DU91" s="113"/>
      <c r="DV91" s="113"/>
      <c r="DW91" s="113"/>
      <c r="DX91" s="113"/>
      <c r="DY91" s="113"/>
      <c r="DZ91" s="113"/>
      <c r="EA91" s="113"/>
      <c r="EB91" s="113"/>
      <c r="EC91" s="113"/>
      <c r="ED91" s="113"/>
      <c r="EE91" s="113"/>
      <c r="EF91" s="113"/>
      <c r="EG91" s="113"/>
      <c r="EH91" s="113"/>
      <c r="EI91" s="113"/>
      <c r="EJ91" s="113"/>
      <c r="EK91" s="113"/>
      <c r="EL91" s="113"/>
      <c r="EM91" s="113"/>
      <c r="EN91" s="113"/>
      <c r="EO91" s="113"/>
      <c r="EP91" s="113"/>
      <c r="EQ91" s="113"/>
      <c r="ER91" s="113"/>
      <c r="ES91" s="113"/>
      <c r="ET91" s="113"/>
      <c r="EU91" s="113"/>
      <c r="EV91" s="113"/>
      <c r="EW91" s="113"/>
      <c r="EX91" s="113"/>
      <c r="EY91" s="113"/>
      <c r="EZ91" s="113"/>
      <c r="FA91" s="113"/>
      <c r="FB91" s="113"/>
      <c r="FC91" s="113"/>
      <c r="FD91" s="113"/>
      <c r="FE91" s="113"/>
      <c r="FF91" s="113"/>
      <c r="FG91" s="113"/>
      <c r="FH91" s="113"/>
      <c r="FI91" s="113"/>
      <c r="FJ91" s="113"/>
      <c r="FK91" s="113"/>
      <c r="FL91" s="113"/>
      <c r="FM91" s="113"/>
      <c r="FN91" s="113"/>
      <c r="FO91" s="113"/>
      <c r="FP91" s="113"/>
      <c r="FQ91" s="113"/>
      <c r="FR91" s="113"/>
      <c r="FS91" s="113"/>
      <c r="FT91" s="113"/>
      <c r="FU91" s="113"/>
      <c r="FV91" s="113"/>
      <c r="FW91" s="113"/>
      <c r="FX91" s="113"/>
      <c r="FY91" s="113"/>
      <c r="FZ91" s="113"/>
      <c r="GA91" s="113"/>
      <c r="GB91" s="113"/>
      <c r="GC91" s="113"/>
      <c r="GD91" s="113"/>
      <c r="GE91" s="113"/>
      <c r="GF91" s="113"/>
      <c r="GG91" s="113"/>
      <c r="GH91" s="113"/>
      <c r="GI91" s="113"/>
      <c r="GJ91" s="113"/>
      <c r="GK91" s="113"/>
      <c r="GL91" s="113"/>
      <c r="GM91" s="113"/>
      <c r="GN91" s="113"/>
      <c r="GO91" s="113"/>
      <c r="GP91" s="113"/>
      <c r="GQ91" s="113"/>
      <c r="GR91" s="113"/>
      <c r="GS91" s="113"/>
      <c r="GT91" s="113"/>
      <c r="GU91" s="113"/>
      <c r="GV91" s="113"/>
      <c r="GW91" s="113"/>
      <c r="GX91" s="113"/>
      <c r="GY91" s="113"/>
      <c r="GZ91" s="113"/>
      <c r="HA91" s="113"/>
      <c r="HB91" s="113"/>
      <c r="HC91" s="113"/>
      <c r="HD91" s="113"/>
      <c r="HE91" s="113"/>
      <c r="HF91" s="113"/>
      <c r="HG91" s="113"/>
      <c r="HH91" s="113"/>
      <c r="HI91" s="113"/>
      <c r="HJ91" s="113"/>
      <c r="HK91" s="113"/>
      <c r="HL91" s="113"/>
      <c r="HM91" s="113"/>
      <c r="HN91" s="113"/>
      <c r="HO91" s="113"/>
      <c r="HP91" s="113"/>
      <c r="HQ91" s="113"/>
      <c r="HR91" s="113"/>
      <c r="HS91" s="113"/>
      <c r="HT91" s="113"/>
      <c r="HU91" s="113"/>
      <c r="HV91" s="113"/>
      <c r="HW91" s="113"/>
      <c r="HX91" s="113"/>
      <c r="HY91" s="113"/>
      <c r="HZ91" s="113"/>
      <c r="IA91" s="113"/>
      <c r="IB91" s="113"/>
      <c r="IC91" s="113"/>
      <c r="ID91" s="113"/>
      <c r="IE91" s="113"/>
      <c r="IF91" s="113"/>
      <c r="IG91" s="113"/>
      <c r="IH91" s="113"/>
      <c r="II91" s="113"/>
      <c r="IJ91" s="113"/>
      <c r="IK91" s="113"/>
      <c r="IL91" s="113"/>
      <c r="IM91" s="113"/>
      <c r="IN91" s="113"/>
      <c r="IO91" s="113"/>
      <c r="IP91" s="113"/>
      <c r="IQ91" s="113"/>
      <c r="IR91" s="113"/>
      <c r="IS91" s="113"/>
      <c r="IT91" s="113"/>
      <c r="IU91" s="113"/>
      <c r="IV91" s="113"/>
      <c r="IW91" s="113"/>
    </row>
    <row r="92" customFormat="false" ht="12.75" hidden="false" customHeight="false" outlineLevel="0" collapsed="false">
      <c r="A92" s="15" t="s">
        <v>217</v>
      </c>
      <c r="B92" s="16" t="s">
        <v>24</v>
      </c>
      <c r="C92" s="16" t="s">
        <v>346</v>
      </c>
      <c r="D92" s="17" t="n">
        <v>36526</v>
      </c>
      <c r="E92" s="17" t="n">
        <v>36556</v>
      </c>
      <c r="F92" s="15" t="s">
        <v>256</v>
      </c>
      <c r="G92" s="15" t="s">
        <v>343</v>
      </c>
      <c r="H92" s="16"/>
      <c r="I92" s="19" t="n">
        <v>0.2216</v>
      </c>
      <c r="J92" s="20" t="n">
        <v>0</v>
      </c>
      <c r="K92" s="20" t="n">
        <v>0</v>
      </c>
      <c r="L92" s="20" t="n">
        <v>0</v>
      </c>
      <c r="M92" s="20" t="n">
        <v>0</v>
      </c>
      <c r="N92" s="21" t="n">
        <v>0.0244</v>
      </c>
      <c r="O92" s="20" t="n">
        <f aca="false">SUM(I92:M92)</f>
        <v>0.2216</v>
      </c>
      <c r="P92" s="22"/>
      <c r="Q92" s="16"/>
      <c r="R92" s="15"/>
      <c r="S92" s="23"/>
      <c r="T92" s="23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2.75" hidden="false" customHeight="false" outlineLevel="0" collapsed="false">
      <c r="A93" s="38" t="s">
        <v>217</v>
      </c>
      <c r="B93" s="104" t="s">
        <v>24</v>
      </c>
      <c r="C93" s="104" t="s">
        <v>316</v>
      </c>
      <c r="D93" s="105" t="n">
        <v>36526</v>
      </c>
      <c r="E93" s="105" t="n">
        <v>36830</v>
      </c>
      <c r="F93" s="38" t="s">
        <v>256</v>
      </c>
      <c r="G93" s="38" t="s">
        <v>343</v>
      </c>
      <c r="H93" s="104"/>
      <c r="I93" s="106"/>
      <c r="J93" s="107"/>
      <c r="K93" s="107"/>
      <c r="L93" s="107"/>
      <c r="M93" s="107"/>
      <c r="N93" s="152"/>
      <c r="O93" s="107"/>
      <c r="P93" s="109" t="n">
        <v>1991</v>
      </c>
      <c r="Q93" s="104"/>
      <c r="R93" s="38"/>
      <c r="S93" s="153" t="n">
        <v>3756.4</v>
      </c>
      <c r="T93" s="110"/>
      <c r="U93" s="112" t="n">
        <v>145870</v>
      </c>
      <c r="V93" s="112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  <c r="BZ93" s="113"/>
      <c r="CA93" s="113"/>
      <c r="CB93" s="113"/>
      <c r="CC93" s="113"/>
      <c r="CD93" s="113"/>
      <c r="CE93" s="113"/>
      <c r="CF93" s="113"/>
      <c r="CG93" s="113"/>
      <c r="CH93" s="113"/>
      <c r="CI93" s="113"/>
      <c r="CJ93" s="113"/>
      <c r="CK93" s="113"/>
      <c r="CL93" s="113"/>
      <c r="CM93" s="113"/>
      <c r="CN93" s="113"/>
      <c r="CO93" s="113"/>
      <c r="CP93" s="113"/>
      <c r="CQ93" s="113"/>
      <c r="CR93" s="113"/>
      <c r="CS93" s="113"/>
      <c r="CT93" s="113"/>
      <c r="CU93" s="113"/>
      <c r="CV93" s="113"/>
      <c r="CW93" s="113"/>
      <c r="CX93" s="113"/>
      <c r="CY93" s="113"/>
      <c r="CZ93" s="113"/>
      <c r="DA93" s="113"/>
      <c r="DB93" s="113"/>
      <c r="DC93" s="113"/>
      <c r="DD93" s="113"/>
      <c r="DE93" s="113"/>
      <c r="DF93" s="113"/>
      <c r="DG93" s="113"/>
      <c r="DH93" s="113"/>
      <c r="DI93" s="113"/>
      <c r="DJ93" s="113"/>
      <c r="DK93" s="113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  <c r="ED93" s="113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3"/>
      <c r="GA93" s="113"/>
      <c r="GB93" s="113"/>
      <c r="GC93" s="113"/>
      <c r="GD93" s="113"/>
      <c r="GE93" s="113"/>
      <c r="GF93" s="113"/>
      <c r="GG93" s="113"/>
      <c r="GH93" s="113"/>
      <c r="GI93" s="113"/>
      <c r="GJ93" s="113"/>
      <c r="GK93" s="113"/>
      <c r="GL93" s="113"/>
      <c r="GM93" s="113"/>
      <c r="GN93" s="113"/>
      <c r="GO93" s="113"/>
      <c r="GP93" s="113"/>
      <c r="GQ93" s="113"/>
      <c r="GR93" s="113"/>
      <c r="GS93" s="113"/>
      <c r="GT93" s="113"/>
      <c r="GU93" s="113"/>
      <c r="GV93" s="113"/>
      <c r="GW93" s="113"/>
      <c r="GX93" s="113"/>
      <c r="GY93" s="113"/>
      <c r="GZ93" s="113"/>
      <c r="HA93" s="113"/>
      <c r="HB93" s="113"/>
      <c r="HC93" s="113"/>
      <c r="HD93" s="113"/>
      <c r="HE93" s="113"/>
      <c r="HF93" s="113"/>
      <c r="HG93" s="113"/>
      <c r="HH93" s="113"/>
      <c r="HI93" s="113"/>
      <c r="HJ93" s="113"/>
      <c r="HK93" s="113"/>
      <c r="HL93" s="113"/>
      <c r="HM93" s="113"/>
      <c r="HN93" s="113"/>
      <c r="HO93" s="113"/>
      <c r="HP93" s="113"/>
      <c r="HQ93" s="113"/>
      <c r="HR93" s="113"/>
      <c r="HS93" s="113"/>
      <c r="HT93" s="113"/>
      <c r="HU93" s="113"/>
      <c r="HV93" s="113"/>
      <c r="HW93" s="113"/>
      <c r="HX93" s="113"/>
      <c r="HY93" s="113"/>
      <c r="HZ93" s="113"/>
      <c r="IA93" s="113"/>
      <c r="IB93" s="113"/>
      <c r="IC93" s="113"/>
      <c r="ID93" s="113"/>
      <c r="IE93" s="113"/>
      <c r="IF93" s="113"/>
      <c r="IG93" s="113"/>
      <c r="IH93" s="113"/>
      <c r="II93" s="113"/>
      <c r="IJ93" s="113"/>
      <c r="IK93" s="113"/>
      <c r="IL93" s="113"/>
      <c r="IM93" s="113"/>
      <c r="IN93" s="113"/>
      <c r="IO93" s="113"/>
      <c r="IP93" s="113"/>
      <c r="IQ93" s="113"/>
      <c r="IR93" s="113"/>
      <c r="IS93" s="113"/>
      <c r="IT93" s="113"/>
      <c r="IU93" s="113"/>
      <c r="IV93" s="113"/>
      <c r="IW93" s="113"/>
    </row>
    <row r="94" customFormat="false" ht="12.75" hidden="false" customHeight="false" outlineLevel="0" collapsed="false">
      <c r="A94" s="15" t="s">
        <v>217</v>
      </c>
      <c r="B94" s="16" t="s">
        <v>24</v>
      </c>
      <c r="C94" s="16" t="s">
        <v>316</v>
      </c>
      <c r="D94" s="17" t="n">
        <v>36526</v>
      </c>
      <c r="E94" s="17" t="n">
        <v>36556</v>
      </c>
      <c r="F94" s="15" t="s">
        <v>256</v>
      </c>
      <c r="G94" s="15" t="s">
        <v>343</v>
      </c>
      <c r="H94" s="16"/>
      <c r="I94" s="19" t="n">
        <v>0.2216</v>
      </c>
      <c r="J94" s="20" t="n">
        <v>0</v>
      </c>
      <c r="K94" s="20" t="n">
        <v>0</v>
      </c>
      <c r="L94" s="20" t="n">
        <v>0</v>
      </c>
      <c r="M94" s="20" t="n">
        <v>0</v>
      </c>
      <c r="N94" s="21" t="n">
        <v>0.0244</v>
      </c>
      <c r="O94" s="20" t="n">
        <f aca="false">SUM(I94:M94)</f>
        <v>0.2216</v>
      </c>
      <c r="P94" s="22" t="n">
        <v>248</v>
      </c>
      <c r="Q94" s="16" t="n">
        <v>6000</v>
      </c>
      <c r="R94" s="15"/>
      <c r="S94" s="151" t="n">
        <f aca="false">I94*I$1*Q94</f>
        <v>41217.6</v>
      </c>
      <c r="T94" s="23"/>
      <c r="U94" s="24" t="n">
        <v>142568</v>
      </c>
      <c r="V94" s="24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false" customHeight="false" outlineLevel="0" collapsed="false">
      <c r="A95" s="15" t="s">
        <v>217</v>
      </c>
      <c r="B95" s="16" t="s">
        <v>24</v>
      </c>
      <c r="C95" s="16" t="s">
        <v>316</v>
      </c>
      <c r="D95" s="17" t="n">
        <v>36526</v>
      </c>
      <c r="E95" s="17" t="n">
        <v>36556</v>
      </c>
      <c r="F95" s="15" t="s">
        <v>256</v>
      </c>
      <c r="G95" s="15" t="s">
        <v>343</v>
      </c>
      <c r="H95" s="16"/>
      <c r="I95" s="19" t="n">
        <v>0.2216</v>
      </c>
      <c r="J95" s="20" t="n">
        <v>0</v>
      </c>
      <c r="K95" s="20" t="n">
        <v>0</v>
      </c>
      <c r="L95" s="20" t="n">
        <v>0</v>
      </c>
      <c r="M95" s="20" t="n">
        <v>0</v>
      </c>
      <c r="N95" s="21" t="n">
        <v>0.0244</v>
      </c>
      <c r="O95" s="20" t="n">
        <f aca="false">SUM(I95:M95)</f>
        <v>0.2216</v>
      </c>
      <c r="P95" s="22" t="n">
        <v>250</v>
      </c>
      <c r="Q95" s="16" t="n">
        <v>5400</v>
      </c>
      <c r="R95" s="15"/>
      <c r="S95" s="151" t="n">
        <f aca="false">I95*I$1*Q95</f>
        <v>37095.84</v>
      </c>
      <c r="T95" s="23"/>
      <c r="U95" s="24" t="n">
        <v>142585</v>
      </c>
      <c r="V95" s="24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false" customHeight="false" outlineLevel="0" collapsed="false">
      <c r="A96" s="15" t="s">
        <v>217</v>
      </c>
      <c r="B96" s="16" t="s">
        <v>24</v>
      </c>
      <c r="C96" s="16" t="s">
        <v>316</v>
      </c>
      <c r="D96" s="17" t="n">
        <v>36526</v>
      </c>
      <c r="E96" s="17" t="n">
        <v>36556</v>
      </c>
      <c r="F96" s="15" t="s">
        <v>256</v>
      </c>
      <c r="G96" s="15" t="s">
        <v>343</v>
      </c>
      <c r="H96" s="16"/>
      <c r="I96" s="19" t="n">
        <v>0.2216</v>
      </c>
      <c r="J96" s="20" t="n">
        <v>0</v>
      </c>
      <c r="K96" s="20" t="n">
        <v>0</v>
      </c>
      <c r="L96" s="20" t="n">
        <v>0</v>
      </c>
      <c r="M96" s="20" t="n">
        <v>0</v>
      </c>
      <c r="N96" s="21" t="n">
        <v>0.0244</v>
      </c>
      <c r="O96" s="20" t="n">
        <f aca="false">SUM(I96:M96)</f>
        <v>0.2216</v>
      </c>
      <c r="P96" s="22" t="n">
        <v>495</v>
      </c>
      <c r="Q96" s="16" t="n">
        <v>1371</v>
      </c>
      <c r="R96" s="15"/>
      <c r="S96" s="151" t="n">
        <f aca="false">I96*I$1*Q96</f>
        <v>9418.2216</v>
      </c>
      <c r="T96" s="23"/>
      <c r="U96" s="24" t="n">
        <v>142595</v>
      </c>
      <c r="V96" s="24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false" customHeight="false" outlineLevel="0" collapsed="false">
      <c r="A97" s="15" t="s">
        <v>217</v>
      </c>
      <c r="B97" s="16" t="s">
        <v>24</v>
      </c>
      <c r="C97" s="16" t="s">
        <v>316</v>
      </c>
      <c r="D97" s="17" t="n">
        <v>36526</v>
      </c>
      <c r="E97" s="17" t="n">
        <v>36556</v>
      </c>
      <c r="F97" s="15" t="s">
        <v>256</v>
      </c>
      <c r="G97" s="15" t="s">
        <v>343</v>
      </c>
      <c r="H97" s="16"/>
      <c r="I97" s="19" t="n">
        <v>0.2216</v>
      </c>
      <c r="J97" s="20" t="n">
        <v>0</v>
      </c>
      <c r="K97" s="20" t="n">
        <v>0</v>
      </c>
      <c r="L97" s="20" t="n">
        <v>0</v>
      </c>
      <c r="M97" s="20" t="n">
        <v>0</v>
      </c>
      <c r="N97" s="21" t="n">
        <v>0.0244</v>
      </c>
      <c r="O97" s="20" t="n">
        <f aca="false">SUM(I97:M97)</f>
        <v>0.2216</v>
      </c>
      <c r="P97" s="22" t="n">
        <v>497</v>
      </c>
      <c r="Q97" s="16" t="n">
        <v>9273</v>
      </c>
      <c r="R97" s="15"/>
      <c r="S97" s="151" t="n">
        <f aca="false">I97*I$1*Q97</f>
        <v>63701.8008</v>
      </c>
      <c r="T97" s="23"/>
      <c r="U97" s="24" t="n">
        <v>142601</v>
      </c>
      <c r="V97" s="24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false" customHeight="false" outlineLevel="0" collapsed="false">
      <c r="A98" s="15" t="s">
        <v>217</v>
      </c>
      <c r="B98" s="16" t="s">
        <v>24</v>
      </c>
      <c r="C98" s="16" t="s">
        <v>316</v>
      </c>
      <c r="D98" s="17" t="n">
        <v>36526</v>
      </c>
      <c r="E98" s="17" t="n">
        <v>36830</v>
      </c>
      <c r="F98" s="15" t="s">
        <v>256</v>
      </c>
      <c r="G98" s="15" t="s">
        <v>343</v>
      </c>
      <c r="H98" s="16"/>
      <c r="I98" s="19" t="n">
        <f aca="false">5.29/$I$1</f>
        <v>0.170645161290323</v>
      </c>
      <c r="J98" s="20" t="n">
        <v>0</v>
      </c>
      <c r="K98" s="20" t="n">
        <v>0</v>
      </c>
      <c r="L98" s="20" t="n">
        <v>0</v>
      </c>
      <c r="M98" s="20" t="n">
        <v>0</v>
      </c>
      <c r="N98" s="21" t="n">
        <v>0.0244</v>
      </c>
      <c r="O98" s="20" t="n">
        <f aca="false">SUM(I98:M98)</f>
        <v>0.170645161290323</v>
      </c>
      <c r="P98" s="22" t="n">
        <v>2042</v>
      </c>
      <c r="Q98" s="16" t="n">
        <v>1690</v>
      </c>
      <c r="R98" s="15"/>
      <c r="S98" s="151" t="n">
        <f aca="false">I98*I$1*Q98</f>
        <v>8940.1</v>
      </c>
      <c r="T98" s="23"/>
      <c r="U98" s="24" t="n">
        <v>142604</v>
      </c>
      <c r="V98" s="24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2.75" hidden="false" customHeight="false" outlineLevel="0" collapsed="false">
      <c r="A99" s="15" t="s">
        <v>217</v>
      </c>
      <c r="B99" s="16" t="s">
        <v>24</v>
      </c>
      <c r="C99" s="16" t="s">
        <v>316</v>
      </c>
      <c r="D99" s="17" t="n">
        <v>36526</v>
      </c>
      <c r="E99" s="17" t="n">
        <v>36556</v>
      </c>
      <c r="F99" s="15" t="s">
        <v>256</v>
      </c>
      <c r="G99" s="15" t="s">
        <v>343</v>
      </c>
      <c r="H99" s="16"/>
      <c r="I99" s="19" t="n">
        <f aca="false">5.17/I1</f>
        <v>0.166774193548387</v>
      </c>
      <c r="J99" s="20" t="n">
        <v>0</v>
      </c>
      <c r="K99" s="20" t="n">
        <v>0</v>
      </c>
      <c r="L99" s="20" t="n">
        <v>0</v>
      </c>
      <c r="M99" s="20" t="n">
        <v>0</v>
      </c>
      <c r="N99" s="21" t="n">
        <v>0.0244</v>
      </c>
      <c r="O99" s="20" t="n">
        <f aca="false">SUM(I99:M99)</f>
        <v>0.166774193548387</v>
      </c>
      <c r="P99" s="22" t="n">
        <v>23091</v>
      </c>
      <c r="Q99" s="16" t="n">
        <v>2500</v>
      </c>
      <c r="R99" s="15"/>
      <c r="S99" s="151" t="n">
        <f aca="false">I99*I$1*Q99</f>
        <v>12925</v>
      </c>
      <c r="T99" s="23"/>
      <c r="U99" s="24" t="n">
        <v>142606</v>
      </c>
      <c r="V99" s="24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false" customHeight="false" outlineLevel="0" collapsed="false">
      <c r="A100" s="15" t="s">
        <v>217</v>
      </c>
      <c r="B100" s="16" t="s">
        <v>24</v>
      </c>
      <c r="C100" s="16" t="s">
        <v>316</v>
      </c>
      <c r="D100" s="17" t="n">
        <v>36526</v>
      </c>
      <c r="E100" s="17" t="n">
        <v>36556</v>
      </c>
      <c r="F100" s="15" t="s">
        <v>256</v>
      </c>
      <c r="G100" s="15" t="s">
        <v>343</v>
      </c>
      <c r="H100" s="16"/>
      <c r="I100" s="19" t="n">
        <v>0.2216</v>
      </c>
      <c r="J100" s="20" t="n">
        <v>0</v>
      </c>
      <c r="K100" s="20" t="n">
        <v>0</v>
      </c>
      <c r="L100" s="20" t="n">
        <v>0</v>
      </c>
      <c r="M100" s="20" t="n">
        <v>0</v>
      </c>
      <c r="N100" s="21" t="n">
        <v>0.0244</v>
      </c>
      <c r="O100" s="20" t="n">
        <f aca="false">SUM(I100:M100)</f>
        <v>0.2216</v>
      </c>
      <c r="P100" s="22"/>
      <c r="Q100" s="16" t="n">
        <v>0</v>
      </c>
      <c r="R100" s="15"/>
      <c r="S100" s="151" t="n">
        <f aca="false">I100*I$1*Q100</f>
        <v>0</v>
      </c>
      <c r="T100" s="23"/>
      <c r="U100" s="24"/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2.75" hidden="false" customHeight="false" outlineLevel="0" collapsed="false">
      <c r="A101" s="15" t="s">
        <v>217</v>
      </c>
      <c r="B101" s="16" t="s">
        <v>24</v>
      </c>
      <c r="C101" s="16" t="s">
        <v>316</v>
      </c>
      <c r="D101" s="17" t="n">
        <v>36526</v>
      </c>
      <c r="E101" s="17" t="n">
        <v>36556</v>
      </c>
      <c r="F101" s="15" t="s">
        <v>256</v>
      </c>
      <c r="G101" s="15" t="s">
        <v>343</v>
      </c>
      <c r="H101" s="16"/>
      <c r="I101" s="19" t="n">
        <v>0.2216</v>
      </c>
      <c r="J101" s="20" t="n">
        <v>0</v>
      </c>
      <c r="K101" s="20" t="n">
        <v>0</v>
      </c>
      <c r="L101" s="20" t="n">
        <v>0</v>
      </c>
      <c r="M101" s="20" t="n">
        <v>0</v>
      </c>
      <c r="N101" s="21" t="n">
        <v>0.0244</v>
      </c>
      <c r="O101" s="20" t="n">
        <f aca="false">SUM(I101:M101)</f>
        <v>0.2216</v>
      </c>
      <c r="P101" s="22"/>
      <c r="Q101" s="16" t="n">
        <v>0</v>
      </c>
      <c r="R101" s="15"/>
      <c r="S101" s="151" t="n">
        <f aca="false">I101*I$1*Q101</f>
        <v>0</v>
      </c>
      <c r="T101" s="23"/>
      <c r="U101" s="24"/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false" customHeight="false" outlineLevel="0" collapsed="false">
      <c r="A102" s="38" t="s">
        <v>217</v>
      </c>
      <c r="B102" s="104" t="s">
        <v>24</v>
      </c>
      <c r="C102" s="104" t="s">
        <v>316</v>
      </c>
      <c r="D102" s="105" t="n">
        <v>36526</v>
      </c>
      <c r="E102" s="105" t="n">
        <v>36830</v>
      </c>
      <c r="F102" s="38" t="s">
        <v>256</v>
      </c>
      <c r="G102" s="38" t="s">
        <v>343</v>
      </c>
      <c r="H102" s="104"/>
      <c r="I102" s="106" t="n">
        <v>0.2216</v>
      </c>
      <c r="J102" s="107" t="n">
        <v>0</v>
      </c>
      <c r="K102" s="107" t="n">
        <v>0</v>
      </c>
      <c r="L102" s="107" t="n">
        <v>0</v>
      </c>
      <c r="M102" s="107" t="n">
        <v>0</v>
      </c>
      <c r="N102" s="152" t="n">
        <v>0.0244</v>
      </c>
      <c r="O102" s="107" t="n">
        <f aca="false">SUM(I102:M102)</f>
        <v>0.2216</v>
      </c>
      <c r="P102" s="109" t="n">
        <v>2054</v>
      </c>
      <c r="Q102" s="104" t="n">
        <v>0</v>
      </c>
      <c r="R102" s="38"/>
      <c r="S102" s="153" t="n">
        <v>958.08</v>
      </c>
      <c r="T102" s="110"/>
      <c r="U102" s="112" t="n">
        <v>145877</v>
      </c>
      <c r="V102" s="112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  <c r="BZ102" s="113"/>
      <c r="CA102" s="113"/>
      <c r="CB102" s="113"/>
      <c r="CC102" s="113"/>
      <c r="CD102" s="113"/>
      <c r="CE102" s="113"/>
      <c r="CF102" s="113"/>
      <c r="CG102" s="113"/>
      <c r="CH102" s="113"/>
      <c r="CI102" s="113"/>
      <c r="CJ102" s="113"/>
      <c r="CK102" s="113"/>
      <c r="CL102" s="113"/>
      <c r="CM102" s="113"/>
      <c r="CN102" s="113"/>
      <c r="CO102" s="113"/>
      <c r="CP102" s="113"/>
      <c r="CQ102" s="113"/>
      <c r="CR102" s="113"/>
      <c r="CS102" s="113"/>
      <c r="CT102" s="113"/>
      <c r="CU102" s="113"/>
      <c r="CV102" s="113"/>
      <c r="CW102" s="113"/>
      <c r="CX102" s="113"/>
      <c r="CY102" s="113"/>
      <c r="CZ102" s="113"/>
      <c r="DA102" s="113"/>
      <c r="DB102" s="113"/>
      <c r="DC102" s="113"/>
      <c r="DD102" s="113"/>
      <c r="DE102" s="113"/>
      <c r="DF102" s="113"/>
      <c r="DG102" s="113"/>
      <c r="DH102" s="113"/>
      <c r="DI102" s="113"/>
      <c r="DJ102" s="113"/>
      <c r="DK102" s="113"/>
      <c r="DL102" s="113"/>
      <c r="DM102" s="113"/>
      <c r="DN102" s="113"/>
      <c r="DO102" s="113"/>
      <c r="DP102" s="113"/>
      <c r="DQ102" s="113"/>
      <c r="DR102" s="113"/>
      <c r="DS102" s="113"/>
      <c r="DT102" s="113"/>
      <c r="DU102" s="113"/>
      <c r="DV102" s="113"/>
      <c r="DW102" s="113"/>
      <c r="DX102" s="113"/>
      <c r="DY102" s="113"/>
      <c r="DZ102" s="113"/>
      <c r="EA102" s="113"/>
      <c r="EB102" s="113"/>
      <c r="EC102" s="113"/>
      <c r="ED102" s="113"/>
      <c r="EE102" s="113"/>
      <c r="EF102" s="113"/>
      <c r="EG102" s="113"/>
      <c r="EH102" s="113"/>
      <c r="EI102" s="113"/>
      <c r="EJ102" s="113"/>
      <c r="EK102" s="113"/>
      <c r="EL102" s="113"/>
      <c r="EM102" s="113"/>
      <c r="EN102" s="113"/>
      <c r="EO102" s="113"/>
      <c r="EP102" s="113"/>
      <c r="EQ102" s="113"/>
      <c r="ER102" s="113"/>
      <c r="ES102" s="113"/>
      <c r="ET102" s="113"/>
      <c r="EU102" s="113"/>
      <c r="EV102" s="113"/>
      <c r="EW102" s="113"/>
      <c r="EX102" s="113"/>
      <c r="EY102" s="113"/>
      <c r="EZ102" s="113"/>
      <c r="FA102" s="113"/>
      <c r="FB102" s="113"/>
      <c r="FC102" s="113"/>
      <c r="FD102" s="113"/>
      <c r="FE102" s="113"/>
      <c r="FF102" s="113"/>
      <c r="FG102" s="113"/>
      <c r="FH102" s="113"/>
      <c r="FI102" s="113"/>
      <c r="FJ102" s="113"/>
      <c r="FK102" s="113"/>
      <c r="FL102" s="113"/>
      <c r="FM102" s="113"/>
      <c r="FN102" s="113"/>
      <c r="FO102" s="113"/>
      <c r="FP102" s="113"/>
      <c r="FQ102" s="113"/>
      <c r="FR102" s="113"/>
      <c r="FS102" s="113"/>
      <c r="FT102" s="113"/>
      <c r="FU102" s="113"/>
      <c r="FV102" s="113"/>
      <c r="FW102" s="113"/>
      <c r="FX102" s="113"/>
      <c r="FY102" s="113"/>
      <c r="FZ102" s="113"/>
      <c r="GA102" s="113"/>
      <c r="GB102" s="113"/>
      <c r="GC102" s="113"/>
      <c r="GD102" s="113"/>
      <c r="GE102" s="113"/>
      <c r="GF102" s="113"/>
      <c r="GG102" s="113"/>
      <c r="GH102" s="113"/>
      <c r="GI102" s="113"/>
      <c r="GJ102" s="113"/>
      <c r="GK102" s="113"/>
      <c r="GL102" s="113"/>
      <c r="GM102" s="113"/>
      <c r="GN102" s="113"/>
      <c r="GO102" s="113"/>
      <c r="GP102" s="113"/>
      <c r="GQ102" s="113"/>
      <c r="GR102" s="113"/>
      <c r="GS102" s="113"/>
      <c r="GT102" s="113"/>
      <c r="GU102" s="113"/>
      <c r="GV102" s="113"/>
      <c r="GW102" s="113"/>
      <c r="GX102" s="113"/>
      <c r="GY102" s="113"/>
      <c r="GZ102" s="113"/>
      <c r="HA102" s="113"/>
      <c r="HB102" s="113"/>
      <c r="HC102" s="113"/>
      <c r="HD102" s="113"/>
      <c r="HE102" s="113"/>
      <c r="HF102" s="113"/>
      <c r="HG102" s="113"/>
      <c r="HH102" s="113"/>
      <c r="HI102" s="113"/>
      <c r="HJ102" s="113"/>
      <c r="HK102" s="113"/>
      <c r="HL102" s="113"/>
      <c r="HM102" s="113"/>
      <c r="HN102" s="113"/>
      <c r="HO102" s="113"/>
      <c r="HP102" s="113"/>
      <c r="HQ102" s="113"/>
      <c r="HR102" s="113"/>
      <c r="HS102" s="113"/>
      <c r="HT102" s="113"/>
      <c r="HU102" s="113"/>
      <c r="HV102" s="113"/>
      <c r="HW102" s="113"/>
      <c r="HX102" s="113"/>
      <c r="HY102" s="113"/>
      <c r="HZ102" s="113"/>
      <c r="IA102" s="113"/>
      <c r="IB102" s="113"/>
      <c r="IC102" s="113"/>
      <c r="ID102" s="113"/>
      <c r="IE102" s="113"/>
      <c r="IF102" s="113"/>
      <c r="IG102" s="113"/>
      <c r="IH102" s="113"/>
      <c r="II102" s="113"/>
      <c r="IJ102" s="113"/>
      <c r="IK102" s="113"/>
      <c r="IL102" s="113"/>
      <c r="IM102" s="113"/>
      <c r="IN102" s="113"/>
      <c r="IO102" s="113"/>
      <c r="IP102" s="113"/>
      <c r="IQ102" s="113"/>
      <c r="IR102" s="113"/>
      <c r="IS102" s="113"/>
      <c r="IT102" s="113"/>
      <c r="IU102" s="113"/>
      <c r="IV102" s="113"/>
      <c r="IW102" s="113"/>
    </row>
    <row r="103" customFormat="false" ht="12.75" hidden="false" customHeight="false" outlineLevel="0" collapsed="false">
      <c r="A103" s="15" t="s">
        <v>217</v>
      </c>
      <c r="B103" s="16" t="s">
        <v>24</v>
      </c>
      <c r="C103" s="16" t="s">
        <v>317</v>
      </c>
      <c r="D103" s="17" t="n">
        <v>36526</v>
      </c>
      <c r="E103" s="17" t="n">
        <v>36556</v>
      </c>
      <c r="F103" s="15" t="s">
        <v>256</v>
      </c>
      <c r="G103" s="15" t="s">
        <v>343</v>
      </c>
      <c r="H103" s="16"/>
      <c r="I103" s="19" t="n">
        <v>0.2216</v>
      </c>
      <c r="J103" s="20" t="n">
        <v>0</v>
      </c>
      <c r="K103" s="20" t="n">
        <v>0</v>
      </c>
      <c r="L103" s="20" t="n">
        <v>0</v>
      </c>
      <c r="M103" s="20" t="n">
        <v>0</v>
      </c>
      <c r="N103" s="21" t="n">
        <v>0.0244</v>
      </c>
      <c r="O103" s="20" t="n">
        <f aca="false">SUM(I103:M103)</f>
        <v>0.2216</v>
      </c>
      <c r="P103" s="22" t="n">
        <v>504</v>
      </c>
      <c r="Q103" s="16" t="n">
        <v>28970</v>
      </c>
      <c r="R103" s="15"/>
      <c r="S103" s="151" t="n">
        <f aca="false">I103*I$1*Q103</f>
        <v>199012.312</v>
      </c>
      <c r="T103" s="23"/>
      <c r="U103" s="24" t="n">
        <v>142770</v>
      </c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2.75" hidden="false" customHeight="false" outlineLevel="0" collapsed="false">
      <c r="A104" s="15" t="s">
        <v>217</v>
      </c>
      <c r="B104" s="16" t="s">
        <v>24</v>
      </c>
      <c r="C104" s="16" t="s">
        <v>317</v>
      </c>
      <c r="D104" s="17" t="n">
        <v>36526</v>
      </c>
      <c r="E104" s="17" t="n">
        <v>36556</v>
      </c>
      <c r="F104" s="15" t="s">
        <v>256</v>
      </c>
      <c r="G104" s="15" t="s">
        <v>343</v>
      </c>
      <c r="H104" s="16"/>
      <c r="I104" s="19" t="n">
        <v>0.2216</v>
      </c>
      <c r="J104" s="20" t="n">
        <v>0</v>
      </c>
      <c r="K104" s="20" t="n">
        <v>0</v>
      </c>
      <c r="L104" s="20" t="n">
        <v>0</v>
      </c>
      <c r="M104" s="20" t="n">
        <v>0</v>
      </c>
      <c r="N104" s="21" t="n">
        <v>0.0244</v>
      </c>
      <c r="O104" s="20" t="n">
        <f aca="false">SUM(I104:M104)</f>
        <v>0.2216</v>
      </c>
      <c r="P104" s="22" t="n">
        <v>507</v>
      </c>
      <c r="Q104" s="16" t="n">
        <v>4284</v>
      </c>
      <c r="R104" s="15"/>
      <c r="S104" s="151" t="n">
        <f aca="false">I104*I$1*Q104</f>
        <v>29429.3664</v>
      </c>
      <c r="T104" s="23"/>
      <c r="U104" s="24" t="n">
        <v>142775</v>
      </c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false" customHeight="false" outlineLevel="0" collapsed="false">
      <c r="A105" s="15" t="s">
        <v>347</v>
      </c>
      <c r="B105" s="16" t="s">
        <v>24</v>
      </c>
      <c r="C105" s="16" t="s">
        <v>317</v>
      </c>
      <c r="D105" s="17" t="n">
        <v>36651</v>
      </c>
      <c r="E105" s="17" t="n">
        <v>36830</v>
      </c>
      <c r="F105" s="15" t="n">
        <v>500</v>
      </c>
      <c r="G105" s="15" t="n">
        <v>2037</v>
      </c>
      <c r="H105" s="16"/>
      <c r="I105" s="19" t="n">
        <f aca="false">5.37/I$1</f>
        <v>0.173225806451613</v>
      </c>
      <c r="J105" s="20"/>
      <c r="K105" s="20"/>
      <c r="L105" s="20"/>
      <c r="M105" s="20"/>
      <c r="N105" s="21"/>
      <c r="O105" s="20"/>
      <c r="P105" s="22"/>
      <c r="Q105" s="16" t="n">
        <v>-1</v>
      </c>
      <c r="R105" s="15"/>
      <c r="S105" s="151" t="n">
        <f aca="false">I105*I$1*Q105</f>
        <v>-5.37</v>
      </c>
      <c r="T105" s="23"/>
      <c r="U105" s="24" t="n">
        <v>260848</v>
      </c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A106" s="38" t="s">
        <v>217</v>
      </c>
      <c r="B106" s="104" t="s">
        <v>24</v>
      </c>
      <c r="C106" s="104" t="s">
        <v>317</v>
      </c>
      <c r="D106" s="105" t="n">
        <v>36526</v>
      </c>
      <c r="E106" s="105" t="n">
        <v>36830</v>
      </c>
      <c r="F106" s="38" t="s">
        <v>256</v>
      </c>
      <c r="G106" s="38" t="s">
        <v>343</v>
      </c>
      <c r="H106" s="104"/>
      <c r="I106" s="106" t="n">
        <f aca="false">5.29/I1</f>
        <v>0.170645161290323</v>
      </c>
      <c r="J106" s="107" t="n">
        <v>0</v>
      </c>
      <c r="K106" s="107" t="n">
        <v>0</v>
      </c>
      <c r="L106" s="107" t="n">
        <v>0</v>
      </c>
      <c r="M106" s="107" t="n">
        <v>0</v>
      </c>
      <c r="N106" s="152" t="n">
        <v>0.0244</v>
      </c>
      <c r="O106" s="107" t="n">
        <f aca="false">SUM(I106:M106)</f>
        <v>0.170645161290323</v>
      </c>
      <c r="P106" s="109" t="n">
        <v>2043</v>
      </c>
      <c r="Q106" s="104" t="n">
        <v>5281</v>
      </c>
      <c r="R106" s="38"/>
      <c r="S106" s="153" t="n">
        <f aca="false">I106*I$1*Q106</f>
        <v>27936.49</v>
      </c>
      <c r="T106" s="110"/>
      <c r="U106" s="112" t="n">
        <v>142778</v>
      </c>
      <c r="V106" s="112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3"/>
      <c r="CH106" s="113"/>
      <c r="CI106" s="113"/>
      <c r="CJ106" s="113"/>
      <c r="CK106" s="113"/>
      <c r="CL106" s="113"/>
      <c r="CM106" s="113"/>
      <c r="CN106" s="113"/>
      <c r="CO106" s="113"/>
      <c r="CP106" s="113"/>
      <c r="CQ106" s="113"/>
      <c r="CR106" s="113"/>
      <c r="CS106" s="113"/>
      <c r="CT106" s="113"/>
      <c r="CU106" s="113"/>
      <c r="CV106" s="113"/>
      <c r="CW106" s="113"/>
      <c r="CX106" s="113"/>
      <c r="CY106" s="113"/>
      <c r="CZ106" s="113"/>
      <c r="DA106" s="113"/>
      <c r="DB106" s="113"/>
      <c r="DC106" s="113"/>
      <c r="DD106" s="113"/>
      <c r="DE106" s="113"/>
      <c r="DF106" s="113"/>
      <c r="DG106" s="113"/>
      <c r="DH106" s="113"/>
      <c r="DI106" s="113"/>
      <c r="DJ106" s="113"/>
      <c r="DK106" s="113"/>
      <c r="DL106" s="113"/>
      <c r="DM106" s="113"/>
      <c r="DN106" s="113"/>
      <c r="DO106" s="113"/>
      <c r="DP106" s="113"/>
      <c r="DQ106" s="113"/>
      <c r="DR106" s="113"/>
      <c r="DS106" s="113"/>
      <c r="DT106" s="113"/>
      <c r="DU106" s="113"/>
      <c r="DV106" s="113"/>
      <c r="DW106" s="113"/>
      <c r="DX106" s="113"/>
      <c r="DY106" s="113"/>
      <c r="DZ106" s="113"/>
      <c r="EA106" s="113"/>
      <c r="EB106" s="113"/>
      <c r="EC106" s="113"/>
      <c r="ED106" s="113"/>
      <c r="EE106" s="113"/>
      <c r="EF106" s="113"/>
      <c r="EG106" s="113"/>
      <c r="EH106" s="113"/>
      <c r="EI106" s="113"/>
      <c r="EJ106" s="113"/>
      <c r="EK106" s="113"/>
      <c r="EL106" s="113"/>
      <c r="EM106" s="113"/>
      <c r="EN106" s="113"/>
      <c r="EO106" s="113"/>
      <c r="EP106" s="113"/>
      <c r="EQ106" s="113"/>
      <c r="ER106" s="113"/>
      <c r="ES106" s="113"/>
      <c r="ET106" s="113"/>
      <c r="EU106" s="113"/>
      <c r="EV106" s="113"/>
      <c r="EW106" s="113"/>
      <c r="EX106" s="113"/>
      <c r="EY106" s="113"/>
      <c r="EZ106" s="113"/>
      <c r="FA106" s="113"/>
      <c r="FB106" s="113"/>
      <c r="FC106" s="113"/>
      <c r="FD106" s="113"/>
      <c r="FE106" s="113"/>
      <c r="FF106" s="113"/>
      <c r="FG106" s="113"/>
      <c r="FH106" s="113"/>
      <c r="FI106" s="113"/>
      <c r="FJ106" s="113"/>
      <c r="FK106" s="113"/>
      <c r="FL106" s="113"/>
      <c r="FM106" s="113"/>
      <c r="FN106" s="113"/>
      <c r="FO106" s="113"/>
      <c r="FP106" s="113"/>
      <c r="FQ106" s="113"/>
      <c r="FR106" s="113"/>
      <c r="FS106" s="113"/>
      <c r="FT106" s="113"/>
      <c r="FU106" s="113"/>
      <c r="FV106" s="113"/>
      <c r="FW106" s="113"/>
      <c r="FX106" s="113"/>
      <c r="FY106" s="113"/>
      <c r="FZ106" s="113"/>
      <c r="GA106" s="113"/>
      <c r="GB106" s="113"/>
      <c r="GC106" s="113"/>
      <c r="GD106" s="113"/>
      <c r="GE106" s="113"/>
      <c r="GF106" s="113"/>
      <c r="GG106" s="113"/>
      <c r="GH106" s="113"/>
      <c r="GI106" s="113"/>
      <c r="GJ106" s="113"/>
      <c r="GK106" s="113"/>
      <c r="GL106" s="113"/>
      <c r="GM106" s="113"/>
      <c r="GN106" s="113"/>
      <c r="GO106" s="113"/>
      <c r="GP106" s="113"/>
      <c r="GQ106" s="113"/>
      <c r="GR106" s="113"/>
      <c r="GS106" s="113"/>
      <c r="GT106" s="113"/>
      <c r="GU106" s="113"/>
      <c r="GV106" s="113"/>
      <c r="GW106" s="113"/>
      <c r="GX106" s="113"/>
      <c r="GY106" s="113"/>
      <c r="GZ106" s="113"/>
      <c r="HA106" s="113"/>
      <c r="HB106" s="113"/>
      <c r="HC106" s="113"/>
      <c r="HD106" s="113"/>
      <c r="HE106" s="113"/>
      <c r="HF106" s="113"/>
      <c r="HG106" s="113"/>
      <c r="HH106" s="113"/>
      <c r="HI106" s="113"/>
      <c r="HJ106" s="113"/>
      <c r="HK106" s="113"/>
      <c r="HL106" s="113"/>
      <c r="HM106" s="113"/>
      <c r="HN106" s="113"/>
      <c r="HO106" s="113"/>
      <c r="HP106" s="113"/>
      <c r="HQ106" s="113"/>
      <c r="HR106" s="113"/>
      <c r="HS106" s="113"/>
      <c r="HT106" s="113"/>
      <c r="HU106" s="113"/>
      <c r="HV106" s="113"/>
      <c r="HW106" s="113"/>
      <c r="HX106" s="113"/>
      <c r="HY106" s="113"/>
      <c r="HZ106" s="113"/>
      <c r="IA106" s="113"/>
      <c r="IB106" s="113"/>
      <c r="IC106" s="113"/>
      <c r="ID106" s="113"/>
      <c r="IE106" s="113"/>
      <c r="IF106" s="113"/>
      <c r="IG106" s="113"/>
      <c r="IH106" s="113"/>
      <c r="II106" s="113"/>
      <c r="IJ106" s="113"/>
      <c r="IK106" s="113"/>
      <c r="IL106" s="113"/>
      <c r="IM106" s="113"/>
      <c r="IN106" s="113"/>
      <c r="IO106" s="113"/>
      <c r="IP106" s="113"/>
      <c r="IQ106" s="113"/>
      <c r="IR106" s="113"/>
      <c r="IS106" s="113"/>
      <c r="IT106" s="113"/>
      <c r="IU106" s="113"/>
      <c r="IV106" s="113"/>
      <c r="IW106" s="113"/>
    </row>
    <row r="107" customFormat="false" ht="12.75" hidden="false" customHeight="false" outlineLevel="0" collapsed="false">
      <c r="A107" s="38" t="s">
        <v>217</v>
      </c>
      <c r="B107" s="104" t="s">
        <v>24</v>
      </c>
      <c r="C107" s="104" t="s">
        <v>317</v>
      </c>
      <c r="D107" s="105" t="n">
        <v>36526</v>
      </c>
      <c r="E107" s="105" t="n">
        <v>36830</v>
      </c>
      <c r="F107" s="38" t="s">
        <v>256</v>
      </c>
      <c r="G107" s="38" t="s">
        <v>343</v>
      </c>
      <c r="H107" s="104"/>
      <c r="I107" s="106"/>
      <c r="J107" s="107" t="n">
        <v>0</v>
      </c>
      <c r="K107" s="107" t="n">
        <v>0</v>
      </c>
      <c r="L107" s="107" t="n">
        <v>0</v>
      </c>
      <c r="M107" s="107" t="n">
        <v>0</v>
      </c>
      <c r="N107" s="152" t="n">
        <v>0.0244</v>
      </c>
      <c r="O107" s="107" t="n">
        <f aca="false">SUM(I107:M107)</f>
        <v>0</v>
      </c>
      <c r="P107" s="109" t="n">
        <v>1996</v>
      </c>
      <c r="Q107" s="104"/>
      <c r="R107" s="38"/>
      <c r="S107" s="153" t="n">
        <v>31690.62</v>
      </c>
      <c r="T107" s="110"/>
      <c r="U107" s="112" t="n">
        <v>145882</v>
      </c>
      <c r="V107" s="112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  <c r="CJ107" s="113"/>
      <c r="CK107" s="113"/>
      <c r="CL107" s="113"/>
      <c r="CM107" s="113"/>
      <c r="CN107" s="113"/>
      <c r="CO107" s="113"/>
      <c r="CP107" s="113"/>
      <c r="CQ107" s="113"/>
      <c r="CR107" s="113"/>
      <c r="CS107" s="113"/>
      <c r="CT107" s="113"/>
      <c r="CU107" s="113"/>
      <c r="CV107" s="113"/>
      <c r="CW107" s="113"/>
      <c r="CX107" s="113"/>
      <c r="CY107" s="113"/>
      <c r="CZ107" s="113"/>
      <c r="DA107" s="113"/>
      <c r="DB107" s="113"/>
      <c r="DC107" s="113"/>
      <c r="DD107" s="113"/>
      <c r="DE107" s="113"/>
      <c r="DF107" s="113"/>
      <c r="DG107" s="113"/>
      <c r="DH107" s="113"/>
      <c r="DI107" s="113"/>
      <c r="DJ107" s="113"/>
      <c r="DK107" s="113"/>
      <c r="DL107" s="113"/>
      <c r="DM107" s="113"/>
      <c r="DN107" s="113"/>
      <c r="DO107" s="113"/>
      <c r="DP107" s="113"/>
      <c r="DQ107" s="113"/>
      <c r="DR107" s="113"/>
      <c r="DS107" s="113"/>
      <c r="DT107" s="113"/>
      <c r="DU107" s="113"/>
      <c r="DV107" s="113"/>
      <c r="DW107" s="113"/>
      <c r="DX107" s="113"/>
      <c r="DY107" s="113"/>
      <c r="DZ107" s="113"/>
      <c r="EA107" s="113"/>
      <c r="EB107" s="113"/>
      <c r="EC107" s="113"/>
      <c r="ED107" s="113"/>
      <c r="EE107" s="113"/>
      <c r="EF107" s="113"/>
      <c r="EG107" s="113"/>
      <c r="EH107" s="113"/>
      <c r="EI107" s="113"/>
      <c r="EJ107" s="113"/>
      <c r="EK107" s="113"/>
      <c r="EL107" s="113"/>
      <c r="EM107" s="113"/>
      <c r="EN107" s="113"/>
      <c r="EO107" s="113"/>
      <c r="EP107" s="113"/>
      <c r="EQ107" s="113"/>
      <c r="ER107" s="113"/>
      <c r="ES107" s="113"/>
      <c r="ET107" s="113"/>
      <c r="EU107" s="113"/>
      <c r="EV107" s="113"/>
      <c r="EW107" s="113"/>
      <c r="EX107" s="113"/>
      <c r="EY107" s="113"/>
      <c r="EZ107" s="113"/>
      <c r="FA107" s="113"/>
      <c r="FB107" s="113"/>
      <c r="FC107" s="113"/>
      <c r="FD107" s="113"/>
      <c r="FE107" s="113"/>
      <c r="FF107" s="113"/>
      <c r="FG107" s="113"/>
      <c r="FH107" s="113"/>
      <c r="FI107" s="113"/>
      <c r="FJ107" s="113"/>
      <c r="FK107" s="113"/>
      <c r="FL107" s="113"/>
      <c r="FM107" s="113"/>
      <c r="FN107" s="113"/>
      <c r="FO107" s="113"/>
      <c r="FP107" s="113"/>
      <c r="FQ107" s="113"/>
      <c r="FR107" s="113"/>
      <c r="FS107" s="113"/>
      <c r="FT107" s="113"/>
      <c r="FU107" s="113"/>
      <c r="FV107" s="113"/>
      <c r="FW107" s="113"/>
      <c r="FX107" s="113"/>
      <c r="FY107" s="113"/>
      <c r="FZ107" s="113"/>
      <c r="GA107" s="113"/>
      <c r="GB107" s="113"/>
      <c r="GC107" s="113"/>
      <c r="GD107" s="113"/>
      <c r="GE107" s="113"/>
      <c r="GF107" s="113"/>
      <c r="GG107" s="113"/>
      <c r="GH107" s="113"/>
      <c r="GI107" s="113"/>
      <c r="GJ107" s="113"/>
      <c r="GK107" s="113"/>
      <c r="GL107" s="113"/>
      <c r="GM107" s="113"/>
      <c r="GN107" s="113"/>
      <c r="GO107" s="113"/>
      <c r="GP107" s="113"/>
      <c r="GQ107" s="113"/>
      <c r="GR107" s="113"/>
      <c r="GS107" s="113"/>
      <c r="GT107" s="113"/>
      <c r="GU107" s="113"/>
      <c r="GV107" s="113"/>
      <c r="GW107" s="113"/>
      <c r="GX107" s="113"/>
      <c r="GY107" s="113"/>
      <c r="GZ107" s="113"/>
      <c r="HA107" s="113"/>
      <c r="HB107" s="113"/>
      <c r="HC107" s="113"/>
      <c r="HD107" s="113"/>
      <c r="HE107" s="113"/>
      <c r="HF107" s="113"/>
      <c r="HG107" s="113"/>
      <c r="HH107" s="113"/>
      <c r="HI107" s="113"/>
      <c r="HJ107" s="113"/>
      <c r="HK107" s="113"/>
      <c r="HL107" s="113"/>
      <c r="HM107" s="113"/>
      <c r="HN107" s="113"/>
      <c r="HO107" s="113"/>
      <c r="HP107" s="113"/>
      <c r="HQ107" s="113"/>
      <c r="HR107" s="113"/>
      <c r="HS107" s="113"/>
      <c r="HT107" s="113"/>
      <c r="HU107" s="113"/>
      <c r="HV107" s="113"/>
      <c r="HW107" s="113"/>
      <c r="HX107" s="113"/>
      <c r="HY107" s="113"/>
      <c r="HZ107" s="113"/>
      <c r="IA107" s="113"/>
      <c r="IB107" s="113"/>
      <c r="IC107" s="113"/>
      <c r="ID107" s="113"/>
      <c r="IE107" s="113"/>
      <c r="IF107" s="113"/>
      <c r="IG107" s="113"/>
      <c r="IH107" s="113"/>
      <c r="II107" s="113"/>
      <c r="IJ107" s="113"/>
      <c r="IK107" s="113"/>
      <c r="IL107" s="113"/>
      <c r="IM107" s="113"/>
      <c r="IN107" s="113"/>
      <c r="IO107" s="113"/>
      <c r="IP107" s="113"/>
      <c r="IQ107" s="113"/>
      <c r="IR107" s="113"/>
      <c r="IS107" s="113"/>
      <c r="IT107" s="113"/>
      <c r="IU107" s="113"/>
      <c r="IV107" s="113"/>
      <c r="IW107" s="113"/>
    </row>
    <row r="108" customFormat="false" ht="12.75" hidden="false" customHeight="false" outlineLevel="0" collapsed="false">
      <c r="A108" s="38" t="s">
        <v>217</v>
      </c>
      <c r="B108" s="104" t="s">
        <v>24</v>
      </c>
      <c r="C108" s="104" t="s">
        <v>317</v>
      </c>
      <c r="D108" s="105" t="n">
        <v>36526</v>
      </c>
      <c r="E108" s="105" t="n">
        <v>36830</v>
      </c>
      <c r="F108" s="38" t="s">
        <v>256</v>
      </c>
      <c r="G108" s="38" t="s">
        <v>343</v>
      </c>
      <c r="H108" s="104"/>
      <c r="I108" s="106"/>
      <c r="J108" s="107" t="n">
        <v>0</v>
      </c>
      <c r="K108" s="107" t="n">
        <v>0</v>
      </c>
      <c r="L108" s="107" t="n">
        <v>0</v>
      </c>
      <c r="M108" s="107" t="n">
        <v>0</v>
      </c>
      <c r="N108" s="152" t="n">
        <v>0.0244</v>
      </c>
      <c r="O108" s="107" t="n">
        <f aca="false">SUM(I108:M108)</f>
        <v>0</v>
      </c>
      <c r="P108" s="109" t="n">
        <v>1995</v>
      </c>
      <c r="Q108" s="104"/>
      <c r="R108" s="38"/>
      <c r="S108" s="153" t="n">
        <v>11740.03</v>
      </c>
      <c r="T108" s="110"/>
      <c r="U108" s="112" t="n">
        <v>145881</v>
      </c>
      <c r="V108" s="112"/>
      <c r="W108" s="113"/>
      <c r="X108" s="113" t="n">
        <v>1</v>
      </c>
      <c r="Y108" s="113" t="n">
        <v>2</v>
      </c>
      <c r="Z108" s="113" t="n">
        <v>3</v>
      </c>
      <c r="AA108" s="113" t="n">
        <v>4</v>
      </c>
      <c r="AB108" s="113" t="n">
        <v>5</v>
      </c>
      <c r="AC108" s="113" t="n">
        <v>6</v>
      </c>
      <c r="AD108" s="113" t="n">
        <v>7</v>
      </c>
      <c r="AE108" s="113" t="n">
        <v>8</v>
      </c>
      <c r="AF108" s="113" t="n">
        <v>9</v>
      </c>
      <c r="AG108" s="113" t="n">
        <v>10</v>
      </c>
      <c r="AH108" s="113" t="n">
        <v>11</v>
      </c>
      <c r="AI108" s="113" t="n">
        <v>12</v>
      </c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113"/>
      <c r="CI108" s="113"/>
      <c r="CJ108" s="113"/>
      <c r="CK108" s="113"/>
      <c r="CL108" s="113"/>
      <c r="CM108" s="113"/>
      <c r="CN108" s="113"/>
      <c r="CO108" s="113"/>
      <c r="CP108" s="113"/>
      <c r="CQ108" s="113"/>
      <c r="CR108" s="113"/>
      <c r="CS108" s="113"/>
      <c r="CT108" s="113"/>
      <c r="CU108" s="113"/>
      <c r="CV108" s="113"/>
      <c r="CW108" s="113"/>
      <c r="CX108" s="113"/>
      <c r="CY108" s="113"/>
      <c r="CZ108" s="113"/>
      <c r="DA108" s="113"/>
      <c r="DB108" s="113"/>
      <c r="DC108" s="113"/>
      <c r="DD108" s="113"/>
      <c r="DE108" s="113"/>
      <c r="DF108" s="113"/>
      <c r="DG108" s="113"/>
      <c r="DH108" s="113"/>
      <c r="DI108" s="113"/>
      <c r="DJ108" s="113"/>
      <c r="DK108" s="113"/>
      <c r="DL108" s="113"/>
      <c r="DM108" s="113"/>
      <c r="DN108" s="113"/>
      <c r="DO108" s="113"/>
      <c r="DP108" s="113"/>
      <c r="DQ108" s="113"/>
      <c r="DR108" s="113"/>
      <c r="DS108" s="113"/>
      <c r="DT108" s="113"/>
      <c r="DU108" s="113"/>
      <c r="DV108" s="113"/>
      <c r="DW108" s="113"/>
      <c r="DX108" s="113"/>
      <c r="DY108" s="113"/>
      <c r="DZ108" s="113"/>
      <c r="EA108" s="113"/>
      <c r="EB108" s="113"/>
      <c r="EC108" s="113"/>
      <c r="ED108" s="113"/>
      <c r="EE108" s="113"/>
      <c r="EF108" s="113"/>
      <c r="EG108" s="113"/>
      <c r="EH108" s="113"/>
      <c r="EI108" s="113"/>
      <c r="EJ108" s="113"/>
      <c r="EK108" s="113"/>
      <c r="EL108" s="113"/>
      <c r="EM108" s="113"/>
      <c r="EN108" s="113"/>
      <c r="EO108" s="113"/>
      <c r="EP108" s="113"/>
      <c r="EQ108" s="113"/>
      <c r="ER108" s="113"/>
      <c r="ES108" s="113"/>
      <c r="ET108" s="113"/>
      <c r="EU108" s="113"/>
      <c r="EV108" s="113"/>
      <c r="EW108" s="113"/>
      <c r="EX108" s="113"/>
      <c r="EY108" s="113"/>
      <c r="EZ108" s="113"/>
      <c r="FA108" s="113"/>
      <c r="FB108" s="113"/>
      <c r="FC108" s="113"/>
      <c r="FD108" s="113"/>
      <c r="FE108" s="113"/>
      <c r="FF108" s="113"/>
      <c r="FG108" s="113"/>
      <c r="FH108" s="113"/>
      <c r="FI108" s="113"/>
      <c r="FJ108" s="113"/>
      <c r="FK108" s="113"/>
      <c r="FL108" s="113"/>
      <c r="FM108" s="113"/>
      <c r="FN108" s="113"/>
      <c r="FO108" s="113"/>
      <c r="FP108" s="113"/>
      <c r="FQ108" s="113"/>
      <c r="FR108" s="113"/>
      <c r="FS108" s="113"/>
      <c r="FT108" s="113"/>
      <c r="FU108" s="113"/>
      <c r="FV108" s="113"/>
      <c r="FW108" s="113"/>
      <c r="FX108" s="113"/>
      <c r="FY108" s="113"/>
      <c r="FZ108" s="113"/>
      <c r="GA108" s="113"/>
      <c r="GB108" s="113"/>
      <c r="GC108" s="113"/>
      <c r="GD108" s="113"/>
      <c r="GE108" s="113"/>
      <c r="GF108" s="113"/>
      <c r="GG108" s="113"/>
      <c r="GH108" s="113"/>
      <c r="GI108" s="113"/>
      <c r="GJ108" s="113"/>
      <c r="GK108" s="113"/>
      <c r="GL108" s="113"/>
      <c r="GM108" s="113"/>
      <c r="GN108" s="113"/>
      <c r="GO108" s="113"/>
      <c r="GP108" s="113"/>
      <c r="GQ108" s="113"/>
      <c r="GR108" s="113"/>
      <c r="GS108" s="113"/>
      <c r="GT108" s="113"/>
      <c r="GU108" s="113"/>
      <c r="GV108" s="113"/>
      <c r="GW108" s="113"/>
      <c r="GX108" s="113"/>
      <c r="GY108" s="113"/>
      <c r="GZ108" s="113"/>
      <c r="HA108" s="113"/>
      <c r="HB108" s="113"/>
      <c r="HC108" s="113"/>
      <c r="HD108" s="113"/>
      <c r="HE108" s="113"/>
      <c r="HF108" s="113"/>
      <c r="HG108" s="113"/>
      <c r="HH108" s="113"/>
      <c r="HI108" s="113"/>
      <c r="HJ108" s="113"/>
      <c r="HK108" s="113"/>
      <c r="HL108" s="113"/>
      <c r="HM108" s="113"/>
      <c r="HN108" s="113"/>
      <c r="HO108" s="113"/>
      <c r="HP108" s="113"/>
      <c r="HQ108" s="113"/>
      <c r="HR108" s="113"/>
      <c r="HS108" s="113"/>
      <c r="HT108" s="113"/>
      <c r="HU108" s="113"/>
      <c r="HV108" s="113"/>
      <c r="HW108" s="113"/>
      <c r="HX108" s="113"/>
      <c r="HY108" s="113"/>
      <c r="HZ108" s="113"/>
      <c r="IA108" s="113"/>
      <c r="IB108" s="113"/>
      <c r="IC108" s="113"/>
      <c r="ID108" s="113"/>
      <c r="IE108" s="113"/>
      <c r="IF108" s="113"/>
      <c r="IG108" s="113"/>
      <c r="IH108" s="113"/>
      <c r="II108" s="113"/>
      <c r="IJ108" s="113"/>
      <c r="IK108" s="113"/>
      <c r="IL108" s="113"/>
      <c r="IM108" s="113"/>
      <c r="IN108" s="113"/>
      <c r="IO108" s="113"/>
      <c r="IP108" s="113"/>
      <c r="IQ108" s="113"/>
      <c r="IR108" s="113"/>
      <c r="IS108" s="113"/>
      <c r="IT108" s="113"/>
      <c r="IU108" s="113"/>
      <c r="IV108" s="113"/>
      <c r="IW108" s="113"/>
    </row>
    <row r="109" customFormat="false" ht="12.75" hidden="false" customHeight="false" outlineLevel="0" collapsed="false">
      <c r="A109" s="38" t="s">
        <v>217</v>
      </c>
      <c r="B109" s="104" t="s">
        <v>24</v>
      </c>
      <c r="C109" s="104" t="s">
        <v>348</v>
      </c>
      <c r="D109" s="105" t="n">
        <v>36526</v>
      </c>
      <c r="E109" s="105" t="n">
        <v>36556</v>
      </c>
      <c r="F109" s="38" t="s">
        <v>256</v>
      </c>
      <c r="G109" s="38" t="s">
        <v>343</v>
      </c>
      <c r="H109" s="104"/>
      <c r="I109" s="106" t="n">
        <v>0.2216</v>
      </c>
      <c r="J109" s="107" t="n">
        <v>0</v>
      </c>
      <c r="K109" s="107" t="n">
        <v>0</v>
      </c>
      <c r="L109" s="107" t="n">
        <v>0</v>
      </c>
      <c r="M109" s="107" t="n">
        <v>0</v>
      </c>
      <c r="N109" s="152" t="n">
        <v>0.0244</v>
      </c>
      <c r="O109" s="107" t="n">
        <f aca="false">SUM(I109:M109)</f>
        <v>0.2216</v>
      </c>
      <c r="P109" s="109" t="n">
        <v>2156</v>
      </c>
      <c r="Q109" s="104" t="n">
        <f aca="false">VLOOKUP(X109,X108:AI109,$G$1)</f>
        <v>257</v>
      </c>
      <c r="R109" s="38" t="s">
        <v>349</v>
      </c>
      <c r="S109" s="153" t="n">
        <f aca="false">I109*I$1*Q109</f>
        <v>1765.4872</v>
      </c>
      <c r="T109" s="110"/>
      <c r="U109" s="112" t="n">
        <v>142767</v>
      </c>
      <c r="V109" s="112"/>
      <c r="W109" s="113"/>
      <c r="X109" s="113" t="n">
        <f aca="false">3778+914</f>
        <v>4692</v>
      </c>
      <c r="Y109" s="113" t="n">
        <f aca="false">3778+914</f>
        <v>4692</v>
      </c>
      <c r="Z109" s="113" t="n">
        <f aca="false">2920+796</f>
        <v>3716</v>
      </c>
      <c r="AA109" s="113" t="n">
        <f aca="false">2600+729</f>
        <v>3329</v>
      </c>
      <c r="AB109" s="113" t="n">
        <f aca="false">300+84+300+84</f>
        <v>768</v>
      </c>
      <c r="AC109" s="113" t="n">
        <f aca="false">200+56+0</f>
        <v>256</v>
      </c>
      <c r="AD109" s="113" t="n">
        <f aca="false">200+57+0</f>
        <v>257</v>
      </c>
      <c r="AE109" s="113" t="n">
        <f aca="false">200+57</f>
        <v>257</v>
      </c>
      <c r="AF109" s="113" t="n">
        <f aca="false">200+56</f>
        <v>256</v>
      </c>
      <c r="AG109" s="113" t="n">
        <f aca="false">1000+280</f>
        <v>1280</v>
      </c>
      <c r="AH109" s="113" t="n">
        <f aca="false">3778+914</f>
        <v>4692</v>
      </c>
      <c r="AI109" s="113" t="n">
        <f aca="false">3778+914</f>
        <v>4692</v>
      </c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  <c r="BZ109" s="113"/>
      <c r="CA109" s="113"/>
      <c r="CB109" s="113"/>
      <c r="CC109" s="113"/>
      <c r="CD109" s="113"/>
      <c r="CE109" s="113"/>
      <c r="CF109" s="113"/>
      <c r="CG109" s="113"/>
      <c r="CH109" s="113"/>
      <c r="CI109" s="113"/>
      <c r="CJ109" s="113"/>
      <c r="CK109" s="113"/>
      <c r="CL109" s="113"/>
      <c r="CM109" s="113"/>
      <c r="CN109" s="113"/>
      <c r="CO109" s="113"/>
      <c r="CP109" s="113"/>
      <c r="CQ109" s="113"/>
      <c r="CR109" s="113"/>
      <c r="CS109" s="113"/>
      <c r="CT109" s="113"/>
      <c r="CU109" s="113"/>
      <c r="CV109" s="113"/>
      <c r="CW109" s="113"/>
      <c r="CX109" s="113"/>
      <c r="CY109" s="113"/>
      <c r="CZ109" s="113"/>
      <c r="DA109" s="113"/>
      <c r="DB109" s="113"/>
      <c r="DC109" s="113"/>
      <c r="DD109" s="113"/>
      <c r="DE109" s="113"/>
      <c r="DF109" s="113"/>
      <c r="DG109" s="113"/>
      <c r="DH109" s="113"/>
      <c r="DI109" s="113"/>
      <c r="DJ109" s="113"/>
      <c r="DK109" s="113"/>
      <c r="DL109" s="113"/>
      <c r="DM109" s="113"/>
      <c r="DN109" s="113"/>
      <c r="DO109" s="113"/>
      <c r="DP109" s="113"/>
      <c r="DQ109" s="113"/>
      <c r="DR109" s="113"/>
      <c r="DS109" s="113"/>
      <c r="DT109" s="113"/>
      <c r="DU109" s="113"/>
      <c r="DV109" s="113"/>
      <c r="DW109" s="113"/>
      <c r="DX109" s="113"/>
      <c r="DY109" s="113"/>
      <c r="DZ109" s="113"/>
      <c r="EA109" s="113"/>
      <c r="EB109" s="113"/>
      <c r="EC109" s="113"/>
      <c r="ED109" s="113"/>
      <c r="EE109" s="113"/>
      <c r="EF109" s="113"/>
      <c r="EG109" s="113"/>
      <c r="EH109" s="113"/>
      <c r="EI109" s="113"/>
      <c r="EJ109" s="113"/>
      <c r="EK109" s="113"/>
      <c r="EL109" s="113"/>
      <c r="EM109" s="113"/>
      <c r="EN109" s="113"/>
      <c r="EO109" s="113"/>
      <c r="EP109" s="113"/>
      <c r="EQ109" s="113"/>
      <c r="ER109" s="113"/>
      <c r="ES109" s="113"/>
      <c r="ET109" s="113"/>
      <c r="EU109" s="113"/>
      <c r="EV109" s="113"/>
      <c r="EW109" s="113"/>
      <c r="EX109" s="113"/>
      <c r="EY109" s="113"/>
      <c r="EZ109" s="113"/>
      <c r="FA109" s="113"/>
      <c r="FB109" s="113"/>
      <c r="FC109" s="113"/>
      <c r="FD109" s="113"/>
      <c r="FE109" s="113"/>
      <c r="FF109" s="113"/>
      <c r="FG109" s="113"/>
      <c r="FH109" s="113"/>
      <c r="FI109" s="113"/>
      <c r="FJ109" s="113"/>
      <c r="FK109" s="113"/>
      <c r="FL109" s="113"/>
      <c r="FM109" s="113"/>
      <c r="FN109" s="113"/>
      <c r="FO109" s="113"/>
      <c r="FP109" s="113"/>
      <c r="FQ109" s="113"/>
      <c r="FR109" s="113"/>
      <c r="FS109" s="113"/>
      <c r="FT109" s="113"/>
      <c r="FU109" s="113"/>
      <c r="FV109" s="113"/>
      <c r="FW109" s="113"/>
      <c r="FX109" s="113"/>
      <c r="FY109" s="113"/>
      <c r="FZ109" s="113"/>
      <c r="GA109" s="113"/>
      <c r="GB109" s="113"/>
      <c r="GC109" s="113"/>
      <c r="GD109" s="113"/>
      <c r="GE109" s="113"/>
      <c r="GF109" s="113"/>
      <c r="GG109" s="113"/>
      <c r="GH109" s="113"/>
      <c r="GI109" s="113"/>
      <c r="GJ109" s="113"/>
      <c r="GK109" s="113"/>
      <c r="GL109" s="113"/>
      <c r="GM109" s="113"/>
      <c r="GN109" s="113"/>
      <c r="GO109" s="113"/>
      <c r="GP109" s="113"/>
      <c r="GQ109" s="113"/>
      <c r="GR109" s="113"/>
      <c r="GS109" s="113"/>
      <c r="GT109" s="113"/>
      <c r="GU109" s="113"/>
      <c r="GV109" s="113"/>
      <c r="GW109" s="113"/>
      <c r="GX109" s="113"/>
      <c r="GY109" s="113"/>
      <c r="GZ109" s="113"/>
      <c r="HA109" s="113"/>
      <c r="HB109" s="113"/>
      <c r="HC109" s="113"/>
      <c r="HD109" s="113"/>
      <c r="HE109" s="113"/>
      <c r="HF109" s="113"/>
      <c r="HG109" s="113"/>
      <c r="HH109" s="113"/>
      <c r="HI109" s="113"/>
      <c r="HJ109" s="113"/>
      <c r="HK109" s="113"/>
      <c r="HL109" s="113"/>
      <c r="HM109" s="113"/>
      <c r="HN109" s="113"/>
      <c r="HO109" s="113"/>
      <c r="HP109" s="113"/>
      <c r="HQ109" s="113"/>
      <c r="HR109" s="113"/>
      <c r="HS109" s="113"/>
      <c r="HT109" s="113"/>
      <c r="HU109" s="113"/>
      <c r="HV109" s="113"/>
      <c r="HW109" s="113"/>
      <c r="HX109" s="113"/>
      <c r="HY109" s="113"/>
      <c r="HZ109" s="113"/>
      <c r="IA109" s="113"/>
      <c r="IB109" s="113"/>
      <c r="IC109" s="113"/>
      <c r="ID109" s="113"/>
      <c r="IE109" s="113"/>
      <c r="IF109" s="113"/>
      <c r="IG109" s="113"/>
      <c r="IH109" s="113"/>
      <c r="II109" s="113"/>
      <c r="IJ109" s="113"/>
      <c r="IK109" s="113"/>
      <c r="IL109" s="113"/>
      <c r="IM109" s="113"/>
      <c r="IN109" s="113"/>
      <c r="IO109" s="113"/>
      <c r="IP109" s="113"/>
      <c r="IQ109" s="113"/>
      <c r="IR109" s="113"/>
      <c r="IS109" s="113"/>
      <c r="IT109" s="113"/>
      <c r="IU109" s="113"/>
      <c r="IV109" s="113"/>
      <c r="IW109" s="113"/>
    </row>
    <row r="110" customFormat="false" ht="12.75" hidden="false" customHeight="false" outlineLevel="0" collapsed="false">
      <c r="A110" s="38" t="s">
        <v>217</v>
      </c>
      <c r="B110" s="104" t="s">
        <v>249</v>
      </c>
      <c r="C110" s="104" t="s">
        <v>313</v>
      </c>
      <c r="D110" s="105" t="n">
        <v>36526</v>
      </c>
      <c r="E110" s="105" t="n">
        <v>36830</v>
      </c>
      <c r="F110" s="38" t="s">
        <v>256</v>
      </c>
      <c r="G110" s="38" t="s">
        <v>343</v>
      </c>
      <c r="H110" s="104"/>
      <c r="I110" s="106"/>
      <c r="J110" s="107"/>
      <c r="K110" s="107"/>
      <c r="L110" s="107"/>
      <c r="M110" s="107"/>
      <c r="N110" s="152"/>
      <c r="O110" s="107"/>
      <c r="P110" s="109" t="n">
        <v>2005</v>
      </c>
      <c r="Q110" s="104"/>
      <c r="R110" s="38"/>
      <c r="S110" s="153" t="n">
        <v>1856.54</v>
      </c>
      <c r="T110" s="110"/>
      <c r="U110" s="112" t="n">
        <v>145884</v>
      </c>
      <c r="V110" s="112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/>
      <c r="BT110" s="113"/>
      <c r="BU110" s="113"/>
      <c r="BV110" s="113"/>
      <c r="BW110" s="113"/>
      <c r="BX110" s="113"/>
      <c r="BY110" s="113"/>
      <c r="BZ110" s="113"/>
      <c r="CA110" s="113"/>
      <c r="CB110" s="113"/>
      <c r="CC110" s="113"/>
      <c r="CD110" s="113"/>
      <c r="CE110" s="113"/>
      <c r="CF110" s="113"/>
      <c r="CG110" s="113"/>
      <c r="CH110" s="113"/>
      <c r="CI110" s="113"/>
      <c r="CJ110" s="113"/>
      <c r="CK110" s="113"/>
      <c r="CL110" s="113"/>
      <c r="CM110" s="113"/>
      <c r="CN110" s="113"/>
      <c r="CO110" s="113"/>
      <c r="CP110" s="113"/>
      <c r="CQ110" s="113"/>
      <c r="CR110" s="113"/>
      <c r="CS110" s="113"/>
      <c r="CT110" s="113"/>
      <c r="CU110" s="113"/>
      <c r="CV110" s="113"/>
      <c r="CW110" s="113"/>
      <c r="CX110" s="113"/>
      <c r="CY110" s="113"/>
      <c r="CZ110" s="113"/>
      <c r="DA110" s="113"/>
      <c r="DB110" s="113"/>
      <c r="DC110" s="113"/>
      <c r="DD110" s="113"/>
      <c r="DE110" s="113"/>
      <c r="DF110" s="113"/>
      <c r="DG110" s="113"/>
      <c r="DH110" s="113"/>
      <c r="DI110" s="113"/>
      <c r="DJ110" s="113"/>
      <c r="DK110" s="113"/>
      <c r="DL110" s="113"/>
      <c r="DM110" s="113"/>
      <c r="DN110" s="113"/>
      <c r="DO110" s="113"/>
      <c r="DP110" s="113"/>
      <c r="DQ110" s="113"/>
      <c r="DR110" s="113"/>
      <c r="DS110" s="113"/>
      <c r="DT110" s="113"/>
      <c r="DU110" s="113"/>
      <c r="DV110" s="113"/>
      <c r="DW110" s="113"/>
      <c r="DX110" s="113"/>
      <c r="DY110" s="113"/>
      <c r="DZ110" s="113"/>
      <c r="EA110" s="113"/>
      <c r="EB110" s="113"/>
      <c r="EC110" s="113"/>
      <c r="ED110" s="113"/>
      <c r="EE110" s="113"/>
      <c r="EF110" s="113"/>
      <c r="EG110" s="113"/>
      <c r="EH110" s="113"/>
      <c r="EI110" s="113"/>
      <c r="EJ110" s="113"/>
      <c r="EK110" s="113"/>
      <c r="EL110" s="113"/>
      <c r="EM110" s="113"/>
      <c r="EN110" s="113"/>
      <c r="EO110" s="113"/>
      <c r="EP110" s="113"/>
      <c r="EQ110" s="113"/>
      <c r="ER110" s="113"/>
      <c r="ES110" s="113"/>
      <c r="ET110" s="113"/>
      <c r="EU110" s="113"/>
      <c r="EV110" s="113"/>
      <c r="EW110" s="113"/>
      <c r="EX110" s="113"/>
      <c r="EY110" s="113"/>
      <c r="EZ110" s="113"/>
      <c r="FA110" s="113"/>
      <c r="FB110" s="113"/>
      <c r="FC110" s="113"/>
      <c r="FD110" s="113"/>
      <c r="FE110" s="113"/>
      <c r="FF110" s="113"/>
      <c r="FG110" s="113"/>
      <c r="FH110" s="113"/>
      <c r="FI110" s="113"/>
      <c r="FJ110" s="113"/>
      <c r="FK110" s="113"/>
      <c r="FL110" s="113"/>
      <c r="FM110" s="113"/>
      <c r="FN110" s="113"/>
      <c r="FO110" s="113"/>
      <c r="FP110" s="113"/>
      <c r="FQ110" s="113"/>
      <c r="FR110" s="113"/>
      <c r="FS110" s="113"/>
      <c r="FT110" s="113"/>
      <c r="FU110" s="113"/>
      <c r="FV110" s="113"/>
      <c r="FW110" s="113"/>
      <c r="FX110" s="113"/>
      <c r="FY110" s="113"/>
      <c r="FZ110" s="113"/>
      <c r="GA110" s="113"/>
      <c r="GB110" s="113"/>
      <c r="GC110" s="113"/>
      <c r="GD110" s="113"/>
      <c r="GE110" s="113"/>
      <c r="GF110" s="113"/>
      <c r="GG110" s="113"/>
      <c r="GH110" s="113"/>
      <c r="GI110" s="113"/>
      <c r="GJ110" s="113"/>
      <c r="GK110" s="113"/>
      <c r="GL110" s="113"/>
      <c r="GM110" s="113"/>
      <c r="GN110" s="113"/>
      <c r="GO110" s="113"/>
      <c r="GP110" s="113"/>
      <c r="GQ110" s="113"/>
      <c r="GR110" s="113"/>
      <c r="GS110" s="113"/>
      <c r="GT110" s="113"/>
      <c r="GU110" s="113"/>
      <c r="GV110" s="113"/>
      <c r="GW110" s="113"/>
      <c r="GX110" s="113"/>
      <c r="GY110" s="113"/>
      <c r="GZ110" s="113"/>
      <c r="HA110" s="113"/>
      <c r="HB110" s="113"/>
      <c r="HC110" s="113"/>
      <c r="HD110" s="113"/>
      <c r="HE110" s="113"/>
      <c r="HF110" s="113"/>
      <c r="HG110" s="113"/>
      <c r="HH110" s="113"/>
      <c r="HI110" s="113"/>
      <c r="HJ110" s="113"/>
      <c r="HK110" s="113"/>
      <c r="HL110" s="113"/>
      <c r="HM110" s="113"/>
      <c r="HN110" s="113"/>
      <c r="HO110" s="113"/>
      <c r="HP110" s="113"/>
      <c r="HQ110" s="113"/>
      <c r="HR110" s="113"/>
      <c r="HS110" s="113"/>
      <c r="HT110" s="113"/>
      <c r="HU110" s="113"/>
      <c r="HV110" s="113"/>
      <c r="HW110" s="113"/>
      <c r="HX110" s="113"/>
      <c r="HY110" s="113"/>
      <c r="HZ110" s="113"/>
      <c r="IA110" s="113"/>
      <c r="IB110" s="113"/>
      <c r="IC110" s="113"/>
      <c r="ID110" s="113"/>
      <c r="IE110" s="113"/>
      <c r="IF110" s="113"/>
      <c r="IG110" s="113"/>
      <c r="IH110" s="113"/>
      <c r="II110" s="113"/>
      <c r="IJ110" s="113"/>
      <c r="IK110" s="113"/>
      <c r="IL110" s="113"/>
      <c r="IM110" s="113"/>
      <c r="IN110" s="113"/>
      <c r="IO110" s="113"/>
      <c r="IP110" s="113"/>
      <c r="IQ110" s="113"/>
      <c r="IR110" s="113"/>
      <c r="IS110" s="113"/>
      <c r="IT110" s="113"/>
      <c r="IU110" s="113"/>
      <c r="IV110" s="113"/>
      <c r="IW110" s="113"/>
    </row>
    <row r="111" customFormat="false" ht="12.75" hidden="false" customHeight="false" outlineLevel="0" collapsed="false">
      <c r="A111" s="38" t="s">
        <v>217</v>
      </c>
      <c r="B111" s="104" t="s">
        <v>249</v>
      </c>
      <c r="C111" s="104" t="s">
        <v>313</v>
      </c>
      <c r="D111" s="105" t="n">
        <v>36526</v>
      </c>
      <c r="E111" s="105" t="n">
        <v>36830</v>
      </c>
      <c r="F111" s="38" t="s">
        <v>256</v>
      </c>
      <c r="G111" s="38" t="s">
        <v>343</v>
      </c>
      <c r="H111" s="104"/>
      <c r="I111" s="106"/>
      <c r="J111" s="107"/>
      <c r="K111" s="107"/>
      <c r="L111" s="107"/>
      <c r="M111" s="107"/>
      <c r="N111" s="152"/>
      <c r="O111" s="107"/>
      <c r="P111" s="109" t="n">
        <v>2057</v>
      </c>
      <c r="Q111" s="104"/>
      <c r="R111" s="38"/>
      <c r="S111" s="153" t="n">
        <v>1815.56</v>
      </c>
      <c r="T111" s="110"/>
      <c r="U111" s="112" t="n">
        <v>145891</v>
      </c>
      <c r="V111" s="112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/>
      <c r="BT111" s="113"/>
      <c r="BU111" s="113"/>
      <c r="BV111" s="113"/>
      <c r="BW111" s="113"/>
      <c r="BX111" s="113"/>
      <c r="BY111" s="113"/>
      <c r="BZ111" s="113"/>
      <c r="CA111" s="113"/>
      <c r="CB111" s="113"/>
      <c r="CC111" s="113"/>
      <c r="CD111" s="113"/>
      <c r="CE111" s="113"/>
      <c r="CF111" s="113"/>
      <c r="CG111" s="113"/>
      <c r="CH111" s="113"/>
      <c r="CI111" s="113"/>
      <c r="CJ111" s="113"/>
      <c r="CK111" s="113"/>
      <c r="CL111" s="113"/>
      <c r="CM111" s="113"/>
      <c r="CN111" s="113"/>
      <c r="CO111" s="113"/>
      <c r="CP111" s="113"/>
      <c r="CQ111" s="113"/>
      <c r="CR111" s="113"/>
      <c r="CS111" s="113"/>
      <c r="CT111" s="113"/>
      <c r="CU111" s="113"/>
      <c r="CV111" s="113"/>
      <c r="CW111" s="113"/>
      <c r="CX111" s="113"/>
      <c r="CY111" s="113"/>
      <c r="CZ111" s="113"/>
      <c r="DA111" s="113"/>
      <c r="DB111" s="113"/>
      <c r="DC111" s="113"/>
      <c r="DD111" s="113"/>
      <c r="DE111" s="113"/>
      <c r="DF111" s="113"/>
      <c r="DG111" s="113"/>
      <c r="DH111" s="113"/>
      <c r="DI111" s="113"/>
      <c r="DJ111" s="113"/>
      <c r="DK111" s="113"/>
      <c r="DL111" s="113"/>
      <c r="DM111" s="113"/>
      <c r="DN111" s="113"/>
      <c r="DO111" s="113"/>
      <c r="DP111" s="113"/>
      <c r="DQ111" s="113"/>
      <c r="DR111" s="113"/>
      <c r="DS111" s="113"/>
      <c r="DT111" s="113"/>
      <c r="DU111" s="113"/>
      <c r="DV111" s="113"/>
      <c r="DW111" s="113"/>
      <c r="DX111" s="113"/>
      <c r="DY111" s="113"/>
      <c r="DZ111" s="113"/>
      <c r="EA111" s="113"/>
      <c r="EB111" s="113"/>
      <c r="EC111" s="113"/>
      <c r="ED111" s="113"/>
      <c r="EE111" s="113"/>
      <c r="EF111" s="113"/>
      <c r="EG111" s="113"/>
      <c r="EH111" s="113"/>
      <c r="EI111" s="113"/>
      <c r="EJ111" s="113"/>
      <c r="EK111" s="113"/>
      <c r="EL111" s="113"/>
      <c r="EM111" s="113"/>
      <c r="EN111" s="113"/>
      <c r="EO111" s="113"/>
      <c r="EP111" s="113"/>
      <c r="EQ111" s="113"/>
      <c r="ER111" s="113"/>
      <c r="ES111" s="113"/>
      <c r="ET111" s="113"/>
      <c r="EU111" s="113"/>
      <c r="EV111" s="113"/>
      <c r="EW111" s="113"/>
      <c r="EX111" s="113"/>
      <c r="EY111" s="113"/>
      <c r="EZ111" s="113"/>
      <c r="FA111" s="113"/>
      <c r="FB111" s="113"/>
      <c r="FC111" s="113"/>
      <c r="FD111" s="113"/>
      <c r="FE111" s="113"/>
      <c r="FF111" s="113"/>
      <c r="FG111" s="113"/>
      <c r="FH111" s="113"/>
      <c r="FI111" s="113"/>
      <c r="FJ111" s="113"/>
      <c r="FK111" s="113"/>
      <c r="FL111" s="113"/>
      <c r="FM111" s="113"/>
      <c r="FN111" s="113"/>
      <c r="FO111" s="113"/>
      <c r="FP111" s="113"/>
      <c r="FQ111" s="113"/>
      <c r="FR111" s="113"/>
      <c r="FS111" s="113"/>
      <c r="FT111" s="113"/>
      <c r="FU111" s="113"/>
      <c r="FV111" s="113"/>
      <c r="FW111" s="113"/>
      <c r="FX111" s="113"/>
      <c r="FY111" s="113"/>
      <c r="FZ111" s="113"/>
      <c r="GA111" s="113"/>
      <c r="GB111" s="113"/>
      <c r="GC111" s="113"/>
      <c r="GD111" s="113"/>
      <c r="GE111" s="113"/>
      <c r="GF111" s="113"/>
      <c r="GG111" s="113"/>
      <c r="GH111" s="113"/>
      <c r="GI111" s="113"/>
      <c r="GJ111" s="113"/>
      <c r="GK111" s="113"/>
      <c r="GL111" s="113"/>
      <c r="GM111" s="113"/>
      <c r="GN111" s="113"/>
      <c r="GO111" s="113"/>
      <c r="GP111" s="113"/>
      <c r="GQ111" s="113"/>
      <c r="GR111" s="113"/>
      <c r="GS111" s="113"/>
      <c r="GT111" s="113"/>
      <c r="GU111" s="113"/>
      <c r="GV111" s="113"/>
      <c r="GW111" s="113"/>
      <c r="GX111" s="113"/>
      <c r="GY111" s="113"/>
      <c r="GZ111" s="113"/>
      <c r="HA111" s="113"/>
      <c r="HB111" s="113"/>
      <c r="HC111" s="113"/>
      <c r="HD111" s="113"/>
      <c r="HE111" s="113"/>
      <c r="HF111" s="113"/>
      <c r="HG111" s="113"/>
      <c r="HH111" s="113"/>
      <c r="HI111" s="113"/>
      <c r="HJ111" s="113"/>
      <c r="HK111" s="113"/>
      <c r="HL111" s="113"/>
      <c r="HM111" s="113"/>
      <c r="HN111" s="113"/>
      <c r="HO111" s="113"/>
      <c r="HP111" s="113"/>
      <c r="HQ111" s="113"/>
      <c r="HR111" s="113"/>
      <c r="HS111" s="113"/>
      <c r="HT111" s="113"/>
      <c r="HU111" s="113"/>
      <c r="HV111" s="113"/>
      <c r="HW111" s="113"/>
      <c r="HX111" s="113"/>
      <c r="HY111" s="113"/>
      <c r="HZ111" s="113"/>
      <c r="IA111" s="113"/>
      <c r="IB111" s="113"/>
      <c r="IC111" s="113"/>
      <c r="ID111" s="113"/>
      <c r="IE111" s="113"/>
      <c r="IF111" s="113"/>
      <c r="IG111" s="113"/>
      <c r="IH111" s="113"/>
      <c r="II111" s="113"/>
      <c r="IJ111" s="113"/>
      <c r="IK111" s="113"/>
      <c r="IL111" s="113"/>
      <c r="IM111" s="113"/>
      <c r="IN111" s="113"/>
      <c r="IO111" s="113"/>
      <c r="IP111" s="113"/>
      <c r="IQ111" s="113"/>
      <c r="IR111" s="113"/>
      <c r="IS111" s="113"/>
      <c r="IT111" s="113"/>
      <c r="IU111" s="113"/>
      <c r="IV111" s="113"/>
      <c r="IW111" s="113"/>
    </row>
    <row r="112" customFormat="false" ht="13.5" hidden="false" customHeight="true" outlineLevel="0" collapsed="false">
      <c r="A112" s="15" t="s">
        <v>217</v>
      </c>
      <c r="B112" s="16" t="s">
        <v>249</v>
      </c>
      <c r="C112" s="16" t="s">
        <v>313</v>
      </c>
      <c r="D112" s="17" t="n">
        <v>36526</v>
      </c>
      <c r="E112" s="17" t="n">
        <v>36556</v>
      </c>
      <c r="F112" s="15" t="s">
        <v>336</v>
      </c>
      <c r="G112" s="15" t="s">
        <v>343</v>
      </c>
      <c r="H112" s="16"/>
      <c r="I112" s="19" t="n">
        <v>0.2216</v>
      </c>
      <c r="J112" s="20" t="n">
        <v>0.0669</v>
      </c>
      <c r="K112" s="20" t="n">
        <v>0.0022</v>
      </c>
      <c r="L112" s="20" t="n">
        <v>0</v>
      </c>
      <c r="M112" s="20" t="n">
        <v>0</v>
      </c>
      <c r="N112" s="21" t="n">
        <v>0.0244</v>
      </c>
      <c r="O112" s="20" t="n">
        <f aca="false">SUM(I112:M112)</f>
        <v>0.2907</v>
      </c>
      <c r="P112" s="22"/>
      <c r="Q112" s="16" t="n">
        <v>4581</v>
      </c>
      <c r="R112" s="15"/>
      <c r="S112" s="151" t="n">
        <f aca="false">I112*I$1*Q112</f>
        <v>31469.6376</v>
      </c>
      <c r="T112" s="23"/>
      <c r="U112" s="24"/>
      <c r="V112" s="24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5" t="s">
        <v>217</v>
      </c>
      <c r="B113" s="16" t="s">
        <v>249</v>
      </c>
      <c r="C113" s="16" t="s">
        <v>313</v>
      </c>
      <c r="D113" s="17" t="n">
        <v>36526</v>
      </c>
      <c r="E113" s="17" t="n">
        <v>36556</v>
      </c>
      <c r="F113" s="15" t="s">
        <v>256</v>
      </c>
      <c r="G113" s="15" t="s">
        <v>343</v>
      </c>
      <c r="H113" s="16"/>
      <c r="I113" s="19" t="n">
        <v>0.2216</v>
      </c>
      <c r="J113" s="20" t="n">
        <v>0</v>
      </c>
      <c r="K113" s="20" t="n">
        <v>0</v>
      </c>
      <c r="L113" s="20" t="n">
        <v>0</v>
      </c>
      <c r="M113" s="20" t="n">
        <v>0</v>
      </c>
      <c r="N113" s="21" t="n">
        <v>0.0244</v>
      </c>
      <c r="O113" s="20" t="n">
        <f aca="false">SUM(I113:M113)</f>
        <v>0.2216</v>
      </c>
      <c r="P113" s="22"/>
      <c r="Q113" s="16" t="n">
        <v>2500</v>
      </c>
      <c r="R113" s="15"/>
      <c r="S113" s="151" t="n">
        <f aca="false">I113*I$1*Q113</f>
        <v>17174</v>
      </c>
      <c r="T113" s="23"/>
      <c r="U113" s="24"/>
      <c r="V113" s="24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2.75" hidden="false" customHeight="false" outlineLevel="0" collapsed="false">
      <c r="A114" s="38" t="s">
        <v>144</v>
      </c>
      <c r="B114" s="104" t="s">
        <v>249</v>
      </c>
      <c r="C114" s="104" t="s">
        <v>256</v>
      </c>
      <c r="D114" s="105" t="n">
        <v>36739</v>
      </c>
      <c r="E114" s="105" t="n">
        <v>36769</v>
      </c>
      <c r="F114" s="38" t="s">
        <v>350</v>
      </c>
      <c r="G114" s="38" t="s">
        <v>351</v>
      </c>
      <c r="H114" s="104"/>
      <c r="I114" s="106" t="n">
        <v>0.02</v>
      </c>
      <c r="J114" s="107"/>
      <c r="K114" s="107"/>
      <c r="L114" s="107"/>
      <c r="M114" s="107"/>
      <c r="N114" s="152"/>
      <c r="O114" s="107"/>
      <c r="P114" s="109" t="n">
        <v>34423</v>
      </c>
      <c r="Q114" s="104" t="n">
        <v>30000</v>
      </c>
      <c r="R114" s="38"/>
      <c r="S114" s="153" t="n">
        <f aca="false">I114*I$1*Q114</f>
        <v>18600</v>
      </c>
      <c r="T114" s="110"/>
      <c r="U114" s="112" t="n">
        <v>348593</v>
      </c>
      <c r="V114" s="112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/>
      <c r="BT114" s="113"/>
      <c r="BU114" s="113"/>
      <c r="BV114" s="113"/>
      <c r="BW114" s="113"/>
      <c r="BX114" s="113"/>
      <c r="BY114" s="113"/>
      <c r="BZ114" s="113"/>
      <c r="CA114" s="113"/>
      <c r="CB114" s="113"/>
      <c r="CC114" s="113"/>
      <c r="CD114" s="113"/>
      <c r="CE114" s="113"/>
      <c r="CF114" s="113"/>
      <c r="CG114" s="113"/>
      <c r="CH114" s="113"/>
      <c r="CI114" s="113"/>
      <c r="CJ114" s="113"/>
      <c r="CK114" s="113"/>
      <c r="CL114" s="113"/>
      <c r="CM114" s="113"/>
      <c r="CN114" s="113"/>
      <c r="CO114" s="113"/>
      <c r="CP114" s="113"/>
      <c r="CQ114" s="113"/>
      <c r="CR114" s="113"/>
      <c r="CS114" s="113"/>
      <c r="CT114" s="113"/>
      <c r="CU114" s="113"/>
      <c r="CV114" s="113"/>
      <c r="CW114" s="113"/>
      <c r="CX114" s="113"/>
      <c r="CY114" s="113"/>
      <c r="CZ114" s="113"/>
      <c r="DA114" s="113"/>
      <c r="DB114" s="113"/>
      <c r="DC114" s="113"/>
      <c r="DD114" s="113"/>
      <c r="DE114" s="113"/>
      <c r="DF114" s="113"/>
      <c r="DG114" s="113"/>
      <c r="DH114" s="113"/>
      <c r="DI114" s="113"/>
      <c r="DJ114" s="113"/>
      <c r="DK114" s="113"/>
      <c r="DL114" s="113"/>
      <c r="DM114" s="113"/>
      <c r="DN114" s="113"/>
      <c r="DO114" s="113"/>
      <c r="DP114" s="113"/>
      <c r="DQ114" s="113"/>
      <c r="DR114" s="113"/>
      <c r="DS114" s="113"/>
      <c r="DT114" s="113"/>
      <c r="DU114" s="113"/>
      <c r="DV114" s="113"/>
      <c r="DW114" s="113"/>
      <c r="DX114" s="113"/>
      <c r="DY114" s="113"/>
      <c r="DZ114" s="113"/>
      <c r="EA114" s="113"/>
      <c r="EB114" s="113"/>
      <c r="EC114" s="113"/>
      <c r="ED114" s="113"/>
      <c r="EE114" s="113"/>
      <c r="EF114" s="113"/>
      <c r="EG114" s="113"/>
      <c r="EH114" s="113"/>
      <c r="EI114" s="113"/>
      <c r="EJ114" s="113"/>
      <c r="EK114" s="113"/>
      <c r="EL114" s="113"/>
      <c r="EM114" s="113"/>
      <c r="EN114" s="113"/>
      <c r="EO114" s="113"/>
      <c r="EP114" s="113"/>
      <c r="EQ114" s="113"/>
      <c r="ER114" s="113"/>
      <c r="ES114" s="113"/>
      <c r="ET114" s="113"/>
      <c r="EU114" s="113"/>
      <c r="EV114" s="113"/>
      <c r="EW114" s="113"/>
      <c r="EX114" s="113"/>
      <c r="EY114" s="113"/>
      <c r="EZ114" s="113"/>
      <c r="FA114" s="113"/>
      <c r="FB114" s="113"/>
      <c r="FC114" s="113"/>
      <c r="FD114" s="113"/>
      <c r="FE114" s="113"/>
      <c r="FF114" s="113"/>
      <c r="FG114" s="113"/>
      <c r="FH114" s="113"/>
      <c r="FI114" s="113"/>
      <c r="FJ114" s="113"/>
      <c r="FK114" s="113"/>
      <c r="FL114" s="113"/>
      <c r="FM114" s="113"/>
      <c r="FN114" s="113"/>
      <c r="FO114" s="113"/>
      <c r="FP114" s="113"/>
      <c r="FQ114" s="113"/>
      <c r="FR114" s="113"/>
      <c r="FS114" s="113"/>
      <c r="FT114" s="113"/>
      <c r="FU114" s="113"/>
      <c r="FV114" s="113"/>
      <c r="FW114" s="113"/>
      <c r="FX114" s="113"/>
      <c r="FY114" s="113"/>
      <c r="FZ114" s="113"/>
      <c r="GA114" s="113"/>
      <c r="GB114" s="113"/>
      <c r="GC114" s="113"/>
      <c r="GD114" s="113"/>
      <c r="GE114" s="113"/>
      <c r="GF114" s="113"/>
      <c r="GG114" s="113"/>
      <c r="GH114" s="113"/>
      <c r="GI114" s="113"/>
      <c r="GJ114" s="113"/>
      <c r="GK114" s="113"/>
      <c r="GL114" s="113"/>
      <c r="GM114" s="113"/>
      <c r="GN114" s="113"/>
      <c r="GO114" s="113"/>
      <c r="GP114" s="113"/>
      <c r="GQ114" s="113"/>
      <c r="GR114" s="113"/>
      <c r="GS114" s="113"/>
      <c r="GT114" s="113"/>
      <c r="GU114" s="113"/>
      <c r="GV114" s="113"/>
      <c r="GW114" s="113"/>
      <c r="GX114" s="113"/>
      <c r="GY114" s="113"/>
      <c r="GZ114" s="113"/>
      <c r="HA114" s="113"/>
      <c r="HB114" s="113"/>
      <c r="HC114" s="113"/>
      <c r="HD114" s="113"/>
      <c r="HE114" s="113"/>
      <c r="HF114" s="113"/>
      <c r="HG114" s="113"/>
      <c r="HH114" s="113"/>
      <c r="HI114" s="113"/>
      <c r="HJ114" s="113"/>
      <c r="HK114" s="113"/>
      <c r="HL114" s="113"/>
      <c r="HM114" s="113"/>
      <c r="HN114" s="113"/>
      <c r="HO114" s="113"/>
      <c r="HP114" s="113"/>
      <c r="HQ114" s="113"/>
      <c r="HR114" s="113"/>
      <c r="HS114" s="113"/>
      <c r="HT114" s="113"/>
      <c r="HU114" s="113"/>
      <c r="HV114" s="113"/>
      <c r="HW114" s="113"/>
      <c r="HX114" s="113"/>
      <c r="HY114" s="113"/>
      <c r="HZ114" s="113"/>
      <c r="IA114" s="113"/>
      <c r="IB114" s="113"/>
      <c r="IC114" s="113"/>
      <c r="ID114" s="113"/>
      <c r="IE114" s="113"/>
      <c r="IF114" s="113"/>
      <c r="IG114" s="113"/>
      <c r="IH114" s="113"/>
      <c r="II114" s="113"/>
      <c r="IJ114" s="113"/>
      <c r="IK114" s="113"/>
      <c r="IL114" s="113"/>
      <c r="IM114" s="113"/>
      <c r="IN114" s="113"/>
      <c r="IO114" s="113"/>
      <c r="IP114" s="113"/>
      <c r="IQ114" s="113"/>
      <c r="IR114" s="113"/>
      <c r="IS114" s="113"/>
      <c r="IT114" s="113"/>
      <c r="IU114" s="113"/>
      <c r="IV114" s="113"/>
      <c r="IW114" s="113"/>
    </row>
    <row r="115" customFormat="false" ht="12.75" hidden="false" customHeight="false" outlineLevel="0" collapsed="false">
      <c r="A115" s="38" t="s">
        <v>144</v>
      </c>
      <c r="B115" s="104" t="s">
        <v>249</v>
      </c>
      <c r="C115" s="104" t="s">
        <v>256</v>
      </c>
      <c r="D115" s="105" t="n">
        <v>36739</v>
      </c>
      <c r="E115" s="105" t="n">
        <v>36769</v>
      </c>
      <c r="F115" s="38" t="s">
        <v>350</v>
      </c>
      <c r="G115" s="38" t="s">
        <v>351</v>
      </c>
      <c r="H115" s="104"/>
      <c r="I115" s="106" t="n">
        <v>0.02</v>
      </c>
      <c r="J115" s="107"/>
      <c r="K115" s="107"/>
      <c r="L115" s="107"/>
      <c r="M115" s="107"/>
      <c r="N115" s="152"/>
      <c r="O115" s="107"/>
      <c r="P115" s="109" t="n">
        <v>34415</v>
      </c>
      <c r="Q115" s="104" t="n">
        <v>20000</v>
      </c>
      <c r="R115" s="38"/>
      <c r="S115" s="153" t="n">
        <f aca="false">I115*I$1*Q115</f>
        <v>12400</v>
      </c>
      <c r="T115" s="110"/>
      <c r="U115" s="112" t="n">
        <v>348594</v>
      </c>
      <c r="V115" s="112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13"/>
      <c r="BS115" s="113"/>
      <c r="BT115" s="113"/>
      <c r="BU115" s="113"/>
      <c r="BV115" s="113"/>
      <c r="BW115" s="113"/>
      <c r="BX115" s="113"/>
      <c r="BY115" s="113"/>
      <c r="BZ115" s="113"/>
      <c r="CA115" s="113"/>
      <c r="CB115" s="113"/>
      <c r="CC115" s="113"/>
      <c r="CD115" s="113"/>
      <c r="CE115" s="113"/>
      <c r="CF115" s="113"/>
      <c r="CG115" s="113"/>
      <c r="CH115" s="113"/>
      <c r="CI115" s="113"/>
      <c r="CJ115" s="113"/>
      <c r="CK115" s="113"/>
      <c r="CL115" s="113"/>
      <c r="CM115" s="113"/>
      <c r="CN115" s="113"/>
      <c r="CO115" s="113"/>
      <c r="CP115" s="113"/>
      <c r="CQ115" s="113"/>
      <c r="CR115" s="113"/>
      <c r="CS115" s="113"/>
      <c r="CT115" s="113"/>
      <c r="CU115" s="113"/>
      <c r="CV115" s="113"/>
      <c r="CW115" s="113"/>
      <c r="CX115" s="113"/>
      <c r="CY115" s="113"/>
      <c r="CZ115" s="113"/>
      <c r="DA115" s="113"/>
      <c r="DB115" s="113"/>
      <c r="DC115" s="113"/>
      <c r="DD115" s="113"/>
      <c r="DE115" s="113"/>
      <c r="DF115" s="113"/>
      <c r="DG115" s="113"/>
      <c r="DH115" s="113"/>
      <c r="DI115" s="113"/>
      <c r="DJ115" s="113"/>
      <c r="DK115" s="113"/>
      <c r="DL115" s="113"/>
      <c r="DM115" s="113"/>
      <c r="DN115" s="113"/>
      <c r="DO115" s="113"/>
      <c r="DP115" s="113"/>
      <c r="DQ115" s="113"/>
      <c r="DR115" s="113"/>
      <c r="DS115" s="113"/>
      <c r="DT115" s="113"/>
      <c r="DU115" s="113"/>
      <c r="DV115" s="113"/>
      <c r="DW115" s="113"/>
      <c r="DX115" s="113"/>
      <c r="DY115" s="113"/>
      <c r="DZ115" s="113"/>
      <c r="EA115" s="113"/>
      <c r="EB115" s="113"/>
      <c r="EC115" s="113"/>
      <c r="ED115" s="113"/>
      <c r="EE115" s="113"/>
      <c r="EF115" s="113"/>
      <c r="EG115" s="113"/>
      <c r="EH115" s="113"/>
      <c r="EI115" s="113"/>
      <c r="EJ115" s="113"/>
      <c r="EK115" s="113"/>
      <c r="EL115" s="113"/>
      <c r="EM115" s="113"/>
      <c r="EN115" s="113"/>
      <c r="EO115" s="113"/>
      <c r="EP115" s="113"/>
      <c r="EQ115" s="113"/>
      <c r="ER115" s="113"/>
      <c r="ES115" s="113"/>
      <c r="ET115" s="113"/>
      <c r="EU115" s="113"/>
      <c r="EV115" s="113"/>
      <c r="EW115" s="113"/>
      <c r="EX115" s="113"/>
      <c r="EY115" s="113"/>
      <c r="EZ115" s="113"/>
      <c r="FA115" s="113"/>
      <c r="FB115" s="113"/>
      <c r="FC115" s="113"/>
      <c r="FD115" s="113"/>
      <c r="FE115" s="113"/>
      <c r="FF115" s="113"/>
      <c r="FG115" s="113"/>
      <c r="FH115" s="113"/>
      <c r="FI115" s="113"/>
      <c r="FJ115" s="113"/>
      <c r="FK115" s="113"/>
      <c r="FL115" s="113"/>
      <c r="FM115" s="113"/>
      <c r="FN115" s="113"/>
      <c r="FO115" s="113"/>
      <c r="FP115" s="113"/>
      <c r="FQ115" s="113"/>
      <c r="FR115" s="113"/>
      <c r="FS115" s="113"/>
      <c r="FT115" s="113"/>
      <c r="FU115" s="113"/>
      <c r="FV115" s="113"/>
      <c r="FW115" s="113"/>
      <c r="FX115" s="113"/>
      <c r="FY115" s="113"/>
      <c r="FZ115" s="113"/>
      <c r="GA115" s="113"/>
      <c r="GB115" s="113"/>
      <c r="GC115" s="113"/>
      <c r="GD115" s="113"/>
      <c r="GE115" s="113"/>
      <c r="GF115" s="113"/>
      <c r="GG115" s="113"/>
      <c r="GH115" s="113"/>
      <c r="GI115" s="113"/>
      <c r="GJ115" s="113"/>
      <c r="GK115" s="113"/>
      <c r="GL115" s="113"/>
      <c r="GM115" s="113"/>
      <c r="GN115" s="113"/>
      <c r="GO115" s="113"/>
      <c r="GP115" s="113"/>
      <c r="GQ115" s="113"/>
      <c r="GR115" s="113"/>
      <c r="GS115" s="113"/>
      <c r="GT115" s="113"/>
      <c r="GU115" s="113"/>
      <c r="GV115" s="113"/>
      <c r="GW115" s="113"/>
      <c r="GX115" s="113"/>
      <c r="GY115" s="113"/>
      <c r="GZ115" s="113"/>
      <c r="HA115" s="113"/>
      <c r="HB115" s="113"/>
      <c r="HC115" s="113"/>
      <c r="HD115" s="113"/>
      <c r="HE115" s="113"/>
      <c r="HF115" s="113"/>
      <c r="HG115" s="113"/>
      <c r="HH115" s="113"/>
      <c r="HI115" s="113"/>
      <c r="HJ115" s="113"/>
      <c r="HK115" s="113"/>
      <c r="HL115" s="113"/>
      <c r="HM115" s="113"/>
      <c r="HN115" s="113"/>
      <c r="HO115" s="113"/>
      <c r="HP115" s="113"/>
      <c r="HQ115" s="113"/>
      <c r="HR115" s="113"/>
      <c r="HS115" s="113"/>
      <c r="HT115" s="113"/>
      <c r="HU115" s="113"/>
      <c r="HV115" s="113"/>
      <c r="HW115" s="113"/>
      <c r="HX115" s="113"/>
      <c r="HY115" s="113"/>
      <c r="HZ115" s="113"/>
      <c r="IA115" s="113"/>
      <c r="IB115" s="113"/>
      <c r="IC115" s="113"/>
      <c r="ID115" s="113"/>
      <c r="IE115" s="113"/>
      <c r="IF115" s="113"/>
      <c r="IG115" s="113"/>
      <c r="IH115" s="113"/>
      <c r="II115" s="113"/>
      <c r="IJ115" s="113"/>
      <c r="IK115" s="113"/>
      <c r="IL115" s="113"/>
      <c r="IM115" s="113"/>
      <c r="IN115" s="113"/>
      <c r="IO115" s="113"/>
      <c r="IP115" s="113"/>
      <c r="IQ115" s="113"/>
      <c r="IR115" s="113"/>
      <c r="IS115" s="113"/>
      <c r="IT115" s="113"/>
      <c r="IU115" s="113"/>
      <c r="IV115" s="113"/>
      <c r="IW115" s="113"/>
    </row>
    <row r="116" customFormat="false" ht="12.75" hidden="false" customHeight="false" outlineLevel="0" collapsed="false">
      <c r="A116" s="38" t="s">
        <v>144</v>
      </c>
      <c r="B116" s="104" t="s">
        <v>249</v>
      </c>
      <c r="C116" s="104" t="s">
        <v>256</v>
      </c>
      <c r="D116" s="105" t="n">
        <v>36743</v>
      </c>
      <c r="E116" s="105" t="n">
        <v>36745</v>
      </c>
      <c r="F116" s="38" t="s">
        <v>352</v>
      </c>
      <c r="G116" s="38" t="s">
        <v>353</v>
      </c>
      <c r="H116" s="104"/>
      <c r="I116" s="106" t="n">
        <v>0.01</v>
      </c>
      <c r="J116" s="107"/>
      <c r="K116" s="107"/>
      <c r="L116" s="107"/>
      <c r="M116" s="107"/>
      <c r="N116" s="152"/>
      <c r="O116" s="107"/>
      <c r="P116" s="109" t="n">
        <v>34506</v>
      </c>
      <c r="Q116" s="104" t="n">
        <v>50000</v>
      </c>
      <c r="R116" s="38"/>
      <c r="S116" s="153" t="n">
        <f aca="false">+Q116*I116*3</f>
        <v>1500</v>
      </c>
      <c r="T116" s="110"/>
      <c r="U116" s="112" t="n">
        <v>356783</v>
      </c>
      <c r="V116" s="112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  <c r="BM116" s="113"/>
      <c r="BN116" s="113"/>
      <c r="BO116" s="113"/>
      <c r="BP116" s="113"/>
      <c r="BQ116" s="113"/>
      <c r="BR116" s="113"/>
      <c r="BS116" s="113"/>
      <c r="BT116" s="113"/>
      <c r="BU116" s="113"/>
      <c r="BV116" s="113"/>
      <c r="BW116" s="113"/>
      <c r="BX116" s="113"/>
      <c r="BY116" s="113"/>
      <c r="BZ116" s="113"/>
      <c r="CA116" s="113"/>
      <c r="CB116" s="113"/>
      <c r="CC116" s="113"/>
      <c r="CD116" s="113"/>
      <c r="CE116" s="113"/>
      <c r="CF116" s="113"/>
      <c r="CG116" s="113"/>
      <c r="CH116" s="113"/>
      <c r="CI116" s="113"/>
      <c r="CJ116" s="113"/>
      <c r="CK116" s="113"/>
      <c r="CL116" s="113"/>
      <c r="CM116" s="113"/>
      <c r="CN116" s="113"/>
      <c r="CO116" s="113"/>
      <c r="CP116" s="113"/>
      <c r="CQ116" s="113"/>
      <c r="CR116" s="113"/>
      <c r="CS116" s="113"/>
      <c r="CT116" s="113"/>
      <c r="CU116" s="113"/>
      <c r="CV116" s="113"/>
      <c r="CW116" s="113"/>
      <c r="CX116" s="113"/>
      <c r="CY116" s="113"/>
      <c r="CZ116" s="113"/>
      <c r="DA116" s="113"/>
      <c r="DB116" s="113"/>
      <c r="DC116" s="113"/>
      <c r="DD116" s="113"/>
      <c r="DE116" s="113"/>
      <c r="DF116" s="113"/>
      <c r="DG116" s="113"/>
      <c r="DH116" s="113"/>
      <c r="DI116" s="113"/>
      <c r="DJ116" s="113"/>
      <c r="DK116" s="113"/>
      <c r="DL116" s="113"/>
      <c r="DM116" s="113"/>
      <c r="DN116" s="113"/>
      <c r="DO116" s="113"/>
      <c r="DP116" s="113"/>
      <c r="DQ116" s="113"/>
      <c r="DR116" s="113"/>
      <c r="DS116" s="113"/>
      <c r="DT116" s="113"/>
      <c r="DU116" s="113"/>
      <c r="DV116" s="113"/>
      <c r="DW116" s="113"/>
      <c r="DX116" s="113"/>
      <c r="DY116" s="113"/>
      <c r="DZ116" s="113"/>
      <c r="EA116" s="113"/>
      <c r="EB116" s="113"/>
      <c r="EC116" s="113"/>
      <c r="ED116" s="113"/>
      <c r="EE116" s="113"/>
      <c r="EF116" s="113"/>
      <c r="EG116" s="113"/>
      <c r="EH116" s="113"/>
      <c r="EI116" s="113"/>
      <c r="EJ116" s="113"/>
      <c r="EK116" s="113"/>
      <c r="EL116" s="113"/>
      <c r="EM116" s="113"/>
      <c r="EN116" s="113"/>
      <c r="EO116" s="113"/>
      <c r="EP116" s="113"/>
      <c r="EQ116" s="113"/>
      <c r="ER116" s="113"/>
      <c r="ES116" s="113"/>
      <c r="ET116" s="113"/>
      <c r="EU116" s="113"/>
      <c r="EV116" s="113"/>
      <c r="EW116" s="113"/>
      <c r="EX116" s="113"/>
      <c r="EY116" s="113"/>
      <c r="EZ116" s="113"/>
      <c r="FA116" s="113"/>
      <c r="FB116" s="113"/>
      <c r="FC116" s="113"/>
      <c r="FD116" s="113"/>
      <c r="FE116" s="113"/>
      <c r="FF116" s="113"/>
      <c r="FG116" s="113"/>
      <c r="FH116" s="113"/>
      <c r="FI116" s="113"/>
      <c r="FJ116" s="113"/>
      <c r="FK116" s="113"/>
      <c r="FL116" s="113"/>
      <c r="FM116" s="113"/>
      <c r="FN116" s="113"/>
      <c r="FO116" s="113"/>
      <c r="FP116" s="113"/>
      <c r="FQ116" s="113"/>
      <c r="FR116" s="113"/>
      <c r="FS116" s="113"/>
      <c r="FT116" s="113"/>
      <c r="FU116" s="113"/>
      <c r="FV116" s="113"/>
      <c r="FW116" s="113"/>
      <c r="FX116" s="113"/>
      <c r="FY116" s="113"/>
      <c r="FZ116" s="113"/>
      <c r="GA116" s="113"/>
      <c r="GB116" s="113"/>
      <c r="GC116" s="113"/>
      <c r="GD116" s="113"/>
      <c r="GE116" s="113"/>
      <c r="GF116" s="113"/>
      <c r="GG116" s="113"/>
      <c r="GH116" s="113"/>
      <c r="GI116" s="113"/>
      <c r="GJ116" s="113"/>
      <c r="GK116" s="113"/>
      <c r="GL116" s="113"/>
      <c r="GM116" s="113"/>
      <c r="GN116" s="113"/>
      <c r="GO116" s="113"/>
      <c r="GP116" s="113"/>
      <c r="GQ116" s="113"/>
      <c r="GR116" s="113"/>
      <c r="GS116" s="113"/>
      <c r="GT116" s="113"/>
      <c r="GU116" s="113"/>
      <c r="GV116" s="113"/>
      <c r="GW116" s="113"/>
      <c r="GX116" s="113"/>
      <c r="GY116" s="113"/>
      <c r="GZ116" s="113"/>
      <c r="HA116" s="113"/>
      <c r="HB116" s="113"/>
      <c r="HC116" s="113"/>
      <c r="HD116" s="113"/>
      <c r="HE116" s="113"/>
      <c r="HF116" s="113"/>
      <c r="HG116" s="113"/>
      <c r="HH116" s="113"/>
      <c r="HI116" s="113"/>
      <c r="HJ116" s="113"/>
      <c r="HK116" s="113"/>
      <c r="HL116" s="113"/>
      <c r="HM116" s="113"/>
      <c r="HN116" s="113"/>
      <c r="HO116" s="113"/>
      <c r="HP116" s="113"/>
      <c r="HQ116" s="113"/>
      <c r="HR116" s="113"/>
      <c r="HS116" s="113"/>
      <c r="HT116" s="113"/>
      <c r="HU116" s="113"/>
      <c r="HV116" s="113"/>
      <c r="HW116" s="113"/>
      <c r="HX116" s="113"/>
      <c r="HY116" s="113"/>
      <c r="HZ116" s="113"/>
      <c r="IA116" s="113"/>
      <c r="IB116" s="113"/>
      <c r="IC116" s="113"/>
      <c r="ID116" s="113"/>
      <c r="IE116" s="113"/>
      <c r="IF116" s="113"/>
      <c r="IG116" s="113"/>
      <c r="IH116" s="113"/>
      <c r="II116" s="113"/>
      <c r="IJ116" s="113"/>
      <c r="IK116" s="113"/>
      <c r="IL116" s="113"/>
      <c r="IM116" s="113"/>
      <c r="IN116" s="113"/>
      <c r="IO116" s="113"/>
      <c r="IP116" s="113"/>
      <c r="IQ116" s="113"/>
      <c r="IR116" s="113"/>
      <c r="IS116" s="113"/>
      <c r="IT116" s="113"/>
      <c r="IU116" s="113"/>
      <c r="IV116" s="113"/>
      <c r="IW116" s="113"/>
    </row>
    <row r="117" customFormat="false" ht="12" hidden="false" customHeight="true" outlineLevel="0" collapsed="false">
      <c r="A117" s="15" t="s">
        <v>52</v>
      </c>
      <c r="B117" s="16" t="s">
        <v>354</v>
      </c>
      <c r="C117" s="16" t="s">
        <v>354</v>
      </c>
      <c r="D117" s="17" t="n">
        <v>36465</v>
      </c>
      <c r="E117" s="17" t="n">
        <v>36951</v>
      </c>
      <c r="F117" s="15" t="s">
        <v>355</v>
      </c>
      <c r="G117" s="15" t="s">
        <v>285</v>
      </c>
      <c r="H117" s="16" t="s">
        <v>170</v>
      </c>
      <c r="I117" s="19" t="n">
        <f aca="false">2.26/I$1</f>
        <v>0.0729032258064516</v>
      </c>
      <c r="J117" s="20" t="n">
        <v>0.0009</v>
      </c>
      <c r="K117" s="20" t="n">
        <v>0.0022</v>
      </c>
      <c r="L117" s="20" t="n">
        <v>0.0075</v>
      </c>
      <c r="M117" s="20" t="n">
        <v>0</v>
      </c>
      <c r="N117" s="21" t="n">
        <v>0.005</v>
      </c>
      <c r="O117" s="20" t="n">
        <f aca="false">SUM(I117:M117)</f>
        <v>0.0835032258064516</v>
      </c>
      <c r="P117" s="22" t="n">
        <v>31468</v>
      </c>
      <c r="Q117" s="16" t="n">
        <v>1600</v>
      </c>
      <c r="R117" s="157" t="s">
        <v>1</v>
      </c>
      <c r="S117" s="23" t="n">
        <f aca="false">I117*$I$1*Q117</f>
        <v>3616</v>
      </c>
      <c r="T117" s="23"/>
      <c r="U117" s="24" t="n">
        <v>125103</v>
      </c>
      <c r="V117" s="24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false" customHeight="false" outlineLevel="0" collapsed="false">
      <c r="A118" s="85" t="s">
        <v>1</v>
      </c>
      <c r="B118" s="69" t="s">
        <v>1</v>
      </c>
      <c r="C118" s="69" t="s">
        <v>1</v>
      </c>
      <c r="D118" s="86" t="s">
        <v>1</v>
      </c>
      <c r="E118" s="86" t="s">
        <v>1</v>
      </c>
      <c r="F118" s="85" t="s">
        <v>1</v>
      </c>
      <c r="G118" s="85" t="s">
        <v>1</v>
      </c>
      <c r="H118" s="69" t="s">
        <v>1</v>
      </c>
      <c r="I118" s="88" t="s">
        <v>1</v>
      </c>
      <c r="J118" s="68" t="s">
        <v>1</v>
      </c>
      <c r="K118" s="68" t="s">
        <v>1</v>
      </c>
      <c r="L118" s="68" t="s">
        <v>1</v>
      </c>
      <c r="M118" s="68" t="s">
        <v>267</v>
      </c>
      <c r="N118" s="154" t="s">
        <v>1</v>
      </c>
      <c r="O118" s="68" t="s">
        <v>1</v>
      </c>
      <c r="P118" s="161" t="s">
        <v>1</v>
      </c>
      <c r="Q118" s="69" t="s">
        <v>1</v>
      </c>
      <c r="R118" s="85" t="s">
        <v>1</v>
      </c>
      <c r="S118" s="35"/>
      <c r="T118" s="35" t="n">
        <f aca="false">SUM(T74:T117)</f>
        <v>0</v>
      </c>
      <c r="U118" s="37"/>
      <c r="V118" s="37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2"/>
      <c r="BN118" s="162"/>
      <c r="BO118" s="162"/>
      <c r="BP118" s="162"/>
      <c r="BQ118" s="162"/>
      <c r="BR118" s="162"/>
      <c r="BS118" s="162"/>
      <c r="BT118" s="162"/>
      <c r="BU118" s="162"/>
      <c r="BV118" s="162"/>
      <c r="BW118" s="162"/>
      <c r="BX118" s="162"/>
      <c r="BY118" s="162"/>
      <c r="BZ118" s="162"/>
      <c r="CA118" s="162"/>
      <c r="CB118" s="162"/>
      <c r="CC118" s="162"/>
      <c r="CD118" s="162"/>
      <c r="CE118" s="162"/>
      <c r="CF118" s="162"/>
      <c r="CG118" s="162"/>
      <c r="CH118" s="162"/>
      <c r="CI118" s="162"/>
      <c r="CJ118" s="162"/>
      <c r="CK118" s="162"/>
      <c r="CL118" s="162"/>
      <c r="CM118" s="162"/>
      <c r="CN118" s="162"/>
      <c r="CO118" s="162"/>
      <c r="CP118" s="162"/>
      <c r="CQ118" s="162"/>
      <c r="CR118" s="162"/>
      <c r="CS118" s="162"/>
      <c r="CT118" s="162"/>
      <c r="CU118" s="162"/>
      <c r="CV118" s="162"/>
      <c r="CW118" s="162"/>
      <c r="CX118" s="162"/>
      <c r="CY118" s="162"/>
      <c r="CZ118" s="162"/>
      <c r="DA118" s="162"/>
      <c r="DB118" s="162"/>
      <c r="DC118" s="162"/>
      <c r="DD118" s="162"/>
      <c r="DE118" s="162"/>
      <c r="DF118" s="162"/>
      <c r="DG118" s="162"/>
      <c r="DH118" s="162"/>
      <c r="DI118" s="162"/>
      <c r="DJ118" s="162"/>
      <c r="DK118" s="162"/>
      <c r="DL118" s="162"/>
      <c r="DM118" s="162"/>
      <c r="DN118" s="162"/>
      <c r="DO118" s="162"/>
      <c r="DP118" s="162"/>
      <c r="DQ118" s="162"/>
      <c r="DR118" s="162"/>
      <c r="DS118" s="162"/>
      <c r="DT118" s="162"/>
      <c r="DU118" s="162"/>
      <c r="DV118" s="162"/>
      <c r="DW118" s="162"/>
      <c r="DX118" s="162"/>
      <c r="DY118" s="162"/>
      <c r="DZ118" s="162"/>
      <c r="EA118" s="162"/>
      <c r="EB118" s="162"/>
      <c r="EC118" s="162"/>
      <c r="ED118" s="162"/>
      <c r="EE118" s="162"/>
      <c r="EF118" s="162"/>
      <c r="EG118" s="162"/>
      <c r="EH118" s="162"/>
      <c r="EI118" s="162"/>
      <c r="EJ118" s="162"/>
      <c r="EK118" s="162"/>
      <c r="EL118" s="162"/>
      <c r="EM118" s="162"/>
      <c r="EN118" s="162"/>
      <c r="EO118" s="162"/>
      <c r="EP118" s="162"/>
      <c r="EQ118" s="162"/>
      <c r="ER118" s="162"/>
      <c r="ES118" s="162"/>
      <c r="ET118" s="162"/>
      <c r="EU118" s="162"/>
      <c r="EV118" s="162"/>
      <c r="EW118" s="162"/>
      <c r="EX118" s="162"/>
      <c r="EY118" s="162"/>
      <c r="EZ118" s="162"/>
      <c r="FA118" s="162"/>
      <c r="FB118" s="162"/>
      <c r="FC118" s="162"/>
      <c r="FD118" s="162"/>
      <c r="FE118" s="162"/>
      <c r="FF118" s="162"/>
      <c r="FG118" s="162"/>
      <c r="FH118" s="162"/>
      <c r="FI118" s="162"/>
      <c r="FJ118" s="162"/>
      <c r="FK118" s="162"/>
      <c r="FL118" s="162"/>
      <c r="FM118" s="162"/>
      <c r="FN118" s="162"/>
      <c r="FO118" s="162"/>
      <c r="FP118" s="162"/>
      <c r="FQ118" s="162"/>
      <c r="FR118" s="162"/>
      <c r="FS118" s="162"/>
      <c r="FT118" s="162"/>
      <c r="FU118" s="162"/>
      <c r="FV118" s="162"/>
      <c r="FW118" s="162"/>
      <c r="FX118" s="162"/>
      <c r="FY118" s="162"/>
      <c r="FZ118" s="162"/>
      <c r="GA118" s="162"/>
      <c r="GB118" s="162"/>
      <c r="GC118" s="162"/>
      <c r="GD118" s="162"/>
      <c r="GE118" s="162"/>
      <c r="GF118" s="162"/>
      <c r="GG118" s="162"/>
      <c r="GH118" s="162"/>
      <c r="GI118" s="162"/>
      <c r="GJ118" s="162"/>
      <c r="GK118" s="162"/>
      <c r="GL118" s="162"/>
      <c r="GM118" s="162"/>
      <c r="GN118" s="162"/>
      <c r="GO118" s="162"/>
      <c r="GP118" s="162"/>
      <c r="GQ118" s="162"/>
      <c r="GR118" s="162"/>
      <c r="GS118" s="162"/>
      <c r="GT118" s="162"/>
      <c r="GU118" s="162"/>
      <c r="GV118" s="162"/>
      <c r="GW118" s="162"/>
      <c r="GX118" s="162"/>
      <c r="GY118" s="162"/>
      <c r="GZ118" s="162"/>
      <c r="HA118" s="162"/>
      <c r="HB118" s="162"/>
      <c r="HC118" s="162"/>
      <c r="HD118" s="162"/>
      <c r="HE118" s="162"/>
      <c r="HF118" s="162"/>
      <c r="HG118" s="162"/>
      <c r="HH118" s="162"/>
      <c r="HI118" s="162"/>
      <c r="HJ118" s="162"/>
      <c r="HK118" s="162"/>
      <c r="HL118" s="162"/>
      <c r="HM118" s="162"/>
      <c r="HN118" s="162"/>
      <c r="HO118" s="162"/>
      <c r="HP118" s="162"/>
      <c r="HQ118" s="162"/>
      <c r="HR118" s="162"/>
      <c r="HS118" s="162"/>
      <c r="HT118" s="162"/>
      <c r="HU118" s="162"/>
      <c r="HV118" s="162"/>
      <c r="HW118" s="162"/>
      <c r="HX118" s="162"/>
      <c r="HY118" s="162"/>
      <c r="HZ118" s="162"/>
      <c r="IA118" s="162"/>
      <c r="IB118" s="162"/>
      <c r="IC118" s="162"/>
      <c r="ID118" s="162"/>
      <c r="IE118" s="162"/>
      <c r="IF118" s="162"/>
      <c r="IG118" s="162"/>
      <c r="IH118" s="162"/>
      <c r="II118" s="162"/>
      <c r="IJ118" s="162"/>
      <c r="IK118" s="162"/>
      <c r="IL118" s="162"/>
      <c r="IM118" s="162"/>
      <c r="IN118" s="162"/>
      <c r="IO118" s="162"/>
      <c r="IP118" s="162"/>
      <c r="IQ118" s="162"/>
      <c r="IR118" s="162"/>
      <c r="IS118" s="162"/>
      <c r="IT118" s="162"/>
      <c r="IU118" s="162"/>
      <c r="IV118" s="162"/>
      <c r="IW118" s="162"/>
    </row>
    <row r="119" customFormat="false" ht="12.75" hidden="false" customHeight="false" outlineLevel="0" collapsed="false">
      <c r="A119" s="85"/>
      <c r="B119" s="69"/>
      <c r="C119" s="69"/>
      <c r="D119" s="86"/>
      <c r="E119" s="86"/>
      <c r="F119" s="85"/>
      <c r="G119" s="85"/>
      <c r="H119" s="69"/>
      <c r="I119" s="88"/>
      <c r="J119" s="68"/>
      <c r="K119" s="68"/>
      <c r="L119" s="68"/>
      <c r="M119" s="68"/>
      <c r="N119" s="89"/>
      <c r="O119" s="68"/>
      <c r="P119" s="161"/>
      <c r="Q119" s="69" t="n">
        <f aca="false">SUM(Q75:Q118)</f>
        <v>1320520</v>
      </c>
      <c r="R119" s="85" t="s">
        <v>164</v>
      </c>
      <c r="S119" s="35" t="n">
        <f aca="false">SUM(S75:S118)</f>
        <v>705796.48536</v>
      </c>
      <c r="T119" s="35"/>
      <c r="U119" s="36"/>
      <c r="V119" s="37"/>
      <c r="W119" s="37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2"/>
      <c r="AZ119" s="162"/>
      <c r="BA119" s="162"/>
      <c r="BB119" s="162"/>
      <c r="BC119" s="162"/>
      <c r="BD119" s="162"/>
      <c r="BE119" s="162"/>
      <c r="BF119" s="162"/>
      <c r="BG119" s="162"/>
      <c r="BH119" s="162"/>
      <c r="BI119" s="162"/>
      <c r="BJ119" s="162"/>
      <c r="BK119" s="162"/>
      <c r="BL119" s="162"/>
      <c r="BM119" s="162"/>
      <c r="BN119" s="162"/>
      <c r="BO119" s="162"/>
      <c r="BP119" s="162"/>
      <c r="BQ119" s="162"/>
      <c r="BR119" s="162"/>
      <c r="BS119" s="162"/>
      <c r="BT119" s="162"/>
      <c r="BU119" s="162"/>
      <c r="BV119" s="162"/>
      <c r="BW119" s="162"/>
      <c r="BX119" s="162"/>
      <c r="BY119" s="162"/>
      <c r="BZ119" s="162"/>
      <c r="CA119" s="162"/>
      <c r="CB119" s="162"/>
      <c r="CC119" s="162"/>
      <c r="CD119" s="162"/>
      <c r="CE119" s="162"/>
      <c r="CF119" s="162"/>
      <c r="CG119" s="162"/>
      <c r="CH119" s="162"/>
      <c r="CI119" s="162"/>
      <c r="CJ119" s="162"/>
      <c r="CK119" s="162"/>
      <c r="CL119" s="162"/>
      <c r="CM119" s="162"/>
      <c r="CN119" s="162"/>
      <c r="CO119" s="162"/>
      <c r="CP119" s="162"/>
      <c r="CQ119" s="162"/>
      <c r="CR119" s="162"/>
      <c r="CS119" s="162"/>
      <c r="CT119" s="162"/>
      <c r="CU119" s="162"/>
      <c r="CV119" s="162"/>
      <c r="CW119" s="162"/>
      <c r="CX119" s="162"/>
      <c r="CY119" s="162"/>
      <c r="CZ119" s="162"/>
      <c r="DA119" s="162"/>
      <c r="DB119" s="162"/>
      <c r="DC119" s="162"/>
      <c r="DD119" s="162"/>
      <c r="DE119" s="162"/>
      <c r="DF119" s="162"/>
      <c r="DG119" s="162"/>
      <c r="DH119" s="162"/>
      <c r="DI119" s="162"/>
      <c r="DJ119" s="162"/>
      <c r="DK119" s="162"/>
      <c r="DL119" s="162"/>
      <c r="DM119" s="162"/>
      <c r="DN119" s="162"/>
      <c r="DO119" s="162"/>
      <c r="DP119" s="162"/>
      <c r="DQ119" s="162"/>
      <c r="DR119" s="162"/>
      <c r="DS119" s="162"/>
      <c r="DT119" s="162"/>
      <c r="DU119" s="162"/>
      <c r="DV119" s="162"/>
      <c r="DW119" s="162"/>
      <c r="DX119" s="162"/>
      <c r="DY119" s="162"/>
      <c r="DZ119" s="162"/>
      <c r="EA119" s="162"/>
      <c r="EB119" s="162"/>
      <c r="EC119" s="162"/>
      <c r="ED119" s="162"/>
      <c r="EE119" s="162"/>
      <c r="EF119" s="162"/>
      <c r="EG119" s="162"/>
      <c r="EH119" s="162"/>
      <c r="EI119" s="162"/>
      <c r="EJ119" s="162"/>
      <c r="EK119" s="162"/>
      <c r="EL119" s="162"/>
      <c r="EM119" s="162"/>
      <c r="EN119" s="162"/>
      <c r="EO119" s="162"/>
      <c r="EP119" s="162"/>
      <c r="EQ119" s="162"/>
      <c r="ER119" s="162"/>
      <c r="ES119" s="162"/>
      <c r="ET119" s="162"/>
      <c r="EU119" s="162"/>
      <c r="EV119" s="162"/>
      <c r="EW119" s="162"/>
      <c r="EX119" s="162"/>
      <c r="EY119" s="162"/>
      <c r="EZ119" s="162"/>
      <c r="FA119" s="162"/>
      <c r="FB119" s="162"/>
      <c r="FC119" s="162"/>
      <c r="FD119" s="162"/>
      <c r="FE119" s="162"/>
      <c r="FF119" s="162"/>
      <c r="FG119" s="162"/>
      <c r="FH119" s="162"/>
      <c r="FI119" s="162"/>
      <c r="FJ119" s="162"/>
      <c r="FK119" s="162"/>
      <c r="FL119" s="162"/>
      <c r="FM119" s="162"/>
      <c r="FN119" s="162"/>
      <c r="FO119" s="162"/>
      <c r="FP119" s="162"/>
      <c r="FQ119" s="162"/>
      <c r="FR119" s="162"/>
      <c r="FS119" s="162"/>
      <c r="FT119" s="162"/>
      <c r="FU119" s="162"/>
      <c r="FV119" s="162"/>
      <c r="FW119" s="162"/>
      <c r="FX119" s="162"/>
      <c r="FY119" s="162"/>
      <c r="FZ119" s="162"/>
      <c r="GA119" s="162"/>
      <c r="GB119" s="162"/>
      <c r="GC119" s="162"/>
      <c r="GD119" s="162"/>
      <c r="GE119" s="162"/>
      <c r="GF119" s="162"/>
      <c r="GG119" s="162"/>
      <c r="GH119" s="162"/>
      <c r="GI119" s="162"/>
      <c r="GJ119" s="162"/>
      <c r="GK119" s="162"/>
      <c r="GL119" s="162"/>
      <c r="GM119" s="162"/>
      <c r="GN119" s="162"/>
      <c r="GO119" s="162"/>
      <c r="GP119" s="162"/>
      <c r="GQ119" s="162"/>
      <c r="GR119" s="162"/>
      <c r="GS119" s="162"/>
      <c r="GT119" s="162"/>
      <c r="GU119" s="162"/>
      <c r="GV119" s="162"/>
      <c r="GW119" s="162"/>
      <c r="GX119" s="162"/>
      <c r="GY119" s="162"/>
      <c r="GZ119" s="162"/>
      <c r="HA119" s="162"/>
      <c r="HB119" s="162"/>
      <c r="HC119" s="162"/>
      <c r="HD119" s="162"/>
      <c r="HE119" s="162"/>
      <c r="HF119" s="162"/>
      <c r="HG119" s="162"/>
      <c r="HH119" s="162"/>
      <c r="HI119" s="162"/>
      <c r="HJ119" s="162"/>
      <c r="HK119" s="162"/>
      <c r="HL119" s="162"/>
      <c r="HM119" s="162"/>
      <c r="HN119" s="162"/>
      <c r="HO119" s="162"/>
      <c r="HP119" s="162"/>
      <c r="HQ119" s="162"/>
      <c r="HR119" s="162"/>
      <c r="HS119" s="162"/>
      <c r="HT119" s="162"/>
      <c r="HU119" s="162"/>
      <c r="HV119" s="162"/>
      <c r="HW119" s="162"/>
      <c r="HX119" s="162"/>
      <c r="HY119" s="162"/>
      <c r="HZ119" s="162"/>
      <c r="IA119" s="162"/>
      <c r="IB119" s="162"/>
      <c r="IC119" s="162"/>
      <c r="ID119" s="162"/>
      <c r="IE119" s="162"/>
      <c r="IF119" s="162"/>
      <c r="IG119" s="162"/>
      <c r="IH119" s="162"/>
      <c r="II119" s="162"/>
      <c r="IJ119" s="162"/>
      <c r="IK119" s="162"/>
      <c r="IL119" s="162"/>
      <c r="IM119" s="162"/>
      <c r="IN119" s="162"/>
      <c r="IO119" s="162"/>
      <c r="IP119" s="162"/>
      <c r="IQ119" s="162"/>
      <c r="IR119" s="162"/>
      <c r="IS119" s="162"/>
      <c r="IT119" s="162"/>
      <c r="IU119" s="162"/>
      <c r="IV119" s="162"/>
      <c r="IW119" s="162"/>
    </row>
    <row r="120" customFormat="false" ht="12.75" hidden="false" customHeight="false" outlineLevel="0" collapsed="false">
      <c r="A120" s="15"/>
      <c r="B120" s="16"/>
      <c r="C120" s="16"/>
      <c r="D120" s="17"/>
      <c r="E120" s="17"/>
      <c r="F120" s="15"/>
      <c r="G120" s="15"/>
      <c r="H120" s="16"/>
      <c r="I120" s="19"/>
      <c r="J120" s="20"/>
      <c r="K120" s="20"/>
      <c r="L120" s="20"/>
      <c r="M120" s="20"/>
      <c r="N120" s="25"/>
      <c r="O120" s="20"/>
      <c r="P120" s="22"/>
      <c r="Q120" s="71"/>
      <c r="R120" s="85" t="s">
        <v>165</v>
      </c>
      <c r="S120" s="35" t="n">
        <f aca="false">SUM(S75:S81,S90:S109)</f>
        <v>570296.25776</v>
      </c>
      <c r="T120" s="23"/>
      <c r="U120" s="26"/>
      <c r="V120" s="24"/>
      <c r="W120" s="24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3.5" hidden="false" customHeight="false" outlineLevel="0" collapsed="false">
      <c r="A121" s="15"/>
      <c r="B121" s="16"/>
      <c r="C121" s="16"/>
      <c r="D121" s="17"/>
      <c r="E121" s="17"/>
      <c r="F121" s="15"/>
      <c r="G121" s="15"/>
      <c r="H121" s="16"/>
      <c r="I121" s="19"/>
      <c r="J121" s="20"/>
      <c r="K121" s="20"/>
      <c r="L121" s="20"/>
      <c r="M121" s="20"/>
      <c r="N121" s="25"/>
      <c r="O121" s="20"/>
      <c r="P121" s="22"/>
      <c r="Q121" s="71"/>
      <c r="R121" s="85" t="s">
        <v>166</v>
      </c>
      <c r="S121" s="176" t="n">
        <f aca="false">+S119-S120</f>
        <v>135500.2276</v>
      </c>
      <c r="T121" s="23"/>
      <c r="U121" s="26"/>
      <c r="V121" s="24"/>
      <c r="W121" s="24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3.5" hidden="false" customHeight="false" outlineLevel="0" collapsed="false">
      <c r="A122" s="15"/>
      <c r="B122" s="16"/>
      <c r="C122" s="16"/>
      <c r="D122" s="17"/>
      <c r="E122" s="17"/>
      <c r="F122" s="15"/>
      <c r="G122" s="15"/>
      <c r="H122" s="16"/>
      <c r="I122" s="19"/>
      <c r="J122" s="20"/>
      <c r="K122" s="20"/>
      <c r="L122" s="20"/>
      <c r="M122" s="20"/>
      <c r="N122" s="25"/>
      <c r="O122" s="20"/>
      <c r="P122" s="22"/>
      <c r="Q122" s="16"/>
      <c r="R122" s="15"/>
      <c r="S122" s="23"/>
      <c r="T122" s="23"/>
      <c r="U122" s="26"/>
      <c r="V122" s="24"/>
      <c r="W122" s="24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141" t="s">
        <v>108</v>
      </c>
      <c r="B123" s="142" t="s">
        <v>109</v>
      </c>
      <c r="C123" s="142" t="s">
        <v>110</v>
      </c>
      <c r="D123" s="143" t="s">
        <v>111</v>
      </c>
      <c r="E123" s="143"/>
      <c r="F123" s="141" t="s">
        <v>112</v>
      </c>
      <c r="G123" s="141" t="s">
        <v>113</v>
      </c>
      <c r="H123" s="142" t="s">
        <v>221</v>
      </c>
      <c r="I123" s="144" t="s">
        <v>115</v>
      </c>
      <c r="J123" s="142" t="s">
        <v>116</v>
      </c>
      <c r="K123" s="142" t="s">
        <v>117</v>
      </c>
      <c r="L123" s="142" t="s">
        <v>118</v>
      </c>
      <c r="M123" s="142" t="s">
        <v>119</v>
      </c>
      <c r="N123" s="145" t="s">
        <v>120</v>
      </c>
      <c r="O123" s="142" t="s">
        <v>121</v>
      </c>
      <c r="P123" s="146" t="s">
        <v>147</v>
      </c>
      <c r="Q123" s="142" t="s">
        <v>123</v>
      </c>
      <c r="R123" s="141" t="s">
        <v>124</v>
      </c>
      <c r="S123" s="99" t="s">
        <v>125</v>
      </c>
      <c r="T123" s="99" t="s">
        <v>126</v>
      </c>
      <c r="U123" s="147" t="s">
        <v>148</v>
      </c>
      <c r="V123" s="102"/>
      <c r="W123" s="102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148"/>
      <c r="CB123" s="148"/>
      <c r="CC123" s="148"/>
      <c r="CD123" s="148"/>
      <c r="CE123" s="148"/>
      <c r="CF123" s="148"/>
      <c r="CG123" s="148"/>
      <c r="CH123" s="148"/>
      <c r="CI123" s="148"/>
      <c r="CJ123" s="148"/>
      <c r="CK123" s="148"/>
      <c r="CL123" s="148"/>
      <c r="CM123" s="148"/>
      <c r="CN123" s="148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148"/>
      <c r="DM123" s="148"/>
      <c r="DN123" s="148"/>
      <c r="DO123" s="148"/>
      <c r="DP123" s="148"/>
      <c r="DQ123" s="148"/>
      <c r="DR123" s="148"/>
      <c r="DS123" s="148"/>
      <c r="DT123" s="148"/>
      <c r="DU123" s="148"/>
      <c r="DV123" s="148"/>
      <c r="DW123" s="148"/>
      <c r="DX123" s="148"/>
      <c r="DY123" s="148"/>
      <c r="DZ123" s="148"/>
      <c r="EA123" s="148"/>
      <c r="EB123" s="148"/>
      <c r="EC123" s="148"/>
      <c r="ED123" s="148"/>
      <c r="EE123" s="148"/>
      <c r="EF123" s="148"/>
      <c r="EG123" s="148"/>
      <c r="EH123" s="148"/>
      <c r="EI123" s="148"/>
      <c r="EJ123" s="148"/>
      <c r="EK123" s="148"/>
      <c r="EL123" s="148"/>
      <c r="EM123" s="148"/>
      <c r="EN123" s="148"/>
      <c r="EO123" s="148"/>
      <c r="EP123" s="148"/>
      <c r="EQ123" s="148"/>
      <c r="ER123" s="148"/>
      <c r="ES123" s="148"/>
      <c r="ET123" s="148"/>
      <c r="EU123" s="148"/>
      <c r="EV123" s="148"/>
      <c r="EW123" s="148"/>
      <c r="EX123" s="148"/>
      <c r="EY123" s="148"/>
      <c r="EZ123" s="148"/>
      <c r="FA123" s="148"/>
      <c r="FB123" s="148"/>
      <c r="FC123" s="148"/>
      <c r="FD123" s="148"/>
      <c r="FE123" s="148"/>
      <c r="FF123" s="148"/>
      <c r="FG123" s="148"/>
      <c r="FH123" s="148"/>
      <c r="FI123" s="148"/>
      <c r="FJ123" s="148"/>
      <c r="FK123" s="148"/>
      <c r="FL123" s="148"/>
      <c r="FM123" s="148"/>
      <c r="FN123" s="148"/>
      <c r="FO123" s="148"/>
      <c r="FP123" s="148"/>
      <c r="FQ123" s="148"/>
      <c r="FR123" s="148"/>
      <c r="FS123" s="148"/>
      <c r="FT123" s="148"/>
      <c r="FU123" s="148"/>
      <c r="FV123" s="148"/>
      <c r="FW123" s="148"/>
      <c r="FX123" s="148"/>
      <c r="FY123" s="148"/>
      <c r="FZ123" s="148"/>
      <c r="GA123" s="148"/>
      <c r="GB123" s="148"/>
      <c r="GC123" s="148"/>
      <c r="GD123" s="148"/>
      <c r="GE123" s="148"/>
      <c r="GF123" s="148"/>
      <c r="GG123" s="148"/>
      <c r="GH123" s="148"/>
      <c r="GI123" s="148"/>
      <c r="GJ123" s="148"/>
      <c r="GK123" s="148"/>
      <c r="GL123" s="148"/>
      <c r="GM123" s="148"/>
      <c r="GN123" s="148"/>
      <c r="GO123" s="148"/>
      <c r="GP123" s="148"/>
      <c r="GQ123" s="148"/>
      <c r="GR123" s="148"/>
      <c r="GS123" s="148"/>
      <c r="GT123" s="148"/>
      <c r="GU123" s="148"/>
      <c r="GV123" s="148"/>
      <c r="GW123" s="148"/>
      <c r="GX123" s="148"/>
      <c r="GY123" s="148"/>
      <c r="GZ123" s="148"/>
      <c r="HA123" s="148"/>
      <c r="HB123" s="148"/>
      <c r="HC123" s="148"/>
      <c r="HD123" s="148"/>
      <c r="HE123" s="148"/>
      <c r="HF123" s="148"/>
      <c r="HG123" s="148"/>
      <c r="HH123" s="148"/>
      <c r="HI123" s="148"/>
      <c r="HJ123" s="148"/>
      <c r="HK123" s="148"/>
      <c r="HL123" s="148"/>
      <c r="HM123" s="148"/>
      <c r="HN123" s="148"/>
      <c r="HO123" s="148"/>
      <c r="HP123" s="148"/>
      <c r="HQ123" s="148"/>
      <c r="HR123" s="148"/>
      <c r="HS123" s="148"/>
      <c r="HT123" s="148"/>
      <c r="HU123" s="148"/>
      <c r="HV123" s="148"/>
      <c r="HW123" s="148"/>
      <c r="HX123" s="148"/>
      <c r="HY123" s="148"/>
      <c r="HZ123" s="148"/>
      <c r="IA123" s="148"/>
      <c r="IB123" s="148"/>
      <c r="IC123" s="148"/>
      <c r="ID123" s="148"/>
      <c r="IE123" s="148"/>
      <c r="IF123" s="148"/>
      <c r="IG123" s="148"/>
      <c r="IH123" s="148"/>
      <c r="II123" s="148"/>
      <c r="IJ123" s="148"/>
      <c r="IK123" s="148"/>
      <c r="IL123" s="148"/>
      <c r="IM123" s="148"/>
      <c r="IN123" s="148"/>
      <c r="IO123" s="148"/>
      <c r="IP123" s="148"/>
      <c r="IQ123" s="148"/>
      <c r="IR123" s="148"/>
      <c r="IS123" s="148"/>
      <c r="IT123" s="148"/>
      <c r="IU123" s="148"/>
      <c r="IV123" s="148"/>
      <c r="IW123" s="148"/>
    </row>
    <row r="124" customFormat="false" ht="11.25" hidden="false" customHeight="false" outlineLevel="0" collapsed="false">
      <c r="A124" s="15" t="s">
        <v>149</v>
      </c>
      <c r="B124" s="16" t="s">
        <v>356</v>
      </c>
      <c r="C124" s="16" t="s">
        <v>201</v>
      </c>
      <c r="D124" s="17" t="n">
        <v>36557</v>
      </c>
      <c r="E124" s="17" t="n">
        <v>36830</v>
      </c>
      <c r="F124" s="15" t="s">
        <v>357</v>
      </c>
      <c r="G124" s="15" t="s">
        <v>358</v>
      </c>
      <c r="H124" s="15" t="s">
        <v>359</v>
      </c>
      <c r="I124" s="206" t="n">
        <f aca="false">18.29*0.0328767</f>
        <v>0.601314843</v>
      </c>
      <c r="J124" s="15" t="n">
        <v>0</v>
      </c>
      <c r="K124" s="15" t="n">
        <v>0.0022</v>
      </c>
      <c r="L124" s="15" t="n">
        <v>0.0072</v>
      </c>
      <c r="M124" s="15" t="n">
        <v>0.0131</v>
      </c>
      <c r="N124" s="15" t="n">
        <v>0</v>
      </c>
      <c r="O124" s="15" t="n">
        <f aca="false">SUM(I124:M124)</f>
        <v>0.623814843</v>
      </c>
      <c r="P124" s="22" t="n">
        <v>892510</v>
      </c>
      <c r="Q124" s="15" t="n">
        <v>16136</v>
      </c>
      <c r="R124" s="15" t="s">
        <v>360</v>
      </c>
      <c r="S124" s="207" t="n">
        <f aca="false">I124*I$1*Q124</f>
        <v>300787.305506088</v>
      </c>
      <c r="T124" s="15"/>
      <c r="U124" s="26" t="s">
        <v>361</v>
      </c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  <c r="GV124" s="15"/>
      <c r="GW124" s="15"/>
      <c r="GX124" s="15"/>
      <c r="GY124" s="15"/>
      <c r="GZ124" s="15"/>
      <c r="HA124" s="15"/>
      <c r="HB124" s="15"/>
      <c r="HC124" s="15"/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  <c r="IG124" s="15"/>
      <c r="IH124" s="15"/>
      <c r="II124" s="15"/>
      <c r="IJ124" s="15"/>
      <c r="IK124" s="15"/>
      <c r="IL124" s="15"/>
      <c r="IM124" s="15"/>
      <c r="IN124" s="15"/>
      <c r="IO124" s="15"/>
      <c r="IP124" s="15"/>
      <c r="IQ124" s="15"/>
      <c r="IR124" s="15"/>
      <c r="IS124" s="15"/>
      <c r="IT124" s="15"/>
      <c r="IU124" s="15"/>
      <c r="IV124" s="15"/>
      <c r="IW124" s="15"/>
    </row>
    <row r="125" customFormat="false" ht="11.25" hidden="false" customHeight="false" outlineLevel="0" collapsed="false">
      <c r="A125" s="38" t="s">
        <v>149</v>
      </c>
      <c r="B125" s="104" t="s">
        <v>356</v>
      </c>
      <c r="C125" s="104" t="s">
        <v>201</v>
      </c>
      <c r="D125" s="105" t="n">
        <v>36739</v>
      </c>
      <c r="E125" s="105" t="n">
        <v>36769</v>
      </c>
      <c r="F125" s="38" t="s">
        <v>357</v>
      </c>
      <c r="G125" s="38" t="s">
        <v>358</v>
      </c>
      <c r="H125" s="38" t="s">
        <v>359</v>
      </c>
      <c r="I125" s="208" t="n">
        <f aca="false">18.889*0.0328767</f>
        <v>0.6210079863</v>
      </c>
      <c r="J125" s="38" t="n">
        <v>0</v>
      </c>
      <c r="K125" s="38" t="n">
        <v>0.0022</v>
      </c>
      <c r="L125" s="38" t="n">
        <v>0.0072</v>
      </c>
      <c r="M125" s="38" t="n">
        <v>0.0131</v>
      </c>
      <c r="N125" s="38" t="n">
        <v>0</v>
      </c>
      <c r="O125" s="38" t="n">
        <f aca="false">SUM(I125:M125)</f>
        <v>0.6435079863</v>
      </c>
      <c r="P125" s="109" t="n">
        <v>892511</v>
      </c>
      <c r="Q125" s="38" t="n">
        <v>-642</v>
      </c>
      <c r="R125" s="38"/>
      <c r="S125" s="209" t="n">
        <f aca="false">I125*I$1*Q125</f>
        <v>-12359.3009433426</v>
      </c>
      <c r="T125" s="38"/>
      <c r="U125" s="111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8"/>
      <c r="GE125" s="38"/>
      <c r="GF125" s="38"/>
      <c r="GG125" s="38"/>
      <c r="GH125" s="38"/>
      <c r="GI125" s="38"/>
      <c r="GJ125" s="38"/>
      <c r="GK125" s="38"/>
      <c r="GL125" s="38"/>
      <c r="GM125" s="38"/>
      <c r="GN125" s="38"/>
      <c r="GO125" s="38"/>
      <c r="GP125" s="38"/>
      <c r="GQ125" s="38"/>
      <c r="GR125" s="38"/>
      <c r="GS125" s="38"/>
      <c r="GT125" s="38"/>
      <c r="GU125" s="38"/>
      <c r="GV125" s="38"/>
      <c r="GW125" s="38"/>
      <c r="GX125" s="38"/>
      <c r="GY125" s="38"/>
      <c r="GZ125" s="38"/>
      <c r="HA125" s="38"/>
      <c r="HB125" s="38"/>
      <c r="HC125" s="38"/>
      <c r="HD125" s="38"/>
      <c r="HE125" s="38"/>
      <c r="HF125" s="38"/>
      <c r="HG125" s="38"/>
      <c r="HH125" s="38"/>
      <c r="HI125" s="38"/>
      <c r="HJ125" s="38"/>
      <c r="HK125" s="38"/>
      <c r="HL125" s="38"/>
      <c r="HM125" s="38"/>
      <c r="HN125" s="38"/>
      <c r="HO125" s="38"/>
      <c r="HP125" s="38"/>
      <c r="HQ125" s="38"/>
      <c r="HR125" s="38"/>
      <c r="HS125" s="38"/>
      <c r="HT125" s="38"/>
      <c r="HU125" s="38"/>
      <c r="HV125" s="38"/>
      <c r="HW125" s="38"/>
      <c r="HX125" s="38"/>
      <c r="HY125" s="38"/>
      <c r="HZ125" s="38"/>
      <c r="IA125" s="38"/>
      <c r="IB125" s="38"/>
      <c r="IC125" s="38"/>
      <c r="ID125" s="38"/>
      <c r="IE125" s="38"/>
      <c r="IF125" s="38"/>
      <c r="IG125" s="38"/>
      <c r="IH125" s="38"/>
      <c r="II125" s="38"/>
      <c r="IJ125" s="38"/>
      <c r="IK125" s="38"/>
      <c r="IL125" s="38"/>
      <c r="IM125" s="38"/>
      <c r="IN125" s="38"/>
      <c r="IO125" s="38"/>
      <c r="IP125" s="38"/>
      <c r="IQ125" s="38"/>
      <c r="IR125" s="38"/>
      <c r="IS125" s="38"/>
      <c r="IT125" s="38"/>
      <c r="IU125" s="38"/>
      <c r="IV125" s="38"/>
      <c r="IW125" s="38"/>
    </row>
    <row r="126" customFormat="false" ht="12.75" hidden="false" customHeight="false" outlineLevel="0" collapsed="false">
      <c r="A126" s="15" t="s">
        <v>149</v>
      </c>
      <c r="B126" s="16" t="s">
        <v>356</v>
      </c>
      <c r="C126" s="16" t="s">
        <v>201</v>
      </c>
      <c r="D126" s="17" t="n">
        <v>36465</v>
      </c>
      <c r="E126" s="17" t="n">
        <v>36830</v>
      </c>
      <c r="F126" s="15" t="s">
        <v>357</v>
      </c>
      <c r="G126" s="15" t="s">
        <v>358</v>
      </c>
      <c r="H126" s="16" t="s">
        <v>359</v>
      </c>
      <c r="I126" s="206" t="n">
        <f aca="false">18.889*0.0328767</f>
        <v>0.6210079863</v>
      </c>
      <c r="J126" s="20" t="n">
        <v>0</v>
      </c>
      <c r="K126" s="20" t="n">
        <v>0.0022</v>
      </c>
      <c r="L126" s="20" t="n">
        <v>0.0072</v>
      </c>
      <c r="M126" s="20" t="n">
        <v>0.0131</v>
      </c>
      <c r="N126" s="25" t="n">
        <v>0</v>
      </c>
      <c r="O126" s="20" t="n">
        <f aca="false">SUM(I126:M126)</f>
        <v>0.6435079863</v>
      </c>
      <c r="P126" s="22" t="n">
        <v>892511</v>
      </c>
      <c r="Q126" s="16" t="n">
        <v>8068</v>
      </c>
      <c r="R126" s="15"/>
      <c r="S126" s="207" t="n">
        <f aca="false">I126*I$1*Q126</f>
        <v>155319.06543752</v>
      </c>
      <c r="T126" s="23"/>
      <c r="U126" s="26" t="s">
        <v>362</v>
      </c>
      <c r="V126" s="24"/>
      <c r="W126" s="24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12.75" hidden="false" customHeight="false" outlineLevel="0" collapsed="false">
      <c r="A127" s="85" t="s">
        <v>144</v>
      </c>
      <c r="B127" s="69" t="s">
        <v>356</v>
      </c>
      <c r="C127" s="69" t="s">
        <v>151</v>
      </c>
      <c r="D127" s="86" t="n">
        <v>36647</v>
      </c>
      <c r="E127" s="86" t="n">
        <v>36830</v>
      </c>
      <c r="F127" s="85" t="s">
        <v>363</v>
      </c>
      <c r="G127" s="85" t="s">
        <v>358</v>
      </c>
      <c r="H127" s="69" t="s">
        <v>252</v>
      </c>
      <c r="I127" s="88" t="n">
        <f aca="false">0.9125*0.0328767</f>
        <v>0.02999998875</v>
      </c>
      <c r="J127" s="68" t="n">
        <v>0.075</v>
      </c>
      <c r="K127" s="68" t="n">
        <v>0.0022</v>
      </c>
      <c r="L127" s="68" t="n">
        <v>0</v>
      </c>
      <c r="M127" s="68" t="n">
        <v>0</v>
      </c>
      <c r="N127" s="154" t="n">
        <v>0</v>
      </c>
      <c r="O127" s="68" t="n">
        <f aca="false">SUM(I127:M127)</f>
        <v>0.10719998875</v>
      </c>
      <c r="P127" s="161" t="n">
        <v>893145</v>
      </c>
      <c r="Q127" s="69" t="n">
        <v>5000</v>
      </c>
      <c r="R127" s="85" t="s">
        <v>364</v>
      </c>
      <c r="S127" s="151" t="n">
        <f aca="false">+I127*I$1*Q127</f>
        <v>4649.99825625</v>
      </c>
      <c r="T127" s="35"/>
      <c r="U127" s="37" t="s">
        <v>365</v>
      </c>
      <c r="V127" s="37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2"/>
      <c r="BA127" s="162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62"/>
      <c r="BW127" s="162"/>
      <c r="BX127" s="162"/>
      <c r="BY127" s="162"/>
      <c r="BZ127" s="162"/>
      <c r="CA127" s="162"/>
      <c r="CB127" s="162"/>
      <c r="CC127" s="162"/>
      <c r="CD127" s="162"/>
      <c r="CE127" s="162"/>
      <c r="CF127" s="162"/>
      <c r="CG127" s="162"/>
      <c r="CH127" s="162"/>
      <c r="CI127" s="162"/>
      <c r="CJ127" s="162"/>
      <c r="CK127" s="162"/>
      <c r="CL127" s="162"/>
      <c r="CM127" s="162"/>
      <c r="CN127" s="162"/>
      <c r="CO127" s="162"/>
      <c r="CP127" s="162"/>
      <c r="CQ127" s="162"/>
      <c r="CR127" s="162"/>
      <c r="CS127" s="162"/>
      <c r="CT127" s="162"/>
      <c r="CU127" s="162"/>
      <c r="CV127" s="162"/>
      <c r="CW127" s="162"/>
      <c r="CX127" s="162"/>
      <c r="CY127" s="162"/>
      <c r="CZ127" s="162"/>
      <c r="DA127" s="162"/>
      <c r="DB127" s="162"/>
      <c r="DC127" s="162"/>
      <c r="DD127" s="162"/>
      <c r="DE127" s="162"/>
      <c r="DF127" s="162"/>
      <c r="DG127" s="162"/>
      <c r="DH127" s="162"/>
      <c r="DI127" s="162"/>
      <c r="DJ127" s="162"/>
      <c r="DK127" s="162"/>
      <c r="DL127" s="162"/>
      <c r="DM127" s="162"/>
      <c r="DN127" s="162"/>
      <c r="DO127" s="162"/>
      <c r="DP127" s="162"/>
      <c r="DQ127" s="162"/>
      <c r="DR127" s="162"/>
      <c r="DS127" s="162"/>
      <c r="DT127" s="162"/>
      <c r="DU127" s="162"/>
      <c r="DV127" s="162"/>
      <c r="DW127" s="162"/>
      <c r="DX127" s="162"/>
      <c r="DY127" s="162"/>
      <c r="DZ127" s="162"/>
      <c r="EA127" s="162"/>
      <c r="EB127" s="162"/>
      <c r="EC127" s="162"/>
      <c r="ED127" s="162"/>
      <c r="EE127" s="162"/>
      <c r="EF127" s="162"/>
      <c r="EG127" s="162"/>
      <c r="EH127" s="162"/>
      <c r="EI127" s="162"/>
      <c r="EJ127" s="162"/>
      <c r="EK127" s="162"/>
      <c r="EL127" s="162"/>
      <c r="EM127" s="162"/>
      <c r="EN127" s="162"/>
      <c r="EO127" s="162"/>
      <c r="EP127" s="162"/>
      <c r="EQ127" s="162"/>
      <c r="ER127" s="162"/>
      <c r="ES127" s="162"/>
      <c r="ET127" s="162"/>
      <c r="EU127" s="162"/>
      <c r="EV127" s="162"/>
      <c r="EW127" s="162"/>
      <c r="EX127" s="162"/>
      <c r="EY127" s="162"/>
      <c r="EZ127" s="162"/>
      <c r="FA127" s="162"/>
      <c r="FB127" s="162"/>
      <c r="FC127" s="162"/>
      <c r="FD127" s="162"/>
      <c r="FE127" s="162"/>
      <c r="FF127" s="162"/>
      <c r="FG127" s="162"/>
      <c r="FH127" s="162"/>
      <c r="FI127" s="162"/>
      <c r="FJ127" s="162"/>
      <c r="FK127" s="162"/>
      <c r="FL127" s="162"/>
      <c r="FM127" s="162"/>
      <c r="FN127" s="162"/>
      <c r="FO127" s="162"/>
      <c r="FP127" s="162"/>
      <c r="FQ127" s="162"/>
      <c r="FR127" s="162"/>
      <c r="FS127" s="162"/>
      <c r="FT127" s="162"/>
      <c r="FU127" s="162"/>
      <c r="FV127" s="162"/>
      <c r="FW127" s="162"/>
      <c r="FX127" s="162"/>
      <c r="FY127" s="162"/>
      <c r="FZ127" s="162"/>
      <c r="GA127" s="162"/>
      <c r="GB127" s="162"/>
      <c r="GC127" s="162"/>
      <c r="GD127" s="162"/>
      <c r="GE127" s="162"/>
      <c r="GF127" s="162"/>
      <c r="GG127" s="162"/>
      <c r="GH127" s="162"/>
      <c r="GI127" s="162"/>
      <c r="GJ127" s="162"/>
      <c r="GK127" s="162"/>
      <c r="GL127" s="162"/>
      <c r="GM127" s="162"/>
      <c r="GN127" s="162"/>
      <c r="GO127" s="162"/>
      <c r="GP127" s="162"/>
      <c r="GQ127" s="162"/>
      <c r="GR127" s="162"/>
      <c r="GS127" s="162"/>
      <c r="GT127" s="162"/>
      <c r="GU127" s="162"/>
      <c r="GV127" s="162"/>
      <c r="GW127" s="162"/>
      <c r="GX127" s="162"/>
      <c r="GY127" s="162"/>
      <c r="GZ127" s="162"/>
      <c r="HA127" s="162"/>
      <c r="HB127" s="162"/>
      <c r="HC127" s="162"/>
      <c r="HD127" s="162"/>
      <c r="HE127" s="162"/>
      <c r="HF127" s="162"/>
      <c r="HG127" s="162"/>
      <c r="HH127" s="162"/>
      <c r="HI127" s="162"/>
      <c r="HJ127" s="162"/>
      <c r="HK127" s="162"/>
      <c r="HL127" s="162"/>
      <c r="HM127" s="162"/>
      <c r="HN127" s="162"/>
      <c r="HO127" s="162"/>
      <c r="HP127" s="162"/>
      <c r="HQ127" s="162"/>
      <c r="HR127" s="162"/>
      <c r="HS127" s="162"/>
      <c r="HT127" s="162"/>
      <c r="HU127" s="162"/>
      <c r="HV127" s="162"/>
      <c r="HW127" s="162"/>
      <c r="HX127" s="162"/>
      <c r="HY127" s="162"/>
      <c r="HZ127" s="162"/>
      <c r="IA127" s="162"/>
      <c r="IB127" s="162"/>
      <c r="IC127" s="162"/>
      <c r="ID127" s="162"/>
      <c r="IE127" s="162"/>
      <c r="IF127" s="162"/>
      <c r="IG127" s="162"/>
      <c r="IH127" s="162"/>
      <c r="II127" s="162"/>
      <c r="IJ127" s="162"/>
      <c r="IK127" s="162"/>
      <c r="IL127" s="162"/>
      <c r="IM127" s="162"/>
      <c r="IN127" s="162"/>
      <c r="IO127" s="162"/>
      <c r="IP127" s="162"/>
      <c r="IQ127" s="162"/>
      <c r="IR127" s="162"/>
      <c r="IS127" s="162"/>
      <c r="IT127" s="162"/>
      <c r="IU127" s="162"/>
      <c r="IV127" s="162"/>
      <c r="IW127" s="162"/>
    </row>
    <row r="128" customFormat="false" ht="12.75" hidden="false" customHeight="false" outlineLevel="0" collapsed="false">
      <c r="A128" s="85" t="s">
        <v>144</v>
      </c>
      <c r="B128" s="69" t="s">
        <v>356</v>
      </c>
      <c r="C128" s="69" t="s">
        <v>366</v>
      </c>
      <c r="D128" s="86" t="n">
        <v>36617</v>
      </c>
      <c r="E128" s="86" t="n">
        <v>36830</v>
      </c>
      <c r="F128" s="85" t="s">
        <v>363</v>
      </c>
      <c r="G128" s="85" t="s">
        <v>358</v>
      </c>
      <c r="H128" s="69" t="s">
        <v>170</v>
      </c>
      <c r="I128" s="88" t="n">
        <f aca="false">0.7604*0.0328767</f>
        <v>0.02499944268</v>
      </c>
      <c r="J128" s="68" t="n">
        <v>0.075</v>
      </c>
      <c r="K128" s="68" t="n">
        <v>0.0022</v>
      </c>
      <c r="L128" s="68" t="n">
        <v>0</v>
      </c>
      <c r="M128" s="68" t="n">
        <v>0</v>
      </c>
      <c r="N128" s="154" t="n">
        <v>0</v>
      </c>
      <c r="O128" s="68" t="n">
        <f aca="false">SUM(I128:M128)</f>
        <v>0.10219944268</v>
      </c>
      <c r="P128" s="161" t="n">
        <v>892875</v>
      </c>
      <c r="Q128" s="69" t="n">
        <v>10000</v>
      </c>
      <c r="R128" s="85" t="s">
        <v>367</v>
      </c>
      <c r="S128" s="151" t="n">
        <f aca="false">+I128*I$1*Q128</f>
        <v>7749.8272308</v>
      </c>
      <c r="T128" s="35"/>
      <c r="U128" s="37" t="s">
        <v>368</v>
      </c>
      <c r="V128" s="37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2"/>
      <c r="AZ128" s="162"/>
      <c r="BA128" s="162"/>
      <c r="BB128" s="162"/>
      <c r="BC128" s="162"/>
      <c r="BD128" s="162"/>
      <c r="BE128" s="162"/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2"/>
      <c r="BQ128" s="162"/>
      <c r="BR128" s="162"/>
      <c r="BS128" s="162"/>
      <c r="BT128" s="162"/>
      <c r="BU128" s="162"/>
      <c r="BV128" s="162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62"/>
      <c r="CL128" s="162"/>
      <c r="CM128" s="162"/>
      <c r="CN128" s="162"/>
      <c r="CO128" s="162"/>
      <c r="CP128" s="162"/>
      <c r="CQ128" s="162"/>
      <c r="CR128" s="162"/>
      <c r="CS128" s="162"/>
      <c r="CT128" s="162"/>
      <c r="CU128" s="162"/>
      <c r="CV128" s="162"/>
      <c r="CW128" s="162"/>
      <c r="CX128" s="162"/>
      <c r="CY128" s="162"/>
      <c r="CZ128" s="162"/>
      <c r="DA128" s="162"/>
      <c r="DB128" s="162"/>
      <c r="DC128" s="162"/>
      <c r="DD128" s="162"/>
      <c r="DE128" s="162"/>
      <c r="DF128" s="162"/>
      <c r="DG128" s="162"/>
      <c r="DH128" s="162"/>
      <c r="DI128" s="162"/>
      <c r="DJ128" s="162"/>
      <c r="DK128" s="162"/>
      <c r="DL128" s="162"/>
      <c r="DM128" s="162"/>
      <c r="DN128" s="162"/>
      <c r="DO128" s="162"/>
      <c r="DP128" s="162"/>
      <c r="DQ128" s="162"/>
      <c r="DR128" s="162"/>
      <c r="DS128" s="162"/>
      <c r="DT128" s="162"/>
      <c r="DU128" s="162"/>
      <c r="DV128" s="162"/>
      <c r="DW128" s="162"/>
      <c r="DX128" s="162"/>
      <c r="DY128" s="162"/>
      <c r="DZ128" s="162"/>
      <c r="EA128" s="162"/>
      <c r="EB128" s="162"/>
      <c r="EC128" s="162"/>
      <c r="ED128" s="162"/>
      <c r="EE128" s="162"/>
      <c r="EF128" s="162"/>
      <c r="EG128" s="162"/>
      <c r="EH128" s="162"/>
      <c r="EI128" s="162"/>
      <c r="EJ128" s="162"/>
      <c r="EK128" s="162"/>
      <c r="EL128" s="162"/>
      <c r="EM128" s="162"/>
      <c r="EN128" s="162"/>
      <c r="EO128" s="162"/>
      <c r="EP128" s="162"/>
      <c r="EQ128" s="162"/>
      <c r="ER128" s="162"/>
      <c r="ES128" s="162"/>
      <c r="ET128" s="162"/>
      <c r="EU128" s="162"/>
      <c r="EV128" s="162"/>
      <c r="EW128" s="162"/>
      <c r="EX128" s="162"/>
      <c r="EY128" s="162"/>
      <c r="EZ128" s="162"/>
      <c r="FA128" s="162"/>
      <c r="FB128" s="162"/>
      <c r="FC128" s="162"/>
      <c r="FD128" s="162"/>
      <c r="FE128" s="162"/>
      <c r="FF128" s="162"/>
      <c r="FG128" s="162"/>
      <c r="FH128" s="162"/>
      <c r="FI128" s="162"/>
      <c r="FJ128" s="162"/>
      <c r="FK128" s="162"/>
      <c r="FL128" s="162"/>
      <c r="FM128" s="162"/>
      <c r="FN128" s="162"/>
      <c r="FO128" s="162"/>
      <c r="FP128" s="162"/>
      <c r="FQ128" s="162"/>
      <c r="FR128" s="162"/>
      <c r="FS128" s="162"/>
      <c r="FT128" s="162"/>
      <c r="FU128" s="162"/>
      <c r="FV128" s="162"/>
      <c r="FW128" s="162"/>
      <c r="FX128" s="162"/>
      <c r="FY128" s="162"/>
      <c r="FZ128" s="162"/>
      <c r="GA128" s="162"/>
      <c r="GB128" s="162"/>
      <c r="GC128" s="162"/>
      <c r="GD128" s="162"/>
      <c r="GE128" s="162"/>
      <c r="GF128" s="162"/>
      <c r="GG128" s="162"/>
      <c r="GH128" s="162"/>
      <c r="GI128" s="162"/>
      <c r="GJ128" s="162"/>
      <c r="GK128" s="162"/>
      <c r="GL128" s="162"/>
      <c r="GM128" s="162"/>
      <c r="GN128" s="162"/>
      <c r="GO128" s="162"/>
      <c r="GP128" s="162"/>
      <c r="GQ128" s="162"/>
      <c r="GR128" s="162"/>
      <c r="GS128" s="162"/>
      <c r="GT128" s="162"/>
      <c r="GU128" s="162"/>
      <c r="GV128" s="162"/>
      <c r="GW128" s="162"/>
      <c r="GX128" s="162"/>
      <c r="GY128" s="162"/>
      <c r="GZ128" s="162"/>
      <c r="HA128" s="162"/>
      <c r="HB128" s="162"/>
      <c r="HC128" s="162"/>
      <c r="HD128" s="162"/>
      <c r="HE128" s="162"/>
      <c r="HF128" s="162"/>
      <c r="HG128" s="162"/>
      <c r="HH128" s="162"/>
      <c r="HI128" s="162"/>
      <c r="HJ128" s="162"/>
      <c r="HK128" s="162"/>
      <c r="HL128" s="162"/>
      <c r="HM128" s="162"/>
      <c r="HN128" s="162"/>
      <c r="HO128" s="162"/>
      <c r="HP128" s="162"/>
      <c r="HQ128" s="162"/>
      <c r="HR128" s="162"/>
      <c r="HS128" s="162"/>
      <c r="HT128" s="162"/>
      <c r="HU128" s="162"/>
      <c r="HV128" s="162"/>
      <c r="HW128" s="162"/>
      <c r="HX128" s="162"/>
      <c r="HY128" s="162"/>
      <c r="HZ128" s="162"/>
      <c r="IA128" s="162"/>
      <c r="IB128" s="162"/>
      <c r="IC128" s="162"/>
      <c r="ID128" s="162"/>
      <c r="IE128" s="162"/>
      <c r="IF128" s="162"/>
      <c r="IG128" s="162"/>
      <c r="IH128" s="162"/>
      <c r="II128" s="162"/>
      <c r="IJ128" s="162"/>
      <c r="IK128" s="162"/>
      <c r="IL128" s="162"/>
      <c r="IM128" s="162"/>
      <c r="IN128" s="162"/>
      <c r="IO128" s="162"/>
      <c r="IP128" s="162"/>
      <c r="IQ128" s="162"/>
      <c r="IR128" s="162"/>
      <c r="IS128" s="162"/>
      <c r="IT128" s="162"/>
      <c r="IU128" s="162"/>
      <c r="IV128" s="162"/>
      <c r="IW128" s="162"/>
    </row>
    <row r="129" customFormat="false" ht="12.75" hidden="false" customHeight="false" outlineLevel="0" collapsed="false">
      <c r="A129" s="85" t="s">
        <v>145</v>
      </c>
      <c r="B129" s="69" t="s">
        <v>356</v>
      </c>
      <c r="C129" s="69" t="s">
        <v>369</v>
      </c>
      <c r="D129" s="86" t="n">
        <v>36678</v>
      </c>
      <c r="E129" s="86" t="n">
        <v>36830</v>
      </c>
      <c r="F129" s="85" t="s">
        <v>370</v>
      </c>
      <c r="G129" s="85" t="s">
        <v>358</v>
      </c>
      <c r="H129" s="69" t="s">
        <v>252</v>
      </c>
      <c r="I129" s="88" t="n">
        <f aca="false">1.3688*0.0328767</f>
        <v>0.04500162696</v>
      </c>
      <c r="J129" s="68" t="n">
        <v>0.075</v>
      </c>
      <c r="K129" s="68" t="n">
        <v>0.0022</v>
      </c>
      <c r="L129" s="68" t="n">
        <v>0</v>
      </c>
      <c r="M129" s="68" t="n">
        <v>0</v>
      </c>
      <c r="N129" s="154" t="n">
        <v>0</v>
      </c>
      <c r="O129" s="68" t="n">
        <f aca="false">SUM(I129:M129)</f>
        <v>0.12220162696</v>
      </c>
      <c r="P129" s="161" t="n">
        <v>892875</v>
      </c>
      <c r="Q129" s="69" t="n">
        <v>-504</v>
      </c>
      <c r="R129" s="85" t="s">
        <v>371</v>
      </c>
      <c r="S129" s="151" t="n">
        <f aca="false">+I129*I$1*Q129</f>
        <v>-703.10541962304</v>
      </c>
      <c r="T129" s="35"/>
      <c r="U129" s="37" t="n">
        <v>251607</v>
      </c>
      <c r="V129" s="37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2"/>
      <c r="AZ129" s="162"/>
      <c r="BA129" s="162"/>
      <c r="BB129" s="162"/>
      <c r="BC129" s="162"/>
      <c r="BD129" s="162"/>
      <c r="BE129" s="162"/>
      <c r="BF129" s="162"/>
      <c r="BG129" s="162"/>
      <c r="BH129" s="162"/>
      <c r="BI129" s="162"/>
      <c r="BJ129" s="162"/>
      <c r="BK129" s="162"/>
      <c r="BL129" s="162"/>
      <c r="BM129" s="162"/>
      <c r="BN129" s="162"/>
      <c r="BO129" s="162"/>
      <c r="BP129" s="162"/>
      <c r="BQ129" s="162"/>
      <c r="BR129" s="162"/>
      <c r="BS129" s="162"/>
      <c r="BT129" s="162"/>
      <c r="BU129" s="162"/>
      <c r="BV129" s="162"/>
      <c r="BW129" s="162"/>
      <c r="BX129" s="162"/>
      <c r="BY129" s="162"/>
      <c r="BZ129" s="162"/>
      <c r="CA129" s="162"/>
      <c r="CB129" s="162"/>
      <c r="CC129" s="162"/>
      <c r="CD129" s="162"/>
      <c r="CE129" s="162"/>
      <c r="CF129" s="162"/>
      <c r="CG129" s="162"/>
      <c r="CH129" s="162"/>
      <c r="CI129" s="162"/>
      <c r="CJ129" s="162"/>
      <c r="CK129" s="162"/>
      <c r="CL129" s="162"/>
      <c r="CM129" s="162"/>
      <c r="CN129" s="162"/>
      <c r="CO129" s="162"/>
      <c r="CP129" s="162"/>
      <c r="CQ129" s="162"/>
      <c r="CR129" s="162"/>
      <c r="CS129" s="162"/>
      <c r="CT129" s="162"/>
      <c r="CU129" s="162"/>
      <c r="CV129" s="162"/>
      <c r="CW129" s="162"/>
      <c r="CX129" s="162"/>
      <c r="CY129" s="162"/>
      <c r="CZ129" s="162"/>
      <c r="DA129" s="162"/>
      <c r="DB129" s="162"/>
      <c r="DC129" s="162"/>
      <c r="DD129" s="162"/>
      <c r="DE129" s="162"/>
      <c r="DF129" s="162"/>
      <c r="DG129" s="162"/>
      <c r="DH129" s="162"/>
      <c r="DI129" s="162"/>
      <c r="DJ129" s="162"/>
      <c r="DK129" s="162"/>
      <c r="DL129" s="162"/>
      <c r="DM129" s="162"/>
      <c r="DN129" s="162"/>
      <c r="DO129" s="162"/>
      <c r="DP129" s="162"/>
      <c r="DQ129" s="162"/>
      <c r="DR129" s="162"/>
      <c r="DS129" s="162"/>
      <c r="DT129" s="162"/>
      <c r="DU129" s="162"/>
      <c r="DV129" s="162"/>
      <c r="DW129" s="162"/>
      <c r="DX129" s="162"/>
      <c r="DY129" s="162"/>
      <c r="DZ129" s="162"/>
      <c r="EA129" s="162"/>
      <c r="EB129" s="162"/>
      <c r="EC129" s="162"/>
      <c r="ED129" s="162"/>
      <c r="EE129" s="162"/>
      <c r="EF129" s="162"/>
      <c r="EG129" s="162"/>
      <c r="EH129" s="162"/>
      <c r="EI129" s="162"/>
      <c r="EJ129" s="162"/>
      <c r="EK129" s="162"/>
      <c r="EL129" s="162"/>
      <c r="EM129" s="162"/>
      <c r="EN129" s="162"/>
      <c r="EO129" s="162"/>
      <c r="EP129" s="162"/>
      <c r="EQ129" s="162"/>
      <c r="ER129" s="162"/>
      <c r="ES129" s="162"/>
      <c r="ET129" s="162"/>
      <c r="EU129" s="162"/>
      <c r="EV129" s="162"/>
      <c r="EW129" s="162"/>
      <c r="EX129" s="162"/>
      <c r="EY129" s="162"/>
      <c r="EZ129" s="162"/>
      <c r="FA129" s="162"/>
      <c r="FB129" s="162"/>
      <c r="FC129" s="162"/>
      <c r="FD129" s="162"/>
      <c r="FE129" s="162"/>
      <c r="FF129" s="162"/>
      <c r="FG129" s="162"/>
      <c r="FH129" s="162"/>
      <c r="FI129" s="162"/>
      <c r="FJ129" s="162"/>
      <c r="FK129" s="162"/>
      <c r="FL129" s="162"/>
      <c r="FM129" s="162"/>
      <c r="FN129" s="162"/>
      <c r="FO129" s="162"/>
      <c r="FP129" s="162"/>
      <c r="FQ129" s="162"/>
      <c r="FR129" s="162"/>
      <c r="FS129" s="162"/>
      <c r="FT129" s="162"/>
      <c r="FU129" s="162"/>
      <c r="FV129" s="162"/>
      <c r="FW129" s="162"/>
      <c r="FX129" s="162"/>
      <c r="FY129" s="162"/>
      <c r="FZ129" s="162"/>
      <c r="GA129" s="162"/>
      <c r="GB129" s="162"/>
      <c r="GC129" s="162"/>
      <c r="GD129" s="162"/>
      <c r="GE129" s="162"/>
      <c r="GF129" s="162"/>
      <c r="GG129" s="162"/>
      <c r="GH129" s="162"/>
      <c r="GI129" s="162"/>
      <c r="GJ129" s="162"/>
      <c r="GK129" s="162"/>
      <c r="GL129" s="162"/>
      <c r="GM129" s="162"/>
      <c r="GN129" s="162"/>
      <c r="GO129" s="162"/>
      <c r="GP129" s="162"/>
      <c r="GQ129" s="162"/>
      <c r="GR129" s="162"/>
      <c r="GS129" s="162"/>
      <c r="GT129" s="162"/>
      <c r="GU129" s="162"/>
      <c r="GV129" s="162"/>
      <c r="GW129" s="162"/>
      <c r="GX129" s="162"/>
      <c r="GY129" s="162"/>
      <c r="GZ129" s="162"/>
      <c r="HA129" s="162"/>
      <c r="HB129" s="162"/>
      <c r="HC129" s="162"/>
      <c r="HD129" s="162"/>
      <c r="HE129" s="162"/>
      <c r="HF129" s="162"/>
      <c r="HG129" s="162"/>
      <c r="HH129" s="162"/>
      <c r="HI129" s="162"/>
      <c r="HJ129" s="162"/>
      <c r="HK129" s="162"/>
      <c r="HL129" s="162"/>
      <c r="HM129" s="162"/>
      <c r="HN129" s="162"/>
      <c r="HO129" s="162"/>
      <c r="HP129" s="162"/>
      <c r="HQ129" s="162"/>
      <c r="HR129" s="162"/>
      <c r="HS129" s="162"/>
      <c r="HT129" s="162"/>
      <c r="HU129" s="162"/>
      <c r="HV129" s="162"/>
      <c r="HW129" s="162"/>
      <c r="HX129" s="162"/>
      <c r="HY129" s="162"/>
      <c r="HZ129" s="162"/>
      <c r="IA129" s="162"/>
      <c r="IB129" s="162"/>
      <c r="IC129" s="162"/>
      <c r="ID129" s="162"/>
      <c r="IE129" s="162"/>
      <c r="IF129" s="162"/>
      <c r="IG129" s="162"/>
      <c r="IH129" s="162"/>
      <c r="II129" s="162"/>
      <c r="IJ129" s="162"/>
      <c r="IK129" s="162"/>
      <c r="IL129" s="162"/>
      <c r="IM129" s="162"/>
      <c r="IN129" s="162"/>
      <c r="IO129" s="162"/>
      <c r="IP129" s="162"/>
      <c r="IQ129" s="162"/>
      <c r="IR129" s="162"/>
      <c r="IS129" s="162"/>
      <c r="IT129" s="162"/>
      <c r="IU129" s="162"/>
      <c r="IV129" s="162"/>
      <c r="IW129" s="162"/>
    </row>
    <row r="130" customFormat="false" ht="12.75" hidden="false" customHeight="false" outlineLevel="0" collapsed="false">
      <c r="A130" s="85" t="s">
        <v>144</v>
      </c>
      <c r="B130" s="69" t="s">
        <v>356</v>
      </c>
      <c r="C130" s="69" t="s">
        <v>372</v>
      </c>
      <c r="D130" s="86" t="n">
        <v>36617</v>
      </c>
      <c r="E130" s="86" t="n">
        <v>36830</v>
      </c>
      <c r="F130" s="85" t="s">
        <v>363</v>
      </c>
      <c r="G130" s="85" t="s">
        <v>373</v>
      </c>
      <c r="H130" s="69" t="s">
        <v>170</v>
      </c>
      <c r="I130" s="88" t="n">
        <f aca="false">0.341*0.0328767</f>
        <v>0.0112109547</v>
      </c>
      <c r="J130" s="68" t="n">
        <v>0.075</v>
      </c>
      <c r="K130" s="68" t="n">
        <v>0.0022</v>
      </c>
      <c r="L130" s="68" t="n">
        <v>0</v>
      </c>
      <c r="M130" s="68" t="n">
        <v>0</v>
      </c>
      <c r="N130" s="154" t="n">
        <v>0</v>
      </c>
      <c r="O130" s="68" t="n">
        <f aca="false">SUM(I130:M130)</f>
        <v>0.0884109547</v>
      </c>
      <c r="P130" s="161" t="n">
        <v>892872</v>
      </c>
      <c r="Q130" s="69" t="n">
        <v>19355</v>
      </c>
      <c r="R130" s="85" t="s">
        <v>374</v>
      </c>
      <c r="S130" s="151" t="n">
        <f aca="false">+I130*I$1*Q130</f>
        <v>6726.6288747735</v>
      </c>
      <c r="T130" s="35"/>
      <c r="U130" s="37" t="s">
        <v>375</v>
      </c>
      <c r="V130" s="37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2"/>
      <c r="AZ130" s="162"/>
      <c r="BA130" s="162"/>
      <c r="BB130" s="162"/>
      <c r="BC130" s="162"/>
      <c r="BD130" s="162"/>
      <c r="BE130" s="162"/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2"/>
      <c r="BQ130" s="162"/>
      <c r="BR130" s="162"/>
      <c r="BS130" s="162"/>
      <c r="BT130" s="162"/>
      <c r="BU130" s="162"/>
      <c r="BV130" s="162"/>
      <c r="BW130" s="162"/>
      <c r="BX130" s="162"/>
      <c r="BY130" s="162"/>
      <c r="BZ130" s="162"/>
      <c r="CA130" s="162"/>
      <c r="CB130" s="162"/>
      <c r="CC130" s="162"/>
      <c r="CD130" s="162"/>
      <c r="CE130" s="162"/>
      <c r="CF130" s="162"/>
      <c r="CG130" s="162"/>
      <c r="CH130" s="162"/>
      <c r="CI130" s="162"/>
      <c r="CJ130" s="162"/>
      <c r="CK130" s="162"/>
      <c r="CL130" s="162"/>
      <c r="CM130" s="162"/>
      <c r="CN130" s="162"/>
      <c r="CO130" s="162"/>
      <c r="CP130" s="162"/>
      <c r="CQ130" s="162"/>
      <c r="CR130" s="162"/>
      <c r="CS130" s="162"/>
      <c r="CT130" s="162"/>
      <c r="CU130" s="162"/>
      <c r="CV130" s="162"/>
      <c r="CW130" s="162"/>
      <c r="CX130" s="162"/>
      <c r="CY130" s="162"/>
      <c r="CZ130" s="162"/>
      <c r="DA130" s="162"/>
      <c r="DB130" s="162"/>
      <c r="DC130" s="162"/>
      <c r="DD130" s="162"/>
      <c r="DE130" s="162"/>
      <c r="DF130" s="162"/>
      <c r="DG130" s="162"/>
      <c r="DH130" s="162"/>
      <c r="DI130" s="162"/>
      <c r="DJ130" s="162"/>
      <c r="DK130" s="162"/>
      <c r="DL130" s="162"/>
      <c r="DM130" s="162"/>
      <c r="DN130" s="162"/>
      <c r="DO130" s="162"/>
      <c r="DP130" s="162"/>
      <c r="DQ130" s="162"/>
      <c r="DR130" s="162"/>
      <c r="DS130" s="162"/>
      <c r="DT130" s="162"/>
      <c r="DU130" s="162"/>
      <c r="DV130" s="162"/>
      <c r="DW130" s="162"/>
      <c r="DX130" s="162"/>
      <c r="DY130" s="162"/>
      <c r="DZ130" s="162"/>
      <c r="EA130" s="162"/>
      <c r="EB130" s="162"/>
      <c r="EC130" s="162"/>
      <c r="ED130" s="162"/>
      <c r="EE130" s="162"/>
      <c r="EF130" s="162"/>
      <c r="EG130" s="162"/>
      <c r="EH130" s="162"/>
      <c r="EI130" s="162"/>
      <c r="EJ130" s="162"/>
      <c r="EK130" s="162"/>
      <c r="EL130" s="162"/>
      <c r="EM130" s="162"/>
      <c r="EN130" s="162"/>
      <c r="EO130" s="162"/>
      <c r="EP130" s="162"/>
      <c r="EQ130" s="162"/>
      <c r="ER130" s="162"/>
      <c r="ES130" s="162"/>
      <c r="ET130" s="162"/>
      <c r="EU130" s="162"/>
      <c r="EV130" s="162"/>
      <c r="EW130" s="162"/>
      <c r="EX130" s="162"/>
      <c r="EY130" s="162"/>
      <c r="EZ130" s="162"/>
      <c r="FA130" s="162"/>
      <c r="FB130" s="162"/>
      <c r="FC130" s="162"/>
      <c r="FD130" s="162"/>
      <c r="FE130" s="162"/>
      <c r="FF130" s="162"/>
      <c r="FG130" s="162"/>
      <c r="FH130" s="162"/>
      <c r="FI130" s="162"/>
      <c r="FJ130" s="162"/>
      <c r="FK130" s="162"/>
      <c r="FL130" s="162"/>
      <c r="FM130" s="162"/>
      <c r="FN130" s="162"/>
      <c r="FO130" s="162"/>
      <c r="FP130" s="162"/>
      <c r="FQ130" s="162"/>
      <c r="FR130" s="162"/>
      <c r="FS130" s="162"/>
      <c r="FT130" s="162"/>
      <c r="FU130" s="162"/>
      <c r="FV130" s="162"/>
      <c r="FW130" s="162"/>
      <c r="FX130" s="162"/>
      <c r="FY130" s="162"/>
      <c r="FZ130" s="162"/>
      <c r="GA130" s="162"/>
      <c r="GB130" s="162"/>
      <c r="GC130" s="162"/>
      <c r="GD130" s="162"/>
      <c r="GE130" s="162"/>
      <c r="GF130" s="162"/>
      <c r="GG130" s="162"/>
      <c r="GH130" s="162"/>
      <c r="GI130" s="162"/>
      <c r="GJ130" s="162"/>
      <c r="GK130" s="162"/>
      <c r="GL130" s="162"/>
      <c r="GM130" s="162"/>
      <c r="GN130" s="162"/>
      <c r="GO130" s="162"/>
      <c r="GP130" s="162"/>
      <c r="GQ130" s="162"/>
      <c r="GR130" s="162"/>
      <c r="GS130" s="162"/>
      <c r="GT130" s="162"/>
      <c r="GU130" s="162"/>
      <c r="GV130" s="162"/>
      <c r="GW130" s="162"/>
      <c r="GX130" s="162"/>
      <c r="GY130" s="162"/>
      <c r="GZ130" s="162"/>
      <c r="HA130" s="162"/>
      <c r="HB130" s="162"/>
      <c r="HC130" s="162"/>
      <c r="HD130" s="162"/>
      <c r="HE130" s="162"/>
      <c r="HF130" s="162"/>
      <c r="HG130" s="162"/>
      <c r="HH130" s="162"/>
      <c r="HI130" s="162"/>
      <c r="HJ130" s="162"/>
      <c r="HK130" s="162"/>
      <c r="HL130" s="162"/>
      <c r="HM130" s="162"/>
      <c r="HN130" s="162"/>
      <c r="HO130" s="162"/>
      <c r="HP130" s="162"/>
      <c r="HQ130" s="162"/>
      <c r="HR130" s="162"/>
      <c r="HS130" s="162"/>
      <c r="HT130" s="162"/>
      <c r="HU130" s="162"/>
      <c r="HV130" s="162"/>
      <c r="HW130" s="162"/>
      <c r="HX130" s="162"/>
      <c r="HY130" s="162"/>
      <c r="HZ130" s="162"/>
      <c r="IA130" s="162"/>
      <c r="IB130" s="162"/>
      <c r="IC130" s="162"/>
      <c r="ID130" s="162"/>
      <c r="IE130" s="162"/>
      <c r="IF130" s="162"/>
      <c r="IG130" s="162"/>
      <c r="IH130" s="162"/>
      <c r="II130" s="162"/>
      <c r="IJ130" s="162"/>
      <c r="IK130" s="162"/>
      <c r="IL130" s="162"/>
      <c r="IM130" s="162"/>
      <c r="IN130" s="162"/>
      <c r="IO130" s="162"/>
      <c r="IP130" s="162"/>
      <c r="IQ130" s="162"/>
      <c r="IR130" s="162"/>
      <c r="IS130" s="162"/>
      <c r="IT130" s="162"/>
      <c r="IU130" s="162"/>
      <c r="IV130" s="162"/>
      <c r="IW130" s="162"/>
    </row>
    <row r="131" customFormat="false" ht="12.75" hidden="false" customHeight="false" outlineLevel="0" collapsed="false">
      <c r="A131" s="130" t="s">
        <v>145</v>
      </c>
      <c r="B131" s="128" t="s">
        <v>356</v>
      </c>
      <c r="C131" s="128" t="s">
        <v>376</v>
      </c>
      <c r="D131" s="129" t="n">
        <v>36739</v>
      </c>
      <c r="E131" s="129" t="n">
        <v>36769</v>
      </c>
      <c r="F131" s="130" t="s">
        <v>370</v>
      </c>
      <c r="G131" s="130" t="s">
        <v>373</v>
      </c>
      <c r="H131" s="128" t="s">
        <v>154</v>
      </c>
      <c r="I131" s="132" t="n">
        <f aca="false">0.6083/I1</f>
        <v>0.0196225806451613</v>
      </c>
      <c r="J131" s="133" t="n">
        <v>0.075</v>
      </c>
      <c r="K131" s="133" t="n">
        <v>0.0022</v>
      </c>
      <c r="L131" s="133" t="n">
        <v>0</v>
      </c>
      <c r="M131" s="133" t="n">
        <v>0</v>
      </c>
      <c r="N131" s="210" t="n">
        <v>0</v>
      </c>
      <c r="O131" s="133" t="n">
        <f aca="false">SUM(I131:M131)</f>
        <v>0.0968225806451613</v>
      </c>
      <c r="P131" s="211" t="n">
        <v>892872</v>
      </c>
      <c r="Q131" s="128" t="n">
        <v>-650</v>
      </c>
      <c r="R131" s="130" t="s">
        <v>377</v>
      </c>
      <c r="S131" s="153" t="n">
        <f aca="false">+I131*I$1*Q131</f>
        <v>-395.395</v>
      </c>
      <c r="T131" s="136"/>
      <c r="U131" s="135" t="n">
        <v>345378</v>
      </c>
      <c r="V131" s="135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  <c r="BI131" s="139"/>
      <c r="BJ131" s="139"/>
      <c r="BK131" s="139"/>
      <c r="BL131" s="139"/>
      <c r="BM131" s="139"/>
      <c r="BN131" s="139"/>
      <c r="BO131" s="139"/>
      <c r="BP131" s="139"/>
      <c r="BQ131" s="139"/>
      <c r="BR131" s="139"/>
      <c r="BS131" s="139"/>
      <c r="BT131" s="139"/>
      <c r="BU131" s="139"/>
      <c r="BV131" s="139"/>
      <c r="BW131" s="139"/>
      <c r="BX131" s="139"/>
      <c r="BY131" s="139"/>
      <c r="BZ131" s="139"/>
      <c r="CA131" s="139"/>
      <c r="CB131" s="139"/>
      <c r="CC131" s="139"/>
      <c r="CD131" s="139"/>
      <c r="CE131" s="139"/>
      <c r="CF131" s="139"/>
      <c r="CG131" s="139"/>
      <c r="CH131" s="139"/>
      <c r="CI131" s="139"/>
      <c r="CJ131" s="139"/>
      <c r="CK131" s="139"/>
      <c r="CL131" s="139"/>
      <c r="CM131" s="139"/>
      <c r="CN131" s="139"/>
      <c r="CO131" s="139"/>
      <c r="CP131" s="139"/>
      <c r="CQ131" s="139"/>
      <c r="CR131" s="139"/>
      <c r="CS131" s="139"/>
      <c r="CT131" s="139"/>
      <c r="CU131" s="139"/>
      <c r="CV131" s="139"/>
      <c r="CW131" s="139"/>
      <c r="CX131" s="139"/>
      <c r="CY131" s="139"/>
      <c r="CZ131" s="139"/>
      <c r="DA131" s="139"/>
      <c r="DB131" s="139"/>
      <c r="DC131" s="139"/>
      <c r="DD131" s="139"/>
      <c r="DE131" s="139"/>
      <c r="DF131" s="139"/>
      <c r="DG131" s="139"/>
      <c r="DH131" s="139"/>
      <c r="DI131" s="139"/>
      <c r="DJ131" s="139"/>
      <c r="DK131" s="139"/>
      <c r="DL131" s="139"/>
      <c r="DM131" s="139"/>
      <c r="DN131" s="139"/>
      <c r="DO131" s="139"/>
      <c r="DP131" s="139"/>
      <c r="DQ131" s="139"/>
      <c r="DR131" s="139"/>
      <c r="DS131" s="139"/>
      <c r="DT131" s="139"/>
      <c r="DU131" s="139"/>
      <c r="DV131" s="139"/>
      <c r="DW131" s="139"/>
      <c r="DX131" s="139"/>
      <c r="DY131" s="139"/>
      <c r="DZ131" s="139"/>
      <c r="EA131" s="139"/>
      <c r="EB131" s="139"/>
      <c r="EC131" s="139"/>
      <c r="ED131" s="139"/>
      <c r="EE131" s="139"/>
      <c r="EF131" s="139"/>
      <c r="EG131" s="139"/>
      <c r="EH131" s="139"/>
      <c r="EI131" s="139"/>
      <c r="EJ131" s="139"/>
      <c r="EK131" s="139"/>
      <c r="EL131" s="139"/>
      <c r="EM131" s="139"/>
      <c r="EN131" s="139"/>
      <c r="EO131" s="139"/>
      <c r="EP131" s="139"/>
      <c r="EQ131" s="139"/>
      <c r="ER131" s="139"/>
      <c r="ES131" s="139"/>
      <c r="ET131" s="139"/>
      <c r="EU131" s="139"/>
      <c r="EV131" s="139"/>
      <c r="EW131" s="139"/>
      <c r="EX131" s="139"/>
      <c r="EY131" s="139"/>
      <c r="EZ131" s="139"/>
      <c r="FA131" s="139"/>
      <c r="FB131" s="139"/>
      <c r="FC131" s="139"/>
      <c r="FD131" s="139"/>
      <c r="FE131" s="139"/>
      <c r="FF131" s="139"/>
      <c r="FG131" s="139"/>
      <c r="FH131" s="139"/>
      <c r="FI131" s="139"/>
      <c r="FJ131" s="139"/>
      <c r="FK131" s="139"/>
      <c r="FL131" s="139"/>
      <c r="FM131" s="139"/>
      <c r="FN131" s="139"/>
      <c r="FO131" s="139"/>
      <c r="FP131" s="139"/>
      <c r="FQ131" s="139"/>
      <c r="FR131" s="139"/>
      <c r="FS131" s="139"/>
      <c r="FT131" s="139"/>
      <c r="FU131" s="139"/>
      <c r="FV131" s="139"/>
      <c r="FW131" s="139"/>
      <c r="FX131" s="139"/>
      <c r="FY131" s="139"/>
      <c r="FZ131" s="139"/>
      <c r="GA131" s="139"/>
      <c r="GB131" s="139"/>
      <c r="GC131" s="139"/>
      <c r="GD131" s="139"/>
      <c r="GE131" s="139"/>
      <c r="GF131" s="139"/>
      <c r="GG131" s="139"/>
      <c r="GH131" s="139"/>
      <c r="GI131" s="139"/>
      <c r="GJ131" s="139"/>
      <c r="GK131" s="139"/>
      <c r="GL131" s="139"/>
      <c r="GM131" s="139"/>
      <c r="GN131" s="139"/>
      <c r="GO131" s="139"/>
      <c r="GP131" s="139"/>
      <c r="GQ131" s="139"/>
      <c r="GR131" s="139"/>
      <c r="GS131" s="139"/>
      <c r="GT131" s="139"/>
      <c r="GU131" s="139"/>
      <c r="GV131" s="139"/>
      <c r="GW131" s="139"/>
      <c r="GX131" s="139"/>
      <c r="GY131" s="139"/>
      <c r="GZ131" s="139"/>
      <c r="HA131" s="139"/>
      <c r="HB131" s="139"/>
      <c r="HC131" s="139"/>
      <c r="HD131" s="139"/>
      <c r="HE131" s="139"/>
      <c r="HF131" s="139"/>
      <c r="HG131" s="139"/>
      <c r="HH131" s="139"/>
      <c r="HI131" s="139"/>
      <c r="HJ131" s="139"/>
      <c r="HK131" s="139"/>
      <c r="HL131" s="139"/>
      <c r="HM131" s="139"/>
      <c r="HN131" s="139"/>
      <c r="HO131" s="139"/>
      <c r="HP131" s="139"/>
      <c r="HQ131" s="139"/>
      <c r="HR131" s="139"/>
      <c r="HS131" s="139"/>
      <c r="HT131" s="139"/>
      <c r="HU131" s="139"/>
      <c r="HV131" s="139"/>
      <c r="HW131" s="139"/>
      <c r="HX131" s="139"/>
      <c r="HY131" s="139"/>
      <c r="HZ131" s="139"/>
      <c r="IA131" s="139"/>
      <c r="IB131" s="139"/>
      <c r="IC131" s="139"/>
      <c r="ID131" s="139"/>
      <c r="IE131" s="139"/>
      <c r="IF131" s="139"/>
      <c r="IG131" s="139"/>
      <c r="IH131" s="139"/>
      <c r="II131" s="139"/>
      <c r="IJ131" s="139"/>
      <c r="IK131" s="139"/>
      <c r="IL131" s="139"/>
      <c r="IM131" s="139"/>
      <c r="IN131" s="139"/>
      <c r="IO131" s="139"/>
      <c r="IP131" s="139"/>
      <c r="IQ131" s="139"/>
      <c r="IR131" s="139"/>
      <c r="IS131" s="139"/>
      <c r="IT131" s="139"/>
      <c r="IU131" s="139"/>
      <c r="IV131" s="139"/>
      <c r="IW131" s="139"/>
    </row>
    <row r="132" customFormat="false" ht="12.75" hidden="false" customHeight="false" outlineLevel="0" collapsed="false">
      <c r="A132" s="130" t="s">
        <v>144</v>
      </c>
      <c r="B132" s="128" t="s">
        <v>356</v>
      </c>
      <c r="C132" s="128" t="s">
        <v>238</v>
      </c>
      <c r="D132" s="129" t="n">
        <v>36739</v>
      </c>
      <c r="E132" s="129" t="n">
        <v>36769</v>
      </c>
      <c r="F132" s="130" t="s">
        <v>363</v>
      </c>
      <c r="G132" s="130" t="s">
        <v>373</v>
      </c>
      <c r="H132" s="128" t="s">
        <v>154</v>
      </c>
      <c r="I132" s="132" t="n">
        <f aca="false">0.152*0.0328767</f>
        <v>0.0049972584</v>
      </c>
      <c r="J132" s="133" t="n">
        <v>0.075</v>
      </c>
      <c r="K132" s="133" t="n">
        <v>0.0022</v>
      </c>
      <c r="L132" s="133" t="n">
        <v>0</v>
      </c>
      <c r="M132" s="133" t="n">
        <v>0</v>
      </c>
      <c r="N132" s="210" t="n">
        <v>0</v>
      </c>
      <c r="O132" s="133" t="n">
        <f aca="false">SUM(I132:M132)</f>
        <v>0.0821972584</v>
      </c>
      <c r="P132" s="211" t="n">
        <v>893741</v>
      </c>
      <c r="Q132" s="128" t="n">
        <v>5000</v>
      </c>
      <c r="R132" s="130" t="s">
        <v>378</v>
      </c>
      <c r="S132" s="153" t="n">
        <f aca="false">+I132*I$1*Q132</f>
        <v>774.575052</v>
      </c>
      <c r="T132" s="136"/>
      <c r="U132" s="135" t="s">
        <v>379</v>
      </c>
      <c r="V132" s="135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  <c r="BI132" s="139"/>
      <c r="BJ132" s="139"/>
      <c r="BK132" s="139"/>
      <c r="BL132" s="139"/>
      <c r="BM132" s="139"/>
      <c r="BN132" s="139"/>
      <c r="BO132" s="139"/>
      <c r="BP132" s="139"/>
      <c r="BQ132" s="139"/>
      <c r="BR132" s="139"/>
      <c r="BS132" s="139"/>
      <c r="BT132" s="139"/>
      <c r="BU132" s="139"/>
      <c r="BV132" s="139"/>
      <c r="BW132" s="139"/>
      <c r="BX132" s="139"/>
      <c r="BY132" s="139"/>
      <c r="BZ132" s="139"/>
      <c r="CA132" s="139"/>
      <c r="CB132" s="139"/>
      <c r="CC132" s="139"/>
      <c r="CD132" s="139"/>
      <c r="CE132" s="139"/>
      <c r="CF132" s="139"/>
      <c r="CG132" s="139"/>
      <c r="CH132" s="139"/>
      <c r="CI132" s="139"/>
      <c r="CJ132" s="139"/>
      <c r="CK132" s="139"/>
      <c r="CL132" s="139"/>
      <c r="CM132" s="139"/>
      <c r="CN132" s="139"/>
      <c r="CO132" s="139"/>
      <c r="CP132" s="139"/>
      <c r="CQ132" s="139"/>
      <c r="CR132" s="139"/>
      <c r="CS132" s="139"/>
      <c r="CT132" s="139"/>
      <c r="CU132" s="139"/>
      <c r="CV132" s="139"/>
      <c r="CW132" s="139"/>
      <c r="CX132" s="139"/>
      <c r="CY132" s="139"/>
      <c r="CZ132" s="139"/>
      <c r="DA132" s="139"/>
      <c r="DB132" s="139"/>
      <c r="DC132" s="139"/>
      <c r="DD132" s="139"/>
      <c r="DE132" s="139"/>
      <c r="DF132" s="139"/>
      <c r="DG132" s="139"/>
      <c r="DH132" s="139"/>
      <c r="DI132" s="139"/>
      <c r="DJ132" s="139"/>
      <c r="DK132" s="139"/>
      <c r="DL132" s="139"/>
      <c r="DM132" s="139"/>
      <c r="DN132" s="139"/>
      <c r="DO132" s="139"/>
      <c r="DP132" s="139"/>
      <c r="DQ132" s="139"/>
      <c r="DR132" s="139"/>
      <c r="DS132" s="139"/>
      <c r="DT132" s="139"/>
      <c r="DU132" s="139"/>
      <c r="DV132" s="139"/>
      <c r="DW132" s="139"/>
      <c r="DX132" s="139"/>
      <c r="DY132" s="139"/>
      <c r="DZ132" s="139"/>
      <c r="EA132" s="139"/>
      <c r="EB132" s="139"/>
      <c r="EC132" s="139"/>
      <c r="ED132" s="139"/>
      <c r="EE132" s="139"/>
      <c r="EF132" s="139"/>
      <c r="EG132" s="139"/>
      <c r="EH132" s="139"/>
      <c r="EI132" s="139"/>
      <c r="EJ132" s="139"/>
      <c r="EK132" s="139"/>
      <c r="EL132" s="139"/>
      <c r="EM132" s="139"/>
      <c r="EN132" s="139"/>
      <c r="EO132" s="139"/>
      <c r="EP132" s="139"/>
      <c r="EQ132" s="139"/>
      <c r="ER132" s="139"/>
      <c r="ES132" s="139"/>
      <c r="ET132" s="139"/>
      <c r="EU132" s="139"/>
      <c r="EV132" s="139"/>
      <c r="EW132" s="139"/>
      <c r="EX132" s="139"/>
      <c r="EY132" s="139"/>
      <c r="EZ132" s="139"/>
      <c r="FA132" s="139"/>
      <c r="FB132" s="139"/>
      <c r="FC132" s="139"/>
      <c r="FD132" s="139"/>
      <c r="FE132" s="139"/>
      <c r="FF132" s="139"/>
      <c r="FG132" s="139"/>
      <c r="FH132" s="139"/>
      <c r="FI132" s="139"/>
      <c r="FJ132" s="139"/>
      <c r="FK132" s="139"/>
      <c r="FL132" s="139"/>
      <c r="FM132" s="139"/>
      <c r="FN132" s="139"/>
      <c r="FO132" s="139"/>
      <c r="FP132" s="139"/>
      <c r="FQ132" s="139"/>
      <c r="FR132" s="139"/>
      <c r="FS132" s="139"/>
      <c r="FT132" s="139"/>
      <c r="FU132" s="139"/>
      <c r="FV132" s="139"/>
      <c r="FW132" s="139"/>
      <c r="FX132" s="139"/>
      <c r="FY132" s="139"/>
      <c r="FZ132" s="139"/>
      <c r="GA132" s="139"/>
      <c r="GB132" s="139"/>
      <c r="GC132" s="139"/>
      <c r="GD132" s="139"/>
      <c r="GE132" s="139"/>
      <c r="GF132" s="139"/>
      <c r="GG132" s="139"/>
      <c r="GH132" s="139"/>
      <c r="GI132" s="139"/>
      <c r="GJ132" s="139"/>
      <c r="GK132" s="139"/>
      <c r="GL132" s="139"/>
      <c r="GM132" s="139"/>
      <c r="GN132" s="139"/>
      <c r="GO132" s="139"/>
      <c r="GP132" s="139"/>
      <c r="GQ132" s="139"/>
      <c r="GR132" s="139"/>
      <c r="GS132" s="139"/>
      <c r="GT132" s="139"/>
      <c r="GU132" s="139"/>
      <c r="GV132" s="139"/>
      <c r="GW132" s="139"/>
      <c r="GX132" s="139"/>
      <c r="GY132" s="139"/>
      <c r="GZ132" s="139"/>
      <c r="HA132" s="139"/>
      <c r="HB132" s="139"/>
      <c r="HC132" s="139"/>
      <c r="HD132" s="139"/>
      <c r="HE132" s="139"/>
      <c r="HF132" s="139"/>
      <c r="HG132" s="139"/>
      <c r="HH132" s="139"/>
      <c r="HI132" s="139"/>
      <c r="HJ132" s="139"/>
      <c r="HK132" s="139"/>
      <c r="HL132" s="139"/>
      <c r="HM132" s="139"/>
      <c r="HN132" s="139"/>
      <c r="HO132" s="139"/>
      <c r="HP132" s="139"/>
      <c r="HQ132" s="139"/>
      <c r="HR132" s="139"/>
      <c r="HS132" s="139"/>
      <c r="HT132" s="139"/>
      <c r="HU132" s="139"/>
      <c r="HV132" s="139"/>
      <c r="HW132" s="139"/>
      <c r="HX132" s="139"/>
      <c r="HY132" s="139"/>
      <c r="HZ132" s="139"/>
      <c r="IA132" s="139"/>
      <c r="IB132" s="139"/>
      <c r="IC132" s="139"/>
      <c r="ID132" s="139"/>
      <c r="IE132" s="139"/>
      <c r="IF132" s="139"/>
      <c r="IG132" s="139"/>
      <c r="IH132" s="139"/>
      <c r="II132" s="139"/>
      <c r="IJ132" s="139"/>
      <c r="IK132" s="139"/>
      <c r="IL132" s="139"/>
      <c r="IM132" s="139"/>
      <c r="IN132" s="139"/>
      <c r="IO132" s="139"/>
      <c r="IP132" s="139"/>
      <c r="IQ132" s="139"/>
      <c r="IR132" s="139"/>
      <c r="IS132" s="139"/>
      <c r="IT132" s="139"/>
      <c r="IU132" s="139"/>
      <c r="IV132" s="139"/>
      <c r="IW132" s="139"/>
    </row>
    <row r="133" customFormat="false" ht="12.75" hidden="false" customHeight="false" outlineLevel="0" collapsed="false">
      <c r="A133" s="212" t="s">
        <v>144</v>
      </c>
      <c r="B133" s="213" t="s">
        <v>356</v>
      </c>
      <c r="C133" s="213" t="s">
        <v>238</v>
      </c>
      <c r="D133" s="214" t="n">
        <v>36739</v>
      </c>
      <c r="E133" s="214" t="n">
        <v>36769</v>
      </c>
      <c r="F133" s="212" t="s">
        <v>363</v>
      </c>
      <c r="G133" s="212" t="s">
        <v>373</v>
      </c>
      <c r="H133" s="213" t="s">
        <v>154</v>
      </c>
      <c r="I133" s="215" t="n">
        <f aca="false">0.152*0.0328767</f>
        <v>0.0049972584</v>
      </c>
      <c r="J133" s="216" t="n">
        <v>0.075</v>
      </c>
      <c r="K133" s="216" t="n">
        <v>0.0022</v>
      </c>
      <c r="L133" s="216" t="n">
        <v>0</v>
      </c>
      <c r="M133" s="216" t="n">
        <v>0</v>
      </c>
      <c r="N133" s="217" t="n">
        <v>0</v>
      </c>
      <c r="O133" s="216" t="n">
        <f aca="false">SUM(I133:M133)</f>
        <v>0.0821972584</v>
      </c>
      <c r="P133" s="218" t="n">
        <v>893719</v>
      </c>
      <c r="Q133" s="213" t="n">
        <v>11900</v>
      </c>
      <c r="R133" s="212" t="s">
        <v>380</v>
      </c>
      <c r="S133" s="219" t="n">
        <f aca="false">+I133*I$1*Q133</f>
        <v>1843.48862376</v>
      </c>
      <c r="T133" s="220"/>
      <c r="U133" s="221"/>
      <c r="V133" s="221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2"/>
      <c r="BJ133" s="222"/>
      <c r="BK133" s="222"/>
      <c r="BL133" s="222"/>
      <c r="BM133" s="222"/>
      <c r="BN133" s="222"/>
      <c r="BO133" s="222"/>
      <c r="BP133" s="222"/>
      <c r="BQ133" s="222"/>
      <c r="BR133" s="222"/>
      <c r="BS133" s="222"/>
      <c r="BT133" s="222"/>
      <c r="BU133" s="222"/>
      <c r="BV133" s="222"/>
      <c r="BW133" s="222"/>
      <c r="BX133" s="222"/>
      <c r="BY133" s="222"/>
      <c r="BZ133" s="222"/>
      <c r="CA133" s="222"/>
      <c r="CB133" s="222"/>
      <c r="CC133" s="222"/>
      <c r="CD133" s="222"/>
      <c r="CE133" s="222"/>
      <c r="CF133" s="222"/>
      <c r="CG133" s="222"/>
      <c r="CH133" s="222"/>
      <c r="CI133" s="222"/>
      <c r="CJ133" s="222"/>
      <c r="CK133" s="222"/>
      <c r="CL133" s="222"/>
      <c r="CM133" s="222"/>
      <c r="CN133" s="222"/>
      <c r="CO133" s="222"/>
      <c r="CP133" s="222"/>
      <c r="CQ133" s="222"/>
      <c r="CR133" s="222"/>
      <c r="CS133" s="222"/>
      <c r="CT133" s="222"/>
      <c r="CU133" s="222"/>
      <c r="CV133" s="222"/>
      <c r="CW133" s="222"/>
      <c r="CX133" s="222"/>
      <c r="CY133" s="222"/>
      <c r="CZ133" s="222"/>
      <c r="DA133" s="222"/>
      <c r="DB133" s="222"/>
      <c r="DC133" s="222"/>
      <c r="DD133" s="222"/>
      <c r="DE133" s="222"/>
      <c r="DF133" s="222"/>
      <c r="DG133" s="222"/>
      <c r="DH133" s="222"/>
      <c r="DI133" s="222"/>
      <c r="DJ133" s="222"/>
      <c r="DK133" s="222"/>
      <c r="DL133" s="222"/>
      <c r="DM133" s="222"/>
      <c r="DN133" s="222"/>
      <c r="DO133" s="222"/>
      <c r="DP133" s="222"/>
      <c r="DQ133" s="222"/>
      <c r="DR133" s="222"/>
      <c r="DS133" s="222"/>
      <c r="DT133" s="222"/>
      <c r="DU133" s="222"/>
      <c r="DV133" s="222"/>
      <c r="DW133" s="222"/>
      <c r="DX133" s="222"/>
      <c r="DY133" s="222"/>
      <c r="DZ133" s="222"/>
      <c r="EA133" s="222"/>
      <c r="EB133" s="222"/>
      <c r="EC133" s="222"/>
      <c r="ED133" s="222"/>
      <c r="EE133" s="222"/>
      <c r="EF133" s="222"/>
      <c r="EG133" s="222"/>
      <c r="EH133" s="222"/>
      <c r="EI133" s="222"/>
      <c r="EJ133" s="222"/>
      <c r="EK133" s="222"/>
      <c r="EL133" s="222"/>
      <c r="EM133" s="222"/>
      <c r="EN133" s="222"/>
      <c r="EO133" s="222"/>
      <c r="EP133" s="222"/>
      <c r="EQ133" s="222"/>
      <c r="ER133" s="222"/>
      <c r="ES133" s="222"/>
      <c r="ET133" s="222"/>
      <c r="EU133" s="222"/>
      <c r="EV133" s="222"/>
      <c r="EW133" s="222"/>
      <c r="EX133" s="222"/>
      <c r="EY133" s="222"/>
      <c r="EZ133" s="222"/>
      <c r="FA133" s="222"/>
      <c r="FB133" s="222"/>
      <c r="FC133" s="222"/>
      <c r="FD133" s="222"/>
      <c r="FE133" s="222"/>
      <c r="FF133" s="222"/>
      <c r="FG133" s="222"/>
      <c r="FH133" s="222"/>
      <c r="FI133" s="222"/>
      <c r="FJ133" s="222"/>
      <c r="FK133" s="222"/>
      <c r="FL133" s="222"/>
      <c r="FM133" s="222"/>
      <c r="FN133" s="222"/>
      <c r="FO133" s="222"/>
      <c r="FP133" s="222"/>
      <c r="FQ133" s="222"/>
      <c r="FR133" s="222"/>
      <c r="FS133" s="222"/>
      <c r="FT133" s="222"/>
      <c r="FU133" s="222"/>
      <c r="FV133" s="222"/>
      <c r="FW133" s="222"/>
      <c r="FX133" s="222"/>
      <c r="FY133" s="222"/>
      <c r="FZ133" s="222"/>
      <c r="GA133" s="222"/>
      <c r="GB133" s="222"/>
      <c r="GC133" s="222"/>
      <c r="GD133" s="222"/>
      <c r="GE133" s="222"/>
      <c r="GF133" s="222"/>
      <c r="GG133" s="222"/>
      <c r="GH133" s="222"/>
      <c r="GI133" s="222"/>
      <c r="GJ133" s="222"/>
      <c r="GK133" s="222"/>
      <c r="GL133" s="222"/>
      <c r="GM133" s="222"/>
      <c r="GN133" s="222"/>
      <c r="GO133" s="222"/>
      <c r="GP133" s="222"/>
      <c r="GQ133" s="222"/>
      <c r="GR133" s="222"/>
      <c r="GS133" s="222"/>
      <c r="GT133" s="222"/>
      <c r="GU133" s="222"/>
      <c r="GV133" s="222"/>
      <c r="GW133" s="222"/>
      <c r="GX133" s="222"/>
      <c r="GY133" s="222"/>
      <c r="GZ133" s="222"/>
      <c r="HA133" s="222"/>
      <c r="HB133" s="222"/>
      <c r="HC133" s="222"/>
      <c r="HD133" s="222"/>
      <c r="HE133" s="222"/>
      <c r="HF133" s="222"/>
      <c r="HG133" s="222"/>
      <c r="HH133" s="222"/>
      <c r="HI133" s="222"/>
      <c r="HJ133" s="222"/>
      <c r="HK133" s="222"/>
      <c r="HL133" s="222"/>
      <c r="HM133" s="222"/>
      <c r="HN133" s="222"/>
      <c r="HO133" s="222"/>
      <c r="HP133" s="222"/>
      <c r="HQ133" s="222"/>
      <c r="HR133" s="222"/>
      <c r="HS133" s="222"/>
      <c r="HT133" s="222"/>
      <c r="HU133" s="222"/>
      <c r="HV133" s="222"/>
      <c r="HW133" s="222"/>
      <c r="HX133" s="222"/>
      <c r="HY133" s="222"/>
      <c r="HZ133" s="222"/>
      <c r="IA133" s="222"/>
      <c r="IB133" s="222"/>
      <c r="IC133" s="222"/>
      <c r="ID133" s="222"/>
      <c r="IE133" s="222"/>
      <c r="IF133" s="222"/>
      <c r="IG133" s="222"/>
      <c r="IH133" s="222"/>
      <c r="II133" s="222"/>
      <c r="IJ133" s="222"/>
      <c r="IK133" s="222"/>
      <c r="IL133" s="222"/>
      <c r="IM133" s="222"/>
      <c r="IN133" s="222"/>
      <c r="IO133" s="222"/>
      <c r="IP133" s="222"/>
      <c r="IQ133" s="222"/>
      <c r="IR133" s="222"/>
      <c r="IS133" s="222"/>
      <c r="IT133" s="222"/>
      <c r="IU133" s="222"/>
      <c r="IV133" s="222"/>
      <c r="IW133" s="222"/>
    </row>
    <row r="134" customFormat="false" ht="12.75" hidden="false" customHeight="false" outlineLevel="0" collapsed="false">
      <c r="A134" s="15"/>
      <c r="B134" s="16"/>
      <c r="C134" s="16"/>
      <c r="D134" s="17"/>
      <c r="E134" s="17"/>
      <c r="F134" s="15"/>
      <c r="G134" s="15"/>
      <c r="H134" s="16"/>
      <c r="I134" s="19"/>
      <c r="J134" s="20"/>
      <c r="K134" s="68"/>
      <c r="L134" s="20"/>
      <c r="M134" s="20"/>
      <c r="N134" s="25"/>
      <c r="O134" s="20"/>
      <c r="P134" s="22"/>
      <c r="Q134" s="34"/>
      <c r="R134" s="16"/>
      <c r="S134" s="151"/>
      <c r="T134" s="23"/>
      <c r="U134" s="26"/>
      <c r="V134" s="24"/>
      <c r="W134" s="24"/>
    </row>
    <row r="135" customFormat="false" ht="12.75" hidden="false" customHeight="false" outlineLevel="0" collapsed="false">
      <c r="A135" s="85"/>
      <c r="B135" s="69"/>
      <c r="C135" s="69"/>
      <c r="D135" s="86"/>
      <c r="E135" s="86"/>
      <c r="F135" s="85"/>
      <c r="G135" s="85"/>
      <c r="H135" s="69"/>
      <c r="I135" s="88"/>
      <c r="J135" s="68"/>
      <c r="K135" s="68"/>
      <c r="L135" s="68"/>
      <c r="M135" s="68"/>
      <c r="N135" s="89"/>
      <c r="O135" s="68"/>
      <c r="P135" s="161"/>
      <c r="Q135" s="69" t="n">
        <f aca="false">SUM(Q124:Q134)</f>
        <v>73663</v>
      </c>
      <c r="R135" s="85" t="s">
        <v>164</v>
      </c>
      <c r="S135" s="35" t="n">
        <f aca="false">SUM(S124:S134)</f>
        <v>464393.087618226</v>
      </c>
      <c r="T135" s="35"/>
      <c r="U135" s="36"/>
      <c r="V135" s="37"/>
      <c r="W135" s="37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2"/>
      <c r="AT135" s="162"/>
      <c r="AU135" s="162"/>
      <c r="AV135" s="162"/>
      <c r="AW135" s="162"/>
      <c r="AX135" s="162"/>
      <c r="AY135" s="162"/>
      <c r="AZ135" s="162"/>
      <c r="BA135" s="162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62"/>
      <c r="CA135" s="162"/>
      <c r="CB135" s="162"/>
      <c r="CC135" s="162"/>
      <c r="CD135" s="162"/>
      <c r="CE135" s="162"/>
      <c r="CF135" s="162"/>
      <c r="CG135" s="162"/>
      <c r="CH135" s="162"/>
      <c r="CI135" s="162"/>
      <c r="CJ135" s="162"/>
      <c r="CK135" s="162"/>
      <c r="CL135" s="162"/>
      <c r="CM135" s="162"/>
      <c r="CN135" s="162"/>
      <c r="CO135" s="162"/>
      <c r="CP135" s="162"/>
      <c r="CQ135" s="162"/>
      <c r="CR135" s="162"/>
      <c r="CS135" s="162"/>
      <c r="CT135" s="162"/>
      <c r="CU135" s="162"/>
      <c r="CV135" s="162"/>
      <c r="CW135" s="162"/>
      <c r="CX135" s="162"/>
      <c r="CY135" s="162"/>
      <c r="CZ135" s="162"/>
      <c r="DA135" s="162"/>
      <c r="DB135" s="162"/>
      <c r="DC135" s="162"/>
      <c r="DD135" s="162"/>
      <c r="DE135" s="162"/>
      <c r="DF135" s="162"/>
      <c r="DG135" s="162"/>
      <c r="DH135" s="162"/>
      <c r="DI135" s="162"/>
      <c r="DJ135" s="162"/>
      <c r="DK135" s="162"/>
      <c r="DL135" s="162"/>
      <c r="DM135" s="162"/>
      <c r="DN135" s="162"/>
      <c r="DO135" s="162"/>
      <c r="DP135" s="162"/>
      <c r="DQ135" s="162"/>
      <c r="DR135" s="162"/>
      <c r="DS135" s="162"/>
      <c r="DT135" s="162"/>
      <c r="DU135" s="162"/>
      <c r="DV135" s="162"/>
      <c r="DW135" s="162"/>
      <c r="DX135" s="162"/>
      <c r="DY135" s="162"/>
      <c r="DZ135" s="162"/>
      <c r="EA135" s="162"/>
      <c r="EB135" s="162"/>
      <c r="EC135" s="162"/>
      <c r="ED135" s="162"/>
      <c r="EE135" s="162"/>
      <c r="EF135" s="162"/>
      <c r="EG135" s="162"/>
      <c r="EH135" s="162"/>
      <c r="EI135" s="162"/>
      <c r="EJ135" s="162"/>
      <c r="EK135" s="162"/>
      <c r="EL135" s="162"/>
      <c r="EM135" s="162"/>
      <c r="EN135" s="162"/>
      <c r="EO135" s="162"/>
      <c r="EP135" s="162"/>
      <c r="EQ135" s="162"/>
      <c r="ER135" s="162"/>
      <c r="ES135" s="162"/>
      <c r="ET135" s="162"/>
      <c r="EU135" s="162"/>
      <c r="EV135" s="162"/>
      <c r="EW135" s="162"/>
      <c r="EX135" s="162"/>
      <c r="EY135" s="162"/>
      <c r="EZ135" s="162"/>
      <c r="FA135" s="162"/>
      <c r="FB135" s="162"/>
      <c r="FC135" s="162"/>
      <c r="FD135" s="162"/>
      <c r="FE135" s="162"/>
      <c r="FF135" s="162"/>
      <c r="FG135" s="162"/>
      <c r="FH135" s="162"/>
      <c r="FI135" s="162"/>
      <c r="FJ135" s="162"/>
      <c r="FK135" s="162"/>
      <c r="FL135" s="162"/>
      <c r="FM135" s="162"/>
      <c r="FN135" s="162"/>
      <c r="FO135" s="162"/>
      <c r="FP135" s="162"/>
      <c r="FQ135" s="162"/>
      <c r="FR135" s="162"/>
      <c r="FS135" s="162"/>
      <c r="FT135" s="162"/>
      <c r="FU135" s="162"/>
      <c r="FV135" s="162"/>
      <c r="FW135" s="162"/>
      <c r="FX135" s="162"/>
      <c r="FY135" s="162"/>
      <c r="FZ135" s="162"/>
      <c r="GA135" s="162"/>
      <c r="GB135" s="162"/>
      <c r="GC135" s="162"/>
      <c r="GD135" s="162"/>
      <c r="GE135" s="162"/>
      <c r="GF135" s="162"/>
      <c r="GG135" s="162"/>
      <c r="GH135" s="162"/>
      <c r="GI135" s="162"/>
      <c r="GJ135" s="162"/>
      <c r="GK135" s="162"/>
      <c r="GL135" s="162"/>
      <c r="GM135" s="162"/>
      <c r="GN135" s="162"/>
      <c r="GO135" s="162"/>
      <c r="GP135" s="162"/>
      <c r="GQ135" s="162"/>
      <c r="GR135" s="162"/>
      <c r="GS135" s="162"/>
      <c r="GT135" s="162"/>
      <c r="GU135" s="162"/>
      <c r="GV135" s="162"/>
      <c r="GW135" s="162"/>
      <c r="GX135" s="162"/>
      <c r="GY135" s="162"/>
      <c r="GZ135" s="162"/>
      <c r="HA135" s="162"/>
      <c r="HB135" s="162"/>
      <c r="HC135" s="162"/>
      <c r="HD135" s="162"/>
      <c r="HE135" s="162"/>
      <c r="HF135" s="162"/>
      <c r="HG135" s="162"/>
      <c r="HH135" s="162"/>
      <c r="HI135" s="162"/>
      <c r="HJ135" s="162"/>
      <c r="HK135" s="162"/>
      <c r="HL135" s="162"/>
      <c r="HM135" s="162"/>
      <c r="HN135" s="162"/>
      <c r="HO135" s="162"/>
      <c r="HP135" s="162"/>
      <c r="HQ135" s="162"/>
      <c r="HR135" s="162"/>
      <c r="HS135" s="162"/>
      <c r="HT135" s="162"/>
      <c r="HU135" s="162"/>
      <c r="HV135" s="162"/>
      <c r="HW135" s="162"/>
      <c r="HX135" s="162"/>
      <c r="HY135" s="162"/>
      <c r="HZ135" s="162"/>
      <c r="IA135" s="162"/>
      <c r="IB135" s="162"/>
      <c r="IC135" s="162"/>
      <c r="ID135" s="162"/>
      <c r="IE135" s="162"/>
      <c r="IF135" s="162"/>
      <c r="IG135" s="162"/>
      <c r="IH135" s="162"/>
      <c r="II135" s="162"/>
      <c r="IJ135" s="162"/>
      <c r="IK135" s="162"/>
      <c r="IL135" s="162"/>
      <c r="IM135" s="162"/>
      <c r="IN135" s="162"/>
      <c r="IO135" s="162"/>
      <c r="IP135" s="162"/>
      <c r="IQ135" s="162"/>
      <c r="IR135" s="162"/>
      <c r="IS135" s="162"/>
      <c r="IT135" s="162"/>
      <c r="IU135" s="162"/>
      <c r="IV135" s="162"/>
      <c r="IW135" s="162"/>
    </row>
    <row r="136" customFormat="false" ht="12.75" hidden="false" customHeight="false" outlineLevel="0" collapsed="false">
      <c r="A136" s="15"/>
      <c r="B136" s="16"/>
      <c r="C136" s="16"/>
      <c r="D136" s="17"/>
      <c r="E136" s="17"/>
      <c r="F136" s="15"/>
      <c r="G136" s="15"/>
      <c r="H136" s="16"/>
      <c r="I136" s="19"/>
      <c r="J136" s="20"/>
      <c r="K136" s="20"/>
      <c r="L136" s="20"/>
      <c r="M136" s="20"/>
      <c r="N136" s="25"/>
      <c r="O136" s="20"/>
      <c r="P136" s="22"/>
      <c r="Q136" s="71"/>
      <c r="R136" s="85" t="s">
        <v>165</v>
      </c>
      <c r="S136" s="35" t="n">
        <f aca="false">SUM(S124:S126)</f>
        <v>443747.070000266</v>
      </c>
      <c r="T136" s="23"/>
      <c r="U136" s="26"/>
      <c r="V136" s="24"/>
      <c r="W136" s="24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3.5" hidden="false" customHeight="false" outlineLevel="0" collapsed="false">
      <c r="A137" s="15"/>
      <c r="B137" s="16"/>
      <c r="C137" s="16"/>
      <c r="D137" s="17"/>
      <c r="E137" s="17"/>
      <c r="F137" s="15"/>
      <c r="G137" s="15"/>
      <c r="H137" s="16"/>
      <c r="I137" s="19"/>
      <c r="J137" s="20"/>
      <c r="K137" s="20"/>
      <c r="L137" s="20"/>
      <c r="M137" s="20"/>
      <c r="N137" s="25"/>
      <c r="O137" s="20"/>
      <c r="P137" s="22"/>
      <c r="Q137" s="71"/>
      <c r="R137" s="85" t="s">
        <v>166</v>
      </c>
      <c r="S137" s="223" t="n">
        <f aca="false">+S135-S136</f>
        <v>20646.0176179605</v>
      </c>
      <c r="T137" s="23"/>
      <c r="U137" s="26"/>
      <c r="V137" s="24"/>
      <c r="W137" s="24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3.5" hidden="false" customHeight="false" outlineLevel="0" collapsed="false">
      <c r="A138" s="15"/>
      <c r="B138" s="16"/>
      <c r="C138" s="16"/>
      <c r="D138" s="17"/>
      <c r="E138" s="17"/>
      <c r="F138" s="15"/>
      <c r="G138" s="15"/>
      <c r="H138" s="16"/>
      <c r="I138" s="19"/>
      <c r="J138" s="20"/>
      <c r="K138" s="20"/>
      <c r="L138" s="20"/>
      <c r="M138" s="20"/>
      <c r="N138" s="25"/>
      <c r="O138" s="20"/>
      <c r="P138" s="22"/>
      <c r="Q138" s="16"/>
      <c r="R138" s="15"/>
      <c r="S138" s="23"/>
      <c r="T138" s="23"/>
      <c r="U138" s="26"/>
      <c r="V138" s="24"/>
      <c r="W138" s="24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false" customHeight="false" outlineLevel="0" collapsed="false">
      <c r="A139" s="141" t="s">
        <v>108</v>
      </c>
      <c r="B139" s="142" t="s">
        <v>109</v>
      </c>
      <c r="C139" s="142" t="s">
        <v>110</v>
      </c>
      <c r="D139" s="143" t="s">
        <v>111</v>
      </c>
      <c r="E139" s="143"/>
      <c r="F139" s="141" t="s">
        <v>112</v>
      </c>
      <c r="G139" s="141" t="s">
        <v>113</v>
      </c>
      <c r="H139" s="142" t="s">
        <v>114</v>
      </c>
      <c r="I139" s="144" t="s">
        <v>115</v>
      </c>
      <c r="J139" s="142" t="s">
        <v>116</v>
      </c>
      <c r="K139" s="142" t="s">
        <v>117</v>
      </c>
      <c r="L139" s="142" t="s">
        <v>118</v>
      </c>
      <c r="M139" s="142" t="s">
        <v>119</v>
      </c>
      <c r="N139" s="150" t="s">
        <v>120</v>
      </c>
      <c r="O139" s="142" t="s">
        <v>121</v>
      </c>
      <c r="P139" s="146" t="s">
        <v>122</v>
      </c>
      <c r="Q139" s="142" t="s">
        <v>123</v>
      </c>
      <c r="R139" s="141" t="s">
        <v>124</v>
      </c>
      <c r="S139" s="99" t="s">
        <v>236</v>
      </c>
      <c r="T139" s="99" t="s">
        <v>237</v>
      </c>
      <c r="U139" s="102"/>
      <c r="V139" s="102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  <c r="BI139" s="148"/>
      <c r="BJ139" s="148"/>
      <c r="BK139" s="148"/>
      <c r="BL139" s="148"/>
      <c r="BM139" s="148"/>
      <c r="BN139" s="148"/>
      <c r="BO139" s="148"/>
      <c r="BP139" s="148"/>
      <c r="BQ139" s="148"/>
      <c r="BR139" s="148"/>
      <c r="BS139" s="148"/>
      <c r="BT139" s="148"/>
      <c r="BU139" s="148"/>
      <c r="BV139" s="148"/>
      <c r="BW139" s="148"/>
      <c r="BX139" s="148"/>
      <c r="BY139" s="148"/>
      <c r="BZ139" s="148"/>
      <c r="CA139" s="148"/>
      <c r="CB139" s="148"/>
      <c r="CC139" s="148"/>
      <c r="CD139" s="148"/>
      <c r="CE139" s="148"/>
      <c r="CF139" s="148"/>
      <c r="CG139" s="148"/>
      <c r="CH139" s="148"/>
      <c r="CI139" s="148"/>
      <c r="CJ139" s="148"/>
      <c r="CK139" s="148"/>
      <c r="CL139" s="148"/>
      <c r="CM139" s="148"/>
      <c r="CN139" s="148"/>
      <c r="CO139" s="148"/>
      <c r="CP139" s="148"/>
      <c r="CQ139" s="148"/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  <c r="DB139" s="148"/>
      <c r="DC139" s="148"/>
      <c r="DD139" s="148"/>
      <c r="DE139" s="148"/>
      <c r="DF139" s="148"/>
      <c r="DG139" s="148"/>
      <c r="DH139" s="148"/>
      <c r="DI139" s="148"/>
      <c r="DJ139" s="148"/>
      <c r="DK139" s="148"/>
      <c r="DL139" s="148"/>
      <c r="DM139" s="148"/>
      <c r="DN139" s="148"/>
      <c r="DO139" s="148"/>
      <c r="DP139" s="148"/>
      <c r="DQ139" s="148"/>
      <c r="DR139" s="148"/>
      <c r="DS139" s="148"/>
      <c r="DT139" s="148"/>
      <c r="DU139" s="148"/>
      <c r="DV139" s="148"/>
      <c r="DW139" s="148"/>
      <c r="DX139" s="148"/>
      <c r="DY139" s="148"/>
      <c r="DZ139" s="148"/>
      <c r="EA139" s="148"/>
      <c r="EB139" s="148"/>
      <c r="EC139" s="148"/>
      <c r="ED139" s="148"/>
      <c r="EE139" s="148"/>
      <c r="EF139" s="148"/>
      <c r="EG139" s="148"/>
      <c r="EH139" s="148"/>
      <c r="EI139" s="148"/>
      <c r="EJ139" s="148"/>
      <c r="EK139" s="148"/>
      <c r="EL139" s="148"/>
      <c r="EM139" s="148"/>
      <c r="EN139" s="148"/>
      <c r="EO139" s="148"/>
      <c r="EP139" s="148"/>
      <c r="EQ139" s="148"/>
      <c r="ER139" s="148"/>
      <c r="ES139" s="148"/>
      <c r="ET139" s="148"/>
      <c r="EU139" s="148"/>
      <c r="EV139" s="148"/>
      <c r="EW139" s="148"/>
      <c r="EX139" s="148"/>
      <c r="EY139" s="148"/>
      <c r="EZ139" s="148"/>
      <c r="FA139" s="148"/>
      <c r="FB139" s="148"/>
      <c r="FC139" s="148"/>
      <c r="FD139" s="148"/>
      <c r="FE139" s="148"/>
      <c r="FF139" s="148"/>
      <c r="FG139" s="148"/>
      <c r="FH139" s="148"/>
      <c r="FI139" s="148"/>
      <c r="FJ139" s="148"/>
      <c r="FK139" s="148"/>
      <c r="FL139" s="148"/>
      <c r="FM139" s="148"/>
      <c r="FN139" s="148"/>
      <c r="FO139" s="148"/>
      <c r="FP139" s="148"/>
      <c r="FQ139" s="148"/>
      <c r="FR139" s="148"/>
      <c r="FS139" s="148"/>
      <c r="FT139" s="148"/>
      <c r="FU139" s="148"/>
      <c r="FV139" s="148"/>
      <c r="FW139" s="148"/>
      <c r="FX139" s="148"/>
      <c r="FY139" s="148"/>
      <c r="FZ139" s="148"/>
      <c r="GA139" s="148"/>
      <c r="GB139" s="148"/>
      <c r="GC139" s="148"/>
      <c r="GD139" s="148"/>
      <c r="GE139" s="148"/>
      <c r="GF139" s="148"/>
      <c r="GG139" s="148"/>
      <c r="GH139" s="148"/>
      <c r="GI139" s="148"/>
      <c r="GJ139" s="148"/>
      <c r="GK139" s="148"/>
      <c r="GL139" s="148"/>
      <c r="GM139" s="148"/>
      <c r="GN139" s="148"/>
      <c r="GO139" s="148"/>
      <c r="GP139" s="148"/>
      <c r="GQ139" s="148"/>
      <c r="GR139" s="148"/>
      <c r="GS139" s="148"/>
      <c r="GT139" s="148"/>
      <c r="GU139" s="148"/>
      <c r="GV139" s="148"/>
      <c r="GW139" s="148"/>
      <c r="GX139" s="148"/>
      <c r="GY139" s="148"/>
      <c r="GZ139" s="148"/>
      <c r="HA139" s="148"/>
      <c r="HB139" s="148"/>
      <c r="HC139" s="148"/>
      <c r="HD139" s="148"/>
      <c r="HE139" s="148"/>
      <c r="HF139" s="148"/>
      <c r="HG139" s="148"/>
      <c r="HH139" s="148"/>
      <c r="HI139" s="148"/>
      <c r="HJ139" s="148"/>
      <c r="HK139" s="148"/>
      <c r="HL139" s="148"/>
      <c r="HM139" s="148"/>
      <c r="HN139" s="148"/>
      <c r="HO139" s="148"/>
      <c r="HP139" s="148"/>
      <c r="HQ139" s="148"/>
      <c r="HR139" s="148"/>
      <c r="HS139" s="148"/>
      <c r="HT139" s="148"/>
      <c r="HU139" s="148"/>
      <c r="HV139" s="148"/>
      <c r="HW139" s="148"/>
      <c r="HX139" s="148"/>
      <c r="HY139" s="148"/>
      <c r="HZ139" s="148"/>
      <c r="IA139" s="148"/>
      <c r="IB139" s="148"/>
      <c r="IC139" s="148"/>
      <c r="ID139" s="148"/>
      <c r="IE139" s="148"/>
      <c r="IF139" s="148"/>
      <c r="IG139" s="148"/>
      <c r="IH139" s="148"/>
      <c r="II139" s="148"/>
      <c r="IJ139" s="148"/>
      <c r="IK139" s="148"/>
      <c r="IL139" s="148"/>
      <c r="IM139" s="148"/>
      <c r="IN139" s="148"/>
      <c r="IO139" s="148"/>
      <c r="IP139" s="148"/>
      <c r="IQ139" s="148"/>
      <c r="IR139" s="148"/>
      <c r="IS139" s="148"/>
      <c r="IT139" s="148"/>
      <c r="IU139" s="148"/>
      <c r="IV139" s="148"/>
      <c r="IW139" s="148"/>
    </row>
    <row r="140" customFormat="false" ht="12.75" hidden="false" customHeight="false" outlineLevel="0" collapsed="false">
      <c r="A140" s="85" t="s">
        <v>108</v>
      </c>
      <c r="B140" s="69" t="s">
        <v>381</v>
      </c>
      <c r="C140" s="69" t="s">
        <v>382</v>
      </c>
      <c r="D140" s="86" t="n">
        <v>36647</v>
      </c>
      <c r="E140" s="86" t="n">
        <v>36770</v>
      </c>
      <c r="F140" s="85" t="s">
        <v>383</v>
      </c>
      <c r="G140" s="85" t="s">
        <v>384</v>
      </c>
      <c r="H140" s="69" t="s">
        <v>170</v>
      </c>
      <c r="I140" s="88" t="n">
        <v>0</v>
      </c>
      <c r="J140" s="68"/>
      <c r="K140" s="68"/>
      <c r="L140" s="68"/>
      <c r="M140" s="68"/>
      <c r="N140" s="154"/>
      <c r="O140" s="68"/>
      <c r="P140" s="161" t="s">
        <v>385</v>
      </c>
      <c r="Q140" s="69" t="n">
        <v>5200</v>
      </c>
      <c r="R140" s="224" t="n">
        <v>200004000073</v>
      </c>
      <c r="S140" s="35" t="n">
        <f aca="false">+I140*Q140*I$1</f>
        <v>0</v>
      </c>
      <c r="T140" s="35"/>
      <c r="U140" s="37" t="n">
        <v>253159</v>
      </c>
      <c r="V140" s="37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2"/>
      <c r="AI140" s="162"/>
      <c r="AJ140" s="162"/>
      <c r="AK140" s="162"/>
      <c r="AL140" s="162"/>
      <c r="AM140" s="162"/>
      <c r="AN140" s="162"/>
      <c r="AO140" s="162"/>
      <c r="AP140" s="162"/>
      <c r="AQ140" s="162"/>
      <c r="AR140" s="162"/>
      <c r="AS140" s="162"/>
      <c r="AT140" s="162"/>
      <c r="AU140" s="162"/>
      <c r="AV140" s="162"/>
      <c r="AW140" s="162"/>
      <c r="AX140" s="162"/>
      <c r="AY140" s="162"/>
      <c r="AZ140" s="162"/>
      <c r="BA140" s="162"/>
      <c r="BB140" s="162"/>
      <c r="BC140" s="162"/>
      <c r="BD140" s="162"/>
      <c r="BE140" s="162"/>
      <c r="BF140" s="162"/>
      <c r="BG140" s="162"/>
      <c r="BH140" s="162"/>
      <c r="BI140" s="162"/>
      <c r="BJ140" s="162"/>
      <c r="BK140" s="162"/>
      <c r="BL140" s="162"/>
      <c r="BM140" s="162"/>
      <c r="BN140" s="162"/>
      <c r="BO140" s="162"/>
      <c r="BP140" s="162"/>
      <c r="BQ140" s="162"/>
      <c r="BR140" s="162"/>
      <c r="BS140" s="162"/>
      <c r="BT140" s="162"/>
      <c r="BU140" s="162"/>
      <c r="BV140" s="162"/>
      <c r="BW140" s="162"/>
      <c r="BX140" s="162"/>
      <c r="BY140" s="162"/>
      <c r="BZ140" s="162"/>
      <c r="CA140" s="162"/>
      <c r="CB140" s="162"/>
      <c r="CC140" s="162"/>
      <c r="CD140" s="162"/>
      <c r="CE140" s="162"/>
      <c r="CF140" s="162"/>
      <c r="CG140" s="162"/>
      <c r="CH140" s="162"/>
      <c r="CI140" s="162"/>
      <c r="CJ140" s="162"/>
      <c r="CK140" s="162"/>
      <c r="CL140" s="162"/>
      <c r="CM140" s="162"/>
      <c r="CN140" s="162"/>
      <c r="CO140" s="162"/>
      <c r="CP140" s="162"/>
      <c r="CQ140" s="162"/>
      <c r="CR140" s="162"/>
      <c r="CS140" s="162"/>
      <c r="CT140" s="162"/>
      <c r="CU140" s="162"/>
      <c r="CV140" s="162"/>
      <c r="CW140" s="162"/>
      <c r="CX140" s="162"/>
      <c r="CY140" s="162"/>
      <c r="CZ140" s="162"/>
      <c r="DA140" s="162"/>
      <c r="DB140" s="162"/>
      <c r="DC140" s="162"/>
      <c r="DD140" s="162"/>
      <c r="DE140" s="162"/>
      <c r="DF140" s="162"/>
      <c r="DG140" s="162"/>
      <c r="DH140" s="162"/>
      <c r="DI140" s="162"/>
      <c r="DJ140" s="162"/>
      <c r="DK140" s="162"/>
      <c r="DL140" s="162"/>
      <c r="DM140" s="162"/>
      <c r="DN140" s="162"/>
      <c r="DO140" s="162"/>
      <c r="DP140" s="162"/>
      <c r="DQ140" s="162"/>
      <c r="DR140" s="162"/>
      <c r="DS140" s="162"/>
      <c r="DT140" s="162"/>
      <c r="DU140" s="162"/>
      <c r="DV140" s="162"/>
      <c r="DW140" s="162"/>
      <c r="DX140" s="162"/>
      <c r="DY140" s="162"/>
      <c r="DZ140" s="162"/>
      <c r="EA140" s="162"/>
      <c r="EB140" s="162"/>
      <c r="EC140" s="162"/>
      <c r="ED140" s="162"/>
      <c r="EE140" s="162"/>
      <c r="EF140" s="162"/>
      <c r="EG140" s="162"/>
      <c r="EH140" s="162"/>
      <c r="EI140" s="162"/>
      <c r="EJ140" s="162"/>
      <c r="EK140" s="162"/>
      <c r="EL140" s="162"/>
      <c r="EM140" s="162"/>
      <c r="EN140" s="162"/>
      <c r="EO140" s="162"/>
      <c r="EP140" s="162"/>
      <c r="EQ140" s="162"/>
      <c r="ER140" s="162"/>
      <c r="ES140" s="162"/>
      <c r="ET140" s="162"/>
      <c r="EU140" s="162"/>
      <c r="EV140" s="162"/>
      <c r="EW140" s="162"/>
      <c r="EX140" s="162"/>
      <c r="EY140" s="162"/>
      <c r="EZ140" s="162"/>
      <c r="FA140" s="162"/>
      <c r="FB140" s="162"/>
      <c r="FC140" s="162"/>
      <c r="FD140" s="162"/>
      <c r="FE140" s="162"/>
      <c r="FF140" s="162"/>
      <c r="FG140" s="162"/>
      <c r="FH140" s="162"/>
      <c r="FI140" s="162"/>
      <c r="FJ140" s="162"/>
      <c r="FK140" s="162"/>
      <c r="FL140" s="162"/>
      <c r="FM140" s="162"/>
      <c r="FN140" s="162"/>
      <c r="FO140" s="162"/>
      <c r="FP140" s="162"/>
      <c r="FQ140" s="162"/>
      <c r="FR140" s="162"/>
      <c r="FS140" s="162"/>
      <c r="FT140" s="162"/>
      <c r="FU140" s="162"/>
      <c r="FV140" s="162"/>
      <c r="FW140" s="162"/>
      <c r="FX140" s="162"/>
      <c r="FY140" s="162"/>
      <c r="FZ140" s="162"/>
      <c r="GA140" s="162"/>
      <c r="GB140" s="162"/>
      <c r="GC140" s="162"/>
      <c r="GD140" s="162"/>
      <c r="GE140" s="162"/>
      <c r="GF140" s="162"/>
      <c r="GG140" s="162"/>
      <c r="GH140" s="162"/>
      <c r="GI140" s="162"/>
      <c r="GJ140" s="162"/>
      <c r="GK140" s="162"/>
      <c r="GL140" s="162"/>
      <c r="GM140" s="162"/>
      <c r="GN140" s="162"/>
      <c r="GO140" s="162"/>
      <c r="GP140" s="162"/>
      <c r="GQ140" s="162"/>
      <c r="GR140" s="162"/>
      <c r="GS140" s="162"/>
      <c r="GT140" s="162"/>
      <c r="GU140" s="162"/>
      <c r="GV140" s="162"/>
      <c r="GW140" s="162"/>
      <c r="GX140" s="162"/>
      <c r="GY140" s="162"/>
      <c r="GZ140" s="162"/>
      <c r="HA140" s="162"/>
      <c r="HB140" s="162"/>
      <c r="HC140" s="162"/>
      <c r="HD140" s="162"/>
      <c r="HE140" s="162"/>
      <c r="HF140" s="162"/>
      <c r="HG140" s="162"/>
      <c r="HH140" s="162"/>
      <c r="HI140" s="162"/>
      <c r="HJ140" s="162"/>
      <c r="HK140" s="162"/>
      <c r="HL140" s="162"/>
      <c r="HM140" s="162"/>
      <c r="HN140" s="162"/>
      <c r="HO140" s="162"/>
      <c r="HP140" s="162"/>
      <c r="HQ140" s="162"/>
      <c r="HR140" s="162"/>
      <c r="HS140" s="162"/>
      <c r="HT140" s="162"/>
      <c r="HU140" s="162"/>
      <c r="HV140" s="162"/>
      <c r="HW140" s="162"/>
      <c r="HX140" s="162"/>
      <c r="HY140" s="162"/>
      <c r="HZ140" s="162"/>
      <c r="IA140" s="162"/>
      <c r="IB140" s="162"/>
      <c r="IC140" s="162"/>
      <c r="ID140" s="162"/>
      <c r="IE140" s="162"/>
      <c r="IF140" s="162"/>
      <c r="IG140" s="162"/>
      <c r="IH140" s="162"/>
      <c r="II140" s="162"/>
      <c r="IJ140" s="162"/>
      <c r="IK140" s="162"/>
      <c r="IL140" s="162"/>
      <c r="IM140" s="162"/>
      <c r="IN140" s="162"/>
      <c r="IO140" s="162"/>
      <c r="IP140" s="162"/>
      <c r="IQ140" s="162"/>
      <c r="IR140" s="162"/>
      <c r="IS140" s="162"/>
      <c r="IT140" s="162"/>
      <c r="IU140" s="162"/>
      <c r="IV140" s="162"/>
      <c r="IW140" s="162"/>
    </row>
    <row r="141" customFormat="false" ht="12.75" hidden="false" customHeight="false" outlineLevel="0" collapsed="false">
      <c r="A141" s="85" t="s">
        <v>144</v>
      </c>
      <c r="B141" s="69" t="s">
        <v>381</v>
      </c>
      <c r="C141" s="69" t="s">
        <v>386</v>
      </c>
      <c r="D141" s="86" t="n">
        <v>36647</v>
      </c>
      <c r="E141" s="86" t="n">
        <v>36677</v>
      </c>
      <c r="F141" s="85" t="s">
        <v>383</v>
      </c>
      <c r="G141" s="85" t="s">
        <v>387</v>
      </c>
      <c r="H141" s="69" t="s">
        <v>160</v>
      </c>
      <c r="I141" s="88" t="n">
        <v>0.005</v>
      </c>
      <c r="J141" s="68"/>
      <c r="K141" s="68"/>
      <c r="L141" s="68"/>
      <c r="M141" s="68"/>
      <c r="N141" s="154"/>
      <c r="O141" s="68"/>
      <c r="P141" s="161" t="s">
        <v>388</v>
      </c>
      <c r="Q141" s="69" t="n">
        <v>7000</v>
      </c>
      <c r="R141" s="85" t="s">
        <v>389</v>
      </c>
      <c r="S141" s="35" t="n">
        <f aca="false">+I141*Q141*I$1</f>
        <v>1085</v>
      </c>
      <c r="T141" s="35"/>
      <c r="U141" s="37" t="n">
        <v>254539</v>
      </c>
      <c r="V141" s="37"/>
      <c r="W141" s="162"/>
      <c r="X141" s="162"/>
      <c r="Y141" s="162"/>
      <c r="Z141" s="162"/>
      <c r="AA141" s="162"/>
      <c r="AB141" s="162"/>
      <c r="AC141" s="162"/>
      <c r="AD141" s="162"/>
      <c r="AE141" s="162"/>
      <c r="AF141" s="162"/>
      <c r="AG141" s="162"/>
      <c r="AH141" s="162"/>
      <c r="AI141" s="162"/>
      <c r="AJ141" s="162"/>
      <c r="AK141" s="162"/>
      <c r="AL141" s="162"/>
      <c r="AM141" s="162"/>
      <c r="AN141" s="162"/>
      <c r="AO141" s="162"/>
      <c r="AP141" s="162"/>
      <c r="AQ141" s="162"/>
      <c r="AR141" s="162"/>
      <c r="AS141" s="162"/>
      <c r="AT141" s="162"/>
      <c r="AU141" s="162"/>
      <c r="AV141" s="162"/>
      <c r="AW141" s="162"/>
      <c r="AX141" s="162"/>
      <c r="AY141" s="162"/>
      <c r="AZ141" s="162"/>
      <c r="BA141" s="162"/>
      <c r="BB141" s="162"/>
      <c r="BC141" s="162"/>
      <c r="BD141" s="162"/>
      <c r="BE141" s="162"/>
      <c r="BF141" s="162"/>
      <c r="BG141" s="162"/>
      <c r="BH141" s="162"/>
      <c r="BI141" s="162"/>
      <c r="BJ141" s="162"/>
      <c r="BK141" s="162"/>
      <c r="BL141" s="162"/>
      <c r="BM141" s="162"/>
      <c r="BN141" s="162"/>
      <c r="BO141" s="162"/>
      <c r="BP141" s="162"/>
      <c r="BQ141" s="162"/>
      <c r="BR141" s="162"/>
      <c r="BS141" s="162"/>
      <c r="BT141" s="162"/>
      <c r="BU141" s="162"/>
      <c r="BV141" s="162"/>
      <c r="BW141" s="162"/>
      <c r="BX141" s="162"/>
      <c r="BY141" s="162"/>
      <c r="BZ141" s="162"/>
      <c r="CA141" s="162"/>
      <c r="CB141" s="162"/>
      <c r="CC141" s="162"/>
      <c r="CD141" s="162"/>
      <c r="CE141" s="162"/>
      <c r="CF141" s="162"/>
      <c r="CG141" s="162"/>
      <c r="CH141" s="162"/>
      <c r="CI141" s="162"/>
      <c r="CJ141" s="162"/>
      <c r="CK141" s="162"/>
      <c r="CL141" s="162"/>
      <c r="CM141" s="162"/>
      <c r="CN141" s="162"/>
      <c r="CO141" s="162"/>
      <c r="CP141" s="162"/>
      <c r="CQ141" s="162"/>
      <c r="CR141" s="162"/>
      <c r="CS141" s="162"/>
      <c r="CT141" s="162"/>
      <c r="CU141" s="162"/>
      <c r="CV141" s="162"/>
      <c r="CW141" s="162"/>
      <c r="CX141" s="162"/>
      <c r="CY141" s="162"/>
      <c r="CZ141" s="162"/>
      <c r="DA141" s="162"/>
      <c r="DB141" s="162"/>
      <c r="DC141" s="162"/>
      <c r="DD141" s="162"/>
      <c r="DE141" s="162"/>
      <c r="DF141" s="162"/>
      <c r="DG141" s="162"/>
      <c r="DH141" s="162"/>
      <c r="DI141" s="162"/>
      <c r="DJ141" s="162"/>
      <c r="DK141" s="162"/>
      <c r="DL141" s="162"/>
      <c r="DM141" s="162"/>
      <c r="DN141" s="162"/>
      <c r="DO141" s="162"/>
      <c r="DP141" s="162"/>
      <c r="DQ141" s="162"/>
      <c r="DR141" s="162"/>
      <c r="DS141" s="162"/>
      <c r="DT141" s="162"/>
      <c r="DU141" s="162"/>
      <c r="DV141" s="162"/>
      <c r="DW141" s="162"/>
      <c r="DX141" s="162"/>
      <c r="DY141" s="162"/>
      <c r="DZ141" s="162"/>
      <c r="EA141" s="162"/>
      <c r="EB141" s="162"/>
      <c r="EC141" s="162"/>
      <c r="ED141" s="162"/>
      <c r="EE141" s="162"/>
      <c r="EF141" s="162"/>
      <c r="EG141" s="162"/>
      <c r="EH141" s="162"/>
      <c r="EI141" s="162"/>
      <c r="EJ141" s="162"/>
      <c r="EK141" s="162"/>
      <c r="EL141" s="162"/>
      <c r="EM141" s="162"/>
      <c r="EN141" s="162"/>
      <c r="EO141" s="162"/>
      <c r="EP141" s="162"/>
      <c r="EQ141" s="162"/>
      <c r="ER141" s="162"/>
      <c r="ES141" s="162"/>
      <c r="ET141" s="162"/>
      <c r="EU141" s="162"/>
      <c r="EV141" s="162"/>
      <c r="EW141" s="162"/>
      <c r="EX141" s="162"/>
      <c r="EY141" s="162"/>
      <c r="EZ141" s="162"/>
      <c r="FA141" s="162"/>
      <c r="FB141" s="162"/>
      <c r="FC141" s="162"/>
      <c r="FD141" s="162"/>
      <c r="FE141" s="162"/>
      <c r="FF141" s="162"/>
      <c r="FG141" s="162"/>
      <c r="FH141" s="162"/>
      <c r="FI141" s="162"/>
      <c r="FJ141" s="162"/>
      <c r="FK141" s="162"/>
      <c r="FL141" s="162"/>
      <c r="FM141" s="162"/>
      <c r="FN141" s="162"/>
      <c r="FO141" s="162"/>
      <c r="FP141" s="162"/>
      <c r="FQ141" s="162"/>
      <c r="FR141" s="162"/>
      <c r="FS141" s="162"/>
      <c r="FT141" s="162"/>
      <c r="FU141" s="162"/>
      <c r="FV141" s="162"/>
      <c r="FW141" s="162"/>
      <c r="FX141" s="162"/>
      <c r="FY141" s="162"/>
      <c r="FZ141" s="162"/>
      <c r="GA141" s="162"/>
      <c r="GB141" s="162"/>
      <c r="GC141" s="162"/>
      <c r="GD141" s="162"/>
      <c r="GE141" s="162"/>
      <c r="GF141" s="162"/>
      <c r="GG141" s="162"/>
      <c r="GH141" s="162"/>
      <c r="GI141" s="162"/>
      <c r="GJ141" s="162"/>
      <c r="GK141" s="162"/>
      <c r="GL141" s="162"/>
      <c r="GM141" s="162"/>
      <c r="GN141" s="162"/>
      <c r="GO141" s="162"/>
      <c r="GP141" s="162"/>
      <c r="GQ141" s="162"/>
      <c r="GR141" s="162"/>
      <c r="GS141" s="162"/>
      <c r="GT141" s="162"/>
      <c r="GU141" s="162"/>
      <c r="GV141" s="162"/>
      <c r="GW141" s="162"/>
      <c r="GX141" s="162"/>
      <c r="GY141" s="162"/>
      <c r="GZ141" s="162"/>
      <c r="HA141" s="162"/>
      <c r="HB141" s="162"/>
      <c r="HC141" s="162"/>
      <c r="HD141" s="162"/>
      <c r="HE141" s="162"/>
      <c r="HF141" s="162"/>
      <c r="HG141" s="162"/>
      <c r="HH141" s="162"/>
      <c r="HI141" s="162"/>
      <c r="HJ141" s="162"/>
      <c r="HK141" s="162"/>
      <c r="HL141" s="162"/>
      <c r="HM141" s="162"/>
      <c r="HN141" s="162"/>
      <c r="HO141" s="162"/>
      <c r="HP141" s="162"/>
      <c r="HQ141" s="162"/>
      <c r="HR141" s="162"/>
      <c r="HS141" s="162"/>
      <c r="HT141" s="162"/>
      <c r="HU141" s="162"/>
      <c r="HV141" s="162"/>
      <c r="HW141" s="162"/>
      <c r="HX141" s="162"/>
      <c r="HY141" s="162"/>
      <c r="HZ141" s="162"/>
      <c r="IA141" s="162"/>
      <c r="IB141" s="162"/>
      <c r="IC141" s="162"/>
      <c r="ID141" s="162"/>
      <c r="IE141" s="162"/>
      <c r="IF141" s="162"/>
      <c r="IG141" s="162"/>
      <c r="IH141" s="162"/>
      <c r="II141" s="162"/>
      <c r="IJ141" s="162"/>
      <c r="IK141" s="162"/>
      <c r="IL141" s="162"/>
      <c r="IM141" s="162"/>
      <c r="IN141" s="162"/>
      <c r="IO141" s="162"/>
      <c r="IP141" s="162"/>
      <c r="IQ141" s="162"/>
      <c r="IR141" s="162"/>
      <c r="IS141" s="162"/>
      <c r="IT141" s="162"/>
      <c r="IU141" s="162"/>
      <c r="IV141" s="162"/>
      <c r="IW141" s="162"/>
    </row>
    <row r="142" customFormat="false" ht="12.75" hidden="false" customHeight="false" outlineLevel="0" collapsed="false">
      <c r="A142" s="85" t="s">
        <v>144</v>
      </c>
      <c r="B142" s="69" t="s">
        <v>381</v>
      </c>
      <c r="C142" s="69" t="s">
        <v>386</v>
      </c>
      <c r="D142" s="86" t="n">
        <v>36647</v>
      </c>
      <c r="E142" s="86" t="n">
        <v>36769</v>
      </c>
      <c r="F142" s="85" t="s">
        <v>390</v>
      </c>
      <c r="G142" s="85" t="s">
        <v>391</v>
      </c>
      <c r="H142" s="69" t="s">
        <v>160</v>
      </c>
      <c r="I142" s="88" t="n">
        <v>0.005</v>
      </c>
      <c r="J142" s="68"/>
      <c r="K142" s="68"/>
      <c r="L142" s="68"/>
      <c r="M142" s="68"/>
      <c r="N142" s="154"/>
      <c r="O142" s="68"/>
      <c r="P142" s="161" t="s">
        <v>392</v>
      </c>
      <c r="Q142" s="69" t="n">
        <v>2300</v>
      </c>
      <c r="R142" s="85" t="s">
        <v>393</v>
      </c>
      <c r="S142" s="35" t="n">
        <f aca="false">+I142*Q142*I$1</f>
        <v>356.5</v>
      </c>
      <c r="T142" s="35"/>
      <c r="U142" s="37" t="n">
        <v>257412</v>
      </c>
      <c r="V142" s="37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  <c r="AH142" s="162"/>
      <c r="AI142" s="162"/>
      <c r="AJ142" s="162"/>
      <c r="AK142" s="162"/>
      <c r="AL142" s="162"/>
      <c r="AM142" s="162"/>
      <c r="AN142" s="162"/>
      <c r="AO142" s="162"/>
      <c r="AP142" s="162"/>
      <c r="AQ142" s="162"/>
      <c r="AR142" s="162"/>
      <c r="AS142" s="162"/>
      <c r="AT142" s="162"/>
      <c r="AU142" s="162"/>
      <c r="AV142" s="162"/>
      <c r="AW142" s="162"/>
      <c r="AX142" s="162"/>
      <c r="AY142" s="162"/>
      <c r="AZ142" s="162"/>
      <c r="BA142" s="162"/>
      <c r="BB142" s="162"/>
      <c r="BC142" s="162"/>
      <c r="BD142" s="162"/>
      <c r="BE142" s="162"/>
      <c r="BF142" s="162"/>
      <c r="BG142" s="162"/>
      <c r="BH142" s="162"/>
      <c r="BI142" s="162"/>
      <c r="BJ142" s="162"/>
      <c r="BK142" s="162"/>
      <c r="BL142" s="162"/>
      <c r="BM142" s="162"/>
      <c r="BN142" s="162"/>
      <c r="BO142" s="162"/>
      <c r="BP142" s="162"/>
      <c r="BQ142" s="162"/>
      <c r="BR142" s="162"/>
      <c r="BS142" s="162"/>
      <c r="BT142" s="162"/>
      <c r="BU142" s="162"/>
      <c r="BV142" s="162"/>
      <c r="BW142" s="162"/>
      <c r="BX142" s="162"/>
      <c r="BY142" s="162"/>
      <c r="BZ142" s="162"/>
      <c r="CA142" s="162"/>
      <c r="CB142" s="162"/>
      <c r="CC142" s="162"/>
      <c r="CD142" s="162"/>
      <c r="CE142" s="162"/>
      <c r="CF142" s="162"/>
      <c r="CG142" s="162"/>
      <c r="CH142" s="162"/>
      <c r="CI142" s="162"/>
      <c r="CJ142" s="162"/>
      <c r="CK142" s="162"/>
      <c r="CL142" s="162"/>
      <c r="CM142" s="162"/>
      <c r="CN142" s="162"/>
      <c r="CO142" s="162"/>
      <c r="CP142" s="162"/>
      <c r="CQ142" s="162"/>
      <c r="CR142" s="162"/>
      <c r="CS142" s="162"/>
      <c r="CT142" s="162"/>
      <c r="CU142" s="162"/>
      <c r="CV142" s="162"/>
      <c r="CW142" s="162"/>
      <c r="CX142" s="162"/>
      <c r="CY142" s="162"/>
      <c r="CZ142" s="162"/>
      <c r="DA142" s="162"/>
      <c r="DB142" s="162"/>
      <c r="DC142" s="162"/>
      <c r="DD142" s="162"/>
      <c r="DE142" s="162"/>
      <c r="DF142" s="162"/>
      <c r="DG142" s="162"/>
      <c r="DH142" s="162"/>
      <c r="DI142" s="162"/>
      <c r="DJ142" s="162"/>
      <c r="DK142" s="162"/>
      <c r="DL142" s="162"/>
      <c r="DM142" s="162"/>
      <c r="DN142" s="162"/>
      <c r="DO142" s="162"/>
      <c r="DP142" s="162"/>
      <c r="DQ142" s="162"/>
      <c r="DR142" s="162"/>
      <c r="DS142" s="162"/>
      <c r="DT142" s="162"/>
      <c r="DU142" s="162"/>
      <c r="DV142" s="162"/>
      <c r="DW142" s="162"/>
      <c r="DX142" s="162"/>
      <c r="DY142" s="162"/>
      <c r="DZ142" s="162"/>
      <c r="EA142" s="162"/>
      <c r="EB142" s="162"/>
      <c r="EC142" s="162"/>
      <c r="ED142" s="162"/>
      <c r="EE142" s="162"/>
      <c r="EF142" s="162"/>
      <c r="EG142" s="162"/>
      <c r="EH142" s="162"/>
      <c r="EI142" s="162"/>
      <c r="EJ142" s="162"/>
      <c r="EK142" s="162"/>
      <c r="EL142" s="162"/>
      <c r="EM142" s="162"/>
      <c r="EN142" s="162"/>
      <c r="EO142" s="162"/>
      <c r="EP142" s="162"/>
      <c r="EQ142" s="162"/>
      <c r="ER142" s="162"/>
      <c r="ES142" s="162"/>
      <c r="ET142" s="162"/>
      <c r="EU142" s="162"/>
      <c r="EV142" s="162"/>
      <c r="EW142" s="162"/>
      <c r="EX142" s="162"/>
      <c r="EY142" s="162"/>
      <c r="EZ142" s="162"/>
      <c r="FA142" s="162"/>
      <c r="FB142" s="162"/>
      <c r="FC142" s="162"/>
      <c r="FD142" s="162"/>
      <c r="FE142" s="162"/>
      <c r="FF142" s="162"/>
      <c r="FG142" s="162"/>
      <c r="FH142" s="162"/>
      <c r="FI142" s="162"/>
      <c r="FJ142" s="162"/>
      <c r="FK142" s="162"/>
      <c r="FL142" s="162"/>
      <c r="FM142" s="162"/>
      <c r="FN142" s="162"/>
      <c r="FO142" s="162"/>
      <c r="FP142" s="162"/>
      <c r="FQ142" s="162"/>
      <c r="FR142" s="162"/>
      <c r="FS142" s="162"/>
      <c r="FT142" s="162"/>
      <c r="FU142" s="162"/>
      <c r="FV142" s="162"/>
      <c r="FW142" s="162"/>
      <c r="FX142" s="162"/>
      <c r="FY142" s="162"/>
      <c r="FZ142" s="162"/>
      <c r="GA142" s="162"/>
      <c r="GB142" s="162"/>
      <c r="GC142" s="162"/>
      <c r="GD142" s="162"/>
      <c r="GE142" s="162"/>
      <c r="GF142" s="162"/>
      <c r="GG142" s="162"/>
      <c r="GH142" s="162"/>
      <c r="GI142" s="162"/>
      <c r="GJ142" s="162"/>
      <c r="GK142" s="162"/>
      <c r="GL142" s="162"/>
      <c r="GM142" s="162"/>
      <c r="GN142" s="162"/>
      <c r="GO142" s="162"/>
      <c r="GP142" s="162"/>
      <c r="GQ142" s="162"/>
      <c r="GR142" s="162"/>
      <c r="GS142" s="162"/>
      <c r="GT142" s="162"/>
      <c r="GU142" s="162"/>
      <c r="GV142" s="162"/>
      <c r="GW142" s="162"/>
      <c r="GX142" s="162"/>
      <c r="GY142" s="162"/>
      <c r="GZ142" s="162"/>
      <c r="HA142" s="162"/>
      <c r="HB142" s="162"/>
      <c r="HC142" s="162"/>
      <c r="HD142" s="162"/>
      <c r="HE142" s="162"/>
      <c r="HF142" s="162"/>
      <c r="HG142" s="162"/>
      <c r="HH142" s="162"/>
      <c r="HI142" s="162"/>
      <c r="HJ142" s="162"/>
      <c r="HK142" s="162"/>
      <c r="HL142" s="162"/>
      <c r="HM142" s="162"/>
      <c r="HN142" s="162"/>
      <c r="HO142" s="162"/>
      <c r="HP142" s="162"/>
      <c r="HQ142" s="162"/>
      <c r="HR142" s="162"/>
      <c r="HS142" s="162"/>
      <c r="HT142" s="162"/>
      <c r="HU142" s="162"/>
      <c r="HV142" s="162"/>
      <c r="HW142" s="162"/>
      <c r="HX142" s="162"/>
      <c r="HY142" s="162"/>
      <c r="HZ142" s="162"/>
      <c r="IA142" s="162"/>
      <c r="IB142" s="162"/>
      <c r="IC142" s="162"/>
      <c r="ID142" s="162"/>
      <c r="IE142" s="162"/>
      <c r="IF142" s="162"/>
      <c r="IG142" s="162"/>
      <c r="IH142" s="162"/>
      <c r="II142" s="162"/>
      <c r="IJ142" s="162"/>
      <c r="IK142" s="162"/>
      <c r="IL142" s="162"/>
      <c r="IM142" s="162"/>
      <c r="IN142" s="162"/>
      <c r="IO142" s="162"/>
      <c r="IP142" s="162"/>
      <c r="IQ142" s="162"/>
      <c r="IR142" s="162"/>
      <c r="IS142" s="162"/>
      <c r="IT142" s="162"/>
      <c r="IU142" s="162"/>
      <c r="IV142" s="162"/>
      <c r="IW142" s="162"/>
    </row>
    <row r="143" customFormat="false" ht="12.75" hidden="false" customHeight="false" outlineLevel="0" collapsed="false">
      <c r="A143" s="85"/>
      <c r="B143" s="69"/>
      <c r="C143" s="69"/>
      <c r="D143" s="86"/>
      <c r="E143" s="86"/>
      <c r="F143" s="85"/>
      <c r="G143" s="85"/>
      <c r="H143" s="69"/>
      <c r="I143" s="88"/>
      <c r="J143" s="68"/>
      <c r="K143" s="68"/>
      <c r="L143" s="68"/>
      <c r="M143" s="68"/>
      <c r="N143" s="154" t="s">
        <v>1</v>
      </c>
      <c r="O143" s="68"/>
      <c r="P143" s="161"/>
      <c r="Q143" s="69"/>
      <c r="R143" s="85" t="s">
        <v>1</v>
      </c>
      <c r="S143" s="35"/>
      <c r="T143" s="35"/>
      <c r="U143" s="37"/>
      <c r="V143" s="37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162"/>
      <c r="AM143" s="162"/>
      <c r="AN143" s="162"/>
      <c r="AO143" s="162"/>
      <c r="AP143" s="162"/>
      <c r="AQ143" s="162"/>
      <c r="AR143" s="162"/>
      <c r="AS143" s="162"/>
      <c r="AT143" s="162"/>
      <c r="AU143" s="162"/>
      <c r="AV143" s="162"/>
      <c r="AW143" s="162"/>
      <c r="AX143" s="162"/>
      <c r="AY143" s="162"/>
      <c r="AZ143" s="162"/>
      <c r="BA143" s="162"/>
      <c r="BB143" s="162"/>
      <c r="BC143" s="162"/>
      <c r="BD143" s="162"/>
      <c r="BE143" s="162"/>
      <c r="BF143" s="162"/>
      <c r="BG143" s="162"/>
      <c r="BH143" s="162"/>
      <c r="BI143" s="162"/>
      <c r="BJ143" s="162"/>
      <c r="BK143" s="162"/>
      <c r="BL143" s="162"/>
      <c r="BM143" s="162"/>
      <c r="BN143" s="162"/>
      <c r="BO143" s="162"/>
      <c r="BP143" s="162"/>
      <c r="BQ143" s="162"/>
      <c r="BR143" s="162"/>
      <c r="BS143" s="162"/>
      <c r="BT143" s="162"/>
      <c r="BU143" s="162"/>
      <c r="BV143" s="162"/>
      <c r="BW143" s="162"/>
      <c r="BX143" s="162"/>
      <c r="BY143" s="162"/>
      <c r="BZ143" s="162"/>
      <c r="CA143" s="162"/>
      <c r="CB143" s="162"/>
      <c r="CC143" s="162"/>
      <c r="CD143" s="162"/>
      <c r="CE143" s="162"/>
      <c r="CF143" s="162"/>
      <c r="CG143" s="162"/>
      <c r="CH143" s="162"/>
      <c r="CI143" s="162"/>
      <c r="CJ143" s="162"/>
      <c r="CK143" s="162"/>
      <c r="CL143" s="162"/>
      <c r="CM143" s="162"/>
      <c r="CN143" s="162"/>
      <c r="CO143" s="162"/>
      <c r="CP143" s="162"/>
      <c r="CQ143" s="162"/>
      <c r="CR143" s="162"/>
      <c r="CS143" s="162"/>
      <c r="CT143" s="162"/>
      <c r="CU143" s="162"/>
      <c r="CV143" s="162"/>
      <c r="CW143" s="162"/>
      <c r="CX143" s="162"/>
      <c r="CY143" s="162"/>
      <c r="CZ143" s="162"/>
      <c r="DA143" s="162"/>
      <c r="DB143" s="162"/>
      <c r="DC143" s="162"/>
      <c r="DD143" s="162"/>
      <c r="DE143" s="162"/>
      <c r="DF143" s="162"/>
      <c r="DG143" s="162"/>
      <c r="DH143" s="162"/>
      <c r="DI143" s="162"/>
      <c r="DJ143" s="162"/>
      <c r="DK143" s="162"/>
      <c r="DL143" s="162"/>
      <c r="DM143" s="162"/>
      <c r="DN143" s="162"/>
      <c r="DO143" s="162"/>
      <c r="DP143" s="162"/>
      <c r="DQ143" s="162"/>
      <c r="DR143" s="162"/>
      <c r="DS143" s="162"/>
      <c r="DT143" s="162"/>
      <c r="DU143" s="162"/>
      <c r="DV143" s="162"/>
      <c r="DW143" s="162"/>
      <c r="DX143" s="162"/>
      <c r="DY143" s="162"/>
      <c r="DZ143" s="162"/>
      <c r="EA143" s="162"/>
      <c r="EB143" s="162"/>
      <c r="EC143" s="162"/>
      <c r="ED143" s="162"/>
      <c r="EE143" s="162"/>
      <c r="EF143" s="162"/>
      <c r="EG143" s="162"/>
      <c r="EH143" s="162"/>
      <c r="EI143" s="162"/>
      <c r="EJ143" s="162"/>
      <c r="EK143" s="162"/>
      <c r="EL143" s="162"/>
      <c r="EM143" s="162"/>
      <c r="EN143" s="162"/>
      <c r="EO143" s="162"/>
      <c r="EP143" s="162"/>
      <c r="EQ143" s="162"/>
      <c r="ER143" s="162"/>
      <c r="ES143" s="162"/>
      <c r="ET143" s="162"/>
      <c r="EU143" s="162"/>
      <c r="EV143" s="162"/>
      <c r="EW143" s="162"/>
      <c r="EX143" s="162"/>
      <c r="EY143" s="162"/>
      <c r="EZ143" s="162"/>
      <c r="FA143" s="162"/>
      <c r="FB143" s="162"/>
      <c r="FC143" s="162"/>
      <c r="FD143" s="162"/>
      <c r="FE143" s="162"/>
      <c r="FF143" s="162"/>
      <c r="FG143" s="162"/>
      <c r="FH143" s="162"/>
      <c r="FI143" s="162"/>
      <c r="FJ143" s="162"/>
      <c r="FK143" s="162"/>
      <c r="FL143" s="162"/>
      <c r="FM143" s="162"/>
      <c r="FN143" s="162"/>
      <c r="FO143" s="162"/>
      <c r="FP143" s="162"/>
      <c r="FQ143" s="162"/>
      <c r="FR143" s="162"/>
      <c r="FS143" s="162"/>
      <c r="FT143" s="162"/>
      <c r="FU143" s="162"/>
      <c r="FV143" s="162"/>
      <c r="FW143" s="162"/>
      <c r="FX143" s="162"/>
      <c r="FY143" s="162"/>
      <c r="FZ143" s="162"/>
      <c r="GA143" s="162"/>
      <c r="GB143" s="162"/>
      <c r="GC143" s="162"/>
      <c r="GD143" s="162"/>
      <c r="GE143" s="162"/>
      <c r="GF143" s="162"/>
      <c r="GG143" s="162"/>
      <c r="GH143" s="162"/>
      <c r="GI143" s="162"/>
      <c r="GJ143" s="162"/>
      <c r="GK143" s="162"/>
      <c r="GL143" s="162"/>
      <c r="GM143" s="162"/>
      <c r="GN143" s="162"/>
      <c r="GO143" s="162"/>
      <c r="GP143" s="162"/>
      <c r="GQ143" s="162"/>
      <c r="GR143" s="162"/>
      <c r="GS143" s="162"/>
      <c r="GT143" s="162"/>
      <c r="GU143" s="162"/>
      <c r="GV143" s="162"/>
      <c r="GW143" s="162"/>
      <c r="GX143" s="162"/>
      <c r="GY143" s="162"/>
      <c r="GZ143" s="162"/>
      <c r="HA143" s="162"/>
      <c r="HB143" s="162"/>
      <c r="HC143" s="162"/>
      <c r="HD143" s="162"/>
      <c r="HE143" s="162"/>
      <c r="HF143" s="162"/>
      <c r="HG143" s="162"/>
      <c r="HH143" s="162"/>
      <c r="HI143" s="162"/>
      <c r="HJ143" s="162"/>
      <c r="HK143" s="162"/>
      <c r="HL143" s="162"/>
      <c r="HM143" s="162"/>
      <c r="HN143" s="162"/>
      <c r="HO143" s="162"/>
      <c r="HP143" s="162"/>
      <c r="HQ143" s="162"/>
      <c r="HR143" s="162"/>
      <c r="HS143" s="162"/>
      <c r="HT143" s="162"/>
      <c r="HU143" s="162"/>
      <c r="HV143" s="162"/>
      <c r="HW143" s="162"/>
      <c r="HX143" s="162"/>
      <c r="HY143" s="162"/>
      <c r="HZ143" s="162"/>
      <c r="IA143" s="162"/>
      <c r="IB143" s="162"/>
      <c r="IC143" s="162"/>
      <c r="ID143" s="162"/>
      <c r="IE143" s="162"/>
      <c r="IF143" s="162"/>
      <c r="IG143" s="162"/>
      <c r="IH143" s="162"/>
      <c r="II143" s="162"/>
      <c r="IJ143" s="162"/>
      <c r="IK143" s="162"/>
      <c r="IL143" s="162"/>
      <c r="IM143" s="162"/>
      <c r="IN143" s="162"/>
      <c r="IO143" s="162"/>
      <c r="IP143" s="162"/>
      <c r="IQ143" s="162"/>
      <c r="IR143" s="162"/>
      <c r="IS143" s="162"/>
      <c r="IT143" s="162"/>
      <c r="IU143" s="162"/>
      <c r="IV143" s="162"/>
      <c r="IW143" s="162"/>
    </row>
    <row r="144" customFormat="false" ht="12.75" hidden="false" customHeight="false" outlineLevel="0" collapsed="false">
      <c r="A144" s="85"/>
      <c r="B144" s="69"/>
      <c r="C144" s="69"/>
      <c r="D144" s="86"/>
      <c r="E144" s="86"/>
      <c r="F144" s="85"/>
      <c r="G144" s="85"/>
      <c r="H144" s="69"/>
      <c r="I144" s="88"/>
      <c r="J144" s="68"/>
      <c r="K144" s="68"/>
      <c r="L144" s="68"/>
      <c r="M144" s="68"/>
      <c r="N144" s="89"/>
      <c r="O144" s="68"/>
      <c r="P144" s="161"/>
      <c r="Q144" s="69" t="n">
        <f aca="false">SUM(Q140:Q143)</f>
        <v>14500</v>
      </c>
      <c r="R144" s="85" t="s">
        <v>164</v>
      </c>
      <c r="S144" s="35" t="n">
        <f aca="false">SUM(S140:S143)</f>
        <v>1441.5</v>
      </c>
      <c r="T144" s="35"/>
      <c r="U144" s="36"/>
      <c r="V144" s="37"/>
      <c r="W144" s="37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2"/>
      <c r="AO144" s="162"/>
      <c r="AP144" s="162"/>
      <c r="AQ144" s="162"/>
      <c r="AR144" s="162"/>
      <c r="AS144" s="162"/>
      <c r="AT144" s="162"/>
      <c r="AU144" s="162"/>
      <c r="AV144" s="162"/>
      <c r="AW144" s="162"/>
      <c r="AX144" s="162"/>
      <c r="AY144" s="162"/>
      <c r="AZ144" s="162"/>
      <c r="BA144" s="162"/>
      <c r="BB144" s="162"/>
      <c r="BC144" s="162"/>
      <c r="BD144" s="162"/>
      <c r="BE144" s="162"/>
      <c r="BF144" s="162"/>
      <c r="BG144" s="162"/>
      <c r="BH144" s="162"/>
      <c r="BI144" s="162"/>
      <c r="BJ144" s="162"/>
      <c r="BK144" s="162"/>
      <c r="BL144" s="162"/>
      <c r="BM144" s="162"/>
      <c r="BN144" s="162"/>
      <c r="BO144" s="162"/>
      <c r="BP144" s="162"/>
      <c r="BQ144" s="162"/>
      <c r="BR144" s="162"/>
      <c r="BS144" s="162"/>
      <c r="BT144" s="162"/>
      <c r="BU144" s="162"/>
      <c r="BV144" s="162"/>
      <c r="BW144" s="162"/>
      <c r="BX144" s="162"/>
      <c r="BY144" s="162"/>
      <c r="BZ144" s="162"/>
      <c r="CA144" s="162"/>
      <c r="CB144" s="162"/>
      <c r="CC144" s="162"/>
      <c r="CD144" s="162"/>
      <c r="CE144" s="162"/>
      <c r="CF144" s="162"/>
      <c r="CG144" s="162"/>
      <c r="CH144" s="162"/>
      <c r="CI144" s="162"/>
      <c r="CJ144" s="162"/>
      <c r="CK144" s="162"/>
      <c r="CL144" s="162"/>
      <c r="CM144" s="162"/>
      <c r="CN144" s="162"/>
      <c r="CO144" s="162"/>
      <c r="CP144" s="162"/>
      <c r="CQ144" s="162"/>
      <c r="CR144" s="162"/>
      <c r="CS144" s="162"/>
      <c r="CT144" s="162"/>
      <c r="CU144" s="162"/>
      <c r="CV144" s="162"/>
      <c r="CW144" s="162"/>
      <c r="CX144" s="162"/>
      <c r="CY144" s="162"/>
      <c r="CZ144" s="162"/>
      <c r="DA144" s="162"/>
      <c r="DB144" s="162"/>
      <c r="DC144" s="162"/>
      <c r="DD144" s="162"/>
      <c r="DE144" s="162"/>
      <c r="DF144" s="162"/>
      <c r="DG144" s="162"/>
      <c r="DH144" s="162"/>
      <c r="DI144" s="162"/>
      <c r="DJ144" s="162"/>
      <c r="DK144" s="162"/>
      <c r="DL144" s="162"/>
      <c r="DM144" s="162"/>
      <c r="DN144" s="162"/>
      <c r="DO144" s="162"/>
      <c r="DP144" s="162"/>
      <c r="DQ144" s="162"/>
      <c r="DR144" s="162"/>
      <c r="DS144" s="162"/>
      <c r="DT144" s="162"/>
      <c r="DU144" s="162"/>
      <c r="DV144" s="162"/>
      <c r="DW144" s="162"/>
      <c r="DX144" s="162"/>
      <c r="DY144" s="162"/>
      <c r="DZ144" s="162"/>
      <c r="EA144" s="162"/>
      <c r="EB144" s="162"/>
      <c r="EC144" s="162"/>
      <c r="ED144" s="162"/>
      <c r="EE144" s="162"/>
      <c r="EF144" s="162"/>
      <c r="EG144" s="162"/>
      <c r="EH144" s="162"/>
      <c r="EI144" s="162"/>
      <c r="EJ144" s="162"/>
      <c r="EK144" s="162"/>
      <c r="EL144" s="162"/>
      <c r="EM144" s="162"/>
      <c r="EN144" s="162"/>
      <c r="EO144" s="162"/>
      <c r="EP144" s="162"/>
      <c r="EQ144" s="162"/>
      <c r="ER144" s="162"/>
      <c r="ES144" s="162"/>
      <c r="ET144" s="162"/>
      <c r="EU144" s="162"/>
      <c r="EV144" s="162"/>
      <c r="EW144" s="162"/>
      <c r="EX144" s="162"/>
      <c r="EY144" s="162"/>
      <c r="EZ144" s="162"/>
      <c r="FA144" s="162"/>
      <c r="FB144" s="162"/>
      <c r="FC144" s="162"/>
      <c r="FD144" s="162"/>
      <c r="FE144" s="162"/>
      <c r="FF144" s="162"/>
      <c r="FG144" s="162"/>
      <c r="FH144" s="162"/>
      <c r="FI144" s="162"/>
      <c r="FJ144" s="162"/>
      <c r="FK144" s="162"/>
      <c r="FL144" s="162"/>
      <c r="FM144" s="162"/>
      <c r="FN144" s="162"/>
      <c r="FO144" s="162"/>
      <c r="FP144" s="162"/>
      <c r="FQ144" s="162"/>
      <c r="FR144" s="162"/>
      <c r="FS144" s="162"/>
      <c r="FT144" s="162"/>
      <c r="FU144" s="162"/>
      <c r="FV144" s="162"/>
      <c r="FW144" s="162"/>
      <c r="FX144" s="162"/>
      <c r="FY144" s="162"/>
      <c r="FZ144" s="162"/>
      <c r="GA144" s="162"/>
      <c r="GB144" s="162"/>
      <c r="GC144" s="162"/>
      <c r="GD144" s="162"/>
      <c r="GE144" s="162"/>
      <c r="GF144" s="162"/>
      <c r="GG144" s="162"/>
      <c r="GH144" s="162"/>
      <c r="GI144" s="162"/>
      <c r="GJ144" s="162"/>
      <c r="GK144" s="162"/>
      <c r="GL144" s="162"/>
      <c r="GM144" s="162"/>
      <c r="GN144" s="162"/>
      <c r="GO144" s="162"/>
      <c r="GP144" s="162"/>
      <c r="GQ144" s="162"/>
      <c r="GR144" s="162"/>
      <c r="GS144" s="162"/>
      <c r="GT144" s="162"/>
      <c r="GU144" s="162"/>
      <c r="GV144" s="162"/>
      <c r="GW144" s="162"/>
      <c r="GX144" s="162"/>
      <c r="GY144" s="162"/>
      <c r="GZ144" s="162"/>
      <c r="HA144" s="162"/>
      <c r="HB144" s="162"/>
      <c r="HC144" s="162"/>
      <c r="HD144" s="162"/>
      <c r="HE144" s="162"/>
      <c r="HF144" s="162"/>
      <c r="HG144" s="162"/>
      <c r="HH144" s="162"/>
      <c r="HI144" s="162"/>
      <c r="HJ144" s="162"/>
      <c r="HK144" s="162"/>
      <c r="HL144" s="162"/>
      <c r="HM144" s="162"/>
      <c r="HN144" s="162"/>
      <c r="HO144" s="162"/>
      <c r="HP144" s="162"/>
      <c r="HQ144" s="162"/>
      <c r="HR144" s="162"/>
      <c r="HS144" s="162"/>
      <c r="HT144" s="162"/>
      <c r="HU144" s="162"/>
      <c r="HV144" s="162"/>
      <c r="HW144" s="162"/>
      <c r="HX144" s="162"/>
      <c r="HY144" s="162"/>
      <c r="HZ144" s="162"/>
      <c r="IA144" s="162"/>
      <c r="IB144" s="162"/>
      <c r="IC144" s="162"/>
      <c r="ID144" s="162"/>
      <c r="IE144" s="162"/>
      <c r="IF144" s="162"/>
      <c r="IG144" s="162"/>
      <c r="IH144" s="162"/>
      <c r="II144" s="162"/>
      <c r="IJ144" s="162"/>
      <c r="IK144" s="162"/>
      <c r="IL144" s="162"/>
      <c r="IM144" s="162"/>
      <c r="IN144" s="162"/>
      <c r="IO144" s="162"/>
      <c r="IP144" s="162"/>
      <c r="IQ144" s="162"/>
      <c r="IR144" s="162"/>
      <c r="IS144" s="162"/>
      <c r="IT144" s="162"/>
      <c r="IU144" s="162"/>
      <c r="IV144" s="162"/>
      <c r="IW144" s="162"/>
    </row>
    <row r="145" customFormat="false" ht="12.75" hidden="false" customHeight="false" outlineLevel="0" collapsed="false">
      <c r="A145" s="15"/>
      <c r="B145" s="16"/>
      <c r="C145" s="16"/>
      <c r="D145" s="17"/>
      <c r="E145" s="17"/>
      <c r="F145" s="15"/>
      <c r="G145" s="15"/>
      <c r="H145" s="16"/>
      <c r="I145" s="19"/>
      <c r="J145" s="20"/>
      <c r="K145" s="20"/>
      <c r="L145" s="20"/>
      <c r="M145" s="20"/>
      <c r="N145" s="25"/>
      <c r="O145" s="20"/>
      <c r="P145" s="22"/>
      <c r="Q145" s="71"/>
      <c r="R145" s="85" t="s">
        <v>165</v>
      </c>
      <c r="S145" s="35" t="n">
        <v>0</v>
      </c>
      <c r="T145" s="23"/>
      <c r="U145" s="26"/>
      <c r="V145" s="24"/>
      <c r="W145" s="24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3.5" hidden="false" customHeight="false" outlineLevel="0" collapsed="false">
      <c r="A146" s="15"/>
      <c r="B146" s="16"/>
      <c r="C146" s="16"/>
      <c r="D146" s="17"/>
      <c r="E146" s="17"/>
      <c r="F146" s="15"/>
      <c r="G146" s="15"/>
      <c r="H146" s="16"/>
      <c r="I146" s="19"/>
      <c r="J146" s="20"/>
      <c r="K146" s="20"/>
      <c r="L146" s="20"/>
      <c r="M146" s="20"/>
      <c r="N146" s="25"/>
      <c r="O146" s="20"/>
      <c r="P146" s="22"/>
      <c r="Q146" s="71"/>
      <c r="R146" s="85" t="s">
        <v>166</v>
      </c>
      <c r="S146" s="223" t="n">
        <f aca="false">+S144-S145</f>
        <v>1441.5</v>
      </c>
      <c r="T146" s="23"/>
      <c r="U146" s="26"/>
      <c r="V146" s="24"/>
      <c r="W146" s="24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3.5" hidden="false" customHeight="false" outlineLevel="0" collapsed="false">
      <c r="A147" s="15"/>
      <c r="B147" s="16"/>
      <c r="C147" s="16"/>
      <c r="D147" s="17"/>
      <c r="E147" s="17"/>
      <c r="F147" s="15"/>
      <c r="G147" s="15"/>
      <c r="H147" s="16"/>
      <c r="I147" s="19"/>
      <c r="J147" s="20"/>
      <c r="K147" s="20"/>
      <c r="L147" s="20"/>
      <c r="M147" s="20"/>
      <c r="N147" s="25"/>
      <c r="O147" s="20"/>
      <c r="P147" s="22"/>
      <c r="Q147" s="16"/>
      <c r="R147" s="15"/>
      <c r="S147" s="23"/>
      <c r="T147" s="23"/>
      <c r="U147" s="26"/>
      <c r="V147" s="24"/>
      <c r="W147" s="24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141" t="s">
        <v>108</v>
      </c>
      <c r="B148" s="142" t="s">
        <v>109</v>
      </c>
      <c r="C148" s="142" t="s">
        <v>110</v>
      </c>
      <c r="D148" s="143" t="s">
        <v>111</v>
      </c>
      <c r="E148" s="143"/>
      <c r="F148" s="141" t="s">
        <v>112</v>
      </c>
      <c r="G148" s="141" t="s">
        <v>113</v>
      </c>
      <c r="H148" s="142" t="s">
        <v>114</v>
      </c>
      <c r="I148" s="144" t="s">
        <v>115</v>
      </c>
      <c r="J148" s="142" t="s">
        <v>116</v>
      </c>
      <c r="K148" s="142" t="s">
        <v>117</v>
      </c>
      <c r="L148" s="142" t="s">
        <v>118</v>
      </c>
      <c r="M148" s="142" t="s">
        <v>119</v>
      </c>
      <c r="N148" s="142" t="s">
        <v>268</v>
      </c>
      <c r="O148" s="142" t="s">
        <v>121</v>
      </c>
      <c r="P148" s="146" t="s">
        <v>122</v>
      </c>
      <c r="Q148" s="142" t="s">
        <v>123</v>
      </c>
      <c r="R148" s="141" t="s">
        <v>124</v>
      </c>
      <c r="S148" s="163" t="s">
        <v>236</v>
      </c>
      <c r="T148" s="99" t="s">
        <v>237</v>
      </c>
      <c r="U148" s="102"/>
      <c r="V148" s="102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148"/>
      <c r="DM148" s="148"/>
      <c r="DN148" s="148"/>
      <c r="DO148" s="148"/>
      <c r="DP148" s="148"/>
      <c r="DQ148" s="148"/>
      <c r="DR148" s="148"/>
      <c r="DS148" s="148"/>
      <c r="DT148" s="148"/>
      <c r="DU148" s="148"/>
      <c r="DV148" s="148"/>
      <c r="DW148" s="148"/>
      <c r="DX148" s="148"/>
      <c r="DY148" s="148"/>
      <c r="DZ148" s="148"/>
      <c r="EA148" s="148"/>
      <c r="EB148" s="148"/>
      <c r="EC148" s="148"/>
      <c r="ED148" s="148"/>
      <c r="EE148" s="148"/>
      <c r="EF148" s="148"/>
      <c r="EG148" s="148"/>
      <c r="EH148" s="148"/>
      <c r="EI148" s="148"/>
      <c r="EJ148" s="148"/>
      <c r="EK148" s="148"/>
      <c r="EL148" s="148"/>
      <c r="EM148" s="148"/>
      <c r="EN148" s="148"/>
      <c r="EO148" s="148"/>
      <c r="EP148" s="148"/>
      <c r="EQ148" s="148"/>
      <c r="ER148" s="148"/>
      <c r="ES148" s="148"/>
      <c r="ET148" s="148"/>
      <c r="EU148" s="148"/>
      <c r="EV148" s="148"/>
      <c r="EW148" s="148"/>
      <c r="EX148" s="148"/>
      <c r="EY148" s="148"/>
      <c r="EZ148" s="148"/>
      <c r="FA148" s="148"/>
      <c r="FB148" s="148"/>
      <c r="FC148" s="148"/>
      <c r="FD148" s="148"/>
      <c r="FE148" s="148"/>
      <c r="FF148" s="148"/>
      <c r="FG148" s="148"/>
      <c r="FH148" s="148"/>
      <c r="FI148" s="148"/>
      <c r="FJ148" s="148"/>
      <c r="FK148" s="148"/>
      <c r="FL148" s="148"/>
      <c r="FM148" s="148"/>
      <c r="FN148" s="148"/>
      <c r="FO148" s="148"/>
      <c r="FP148" s="148"/>
      <c r="FQ148" s="148"/>
      <c r="FR148" s="148"/>
      <c r="FS148" s="148"/>
      <c r="FT148" s="148"/>
      <c r="FU148" s="148"/>
      <c r="FV148" s="148"/>
      <c r="FW148" s="148"/>
      <c r="FX148" s="148"/>
      <c r="FY148" s="148"/>
      <c r="FZ148" s="148"/>
      <c r="GA148" s="148"/>
      <c r="GB148" s="148"/>
      <c r="GC148" s="148"/>
      <c r="GD148" s="148"/>
      <c r="GE148" s="148"/>
      <c r="GF148" s="148"/>
      <c r="GG148" s="148"/>
      <c r="GH148" s="148"/>
      <c r="GI148" s="148"/>
      <c r="GJ148" s="148"/>
      <c r="GK148" s="148"/>
      <c r="GL148" s="148"/>
      <c r="GM148" s="148"/>
      <c r="GN148" s="148"/>
      <c r="GO148" s="148"/>
      <c r="GP148" s="148"/>
      <c r="GQ148" s="148"/>
      <c r="GR148" s="148"/>
      <c r="GS148" s="148"/>
      <c r="GT148" s="148"/>
      <c r="GU148" s="148"/>
      <c r="GV148" s="148"/>
      <c r="GW148" s="148"/>
      <c r="GX148" s="148"/>
      <c r="GY148" s="148"/>
      <c r="GZ148" s="148"/>
      <c r="HA148" s="148"/>
      <c r="HB148" s="148"/>
      <c r="HC148" s="148"/>
      <c r="HD148" s="148"/>
      <c r="HE148" s="148"/>
      <c r="HF148" s="148"/>
      <c r="HG148" s="148"/>
      <c r="HH148" s="148"/>
      <c r="HI148" s="148"/>
      <c r="HJ148" s="148"/>
      <c r="HK148" s="148"/>
      <c r="HL148" s="148"/>
      <c r="HM148" s="148"/>
      <c r="HN148" s="148"/>
      <c r="HO148" s="148"/>
      <c r="HP148" s="148"/>
      <c r="HQ148" s="148"/>
      <c r="HR148" s="148"/>
      <c r="HS148" s="148"/>
      <c r="HT148" s="148"/>
      <c r="HU148" s="148"/>
      <c r="HV148" s="148"/>
      <c r="HW148" s="148"/>
      <c r="HX148" s="148"/>
      <c r="HY148" s="148"/>
      <c r="HZ148" s="148"/>
      <c r="IA148" s="148"/>
      <c r="IB148" s="148"/>
      <c r="IC148" s="148"/>
      <c r="ID148" s="148"/>
      <c r="IE148" s="148"/>
      <c r="IF148" s="148"/>
      <c r="IG148" s="148"/>
      <c r="IH148" s="148"/>
      <c r="II148" s="148"/>
      <c r="IJ148" s="148"/>
      <c r="IK148" s="148"/>
      <c r="IL148" s="148"/>
      <c r="IM148" s="148"/>
      <c r="IN148" s="148"/>
      <c r="IO148" s="148"/>
      <c r="IP148" s="148"/>
      <c r="IQ148" s="148"/>
      <c r="IR148" s="148"/>
      <c r="IS148" s="148"/>
      <c r="IT148" s="148"/>
      <c r="IU148" s="148"/>
      <c r="IV148" s="148"/>
      <c r="IW148" s="148"/>
    </row>
    <row r="149" customFormat="false" ht="12.75" hidden="false" customHeight="false" outlineLevel="0" collapsed="false">
      <c r="A149" s="38" t="s">
        <v>144</v>
      </c>
      <c r="B149" s="225" t="s">
        <v>269</v>
      </c>
      <c r="C149" s="104" t="s">
        <v>269</v>
      </c>
      <c r="D149" s="105" t="n">
        <v>36739</v>
      </c>
      <c r="E149" s="105" t="n">
        <v>36769</v>
      </c>
      <c r="F149" s="38" t="s">
        <v>394</v>
      </c>
      <c r="G149" s="38" t="s">
        <v>266</v>
      </c>
      <c r="H149" s="225" t="s">
        <v>170</v>
      </c>
      <c r="I149" s="106" t="n">
        <f aca="false">1.24/$I$1</f>
        <v>0.04</v>
      </c>
      <c r="J149" s="107" t="n">
        <v>0</v>
      </c>
      <c r="K149" s="107" t="n">
        <v>0</v>
      </c>
      <c r="L149" s="107" t="n">
        <v>0</v>
      </c>
      <c r="M149" s="107" t="n">
        <v>0</v>
      </c>
      <c r="N149" s="107" t="n">
        <v>0</v>
      </c>
      <c r="O149" s="107" t="n">
        <v>0</v>
      </c>
      <c r="P149" s="226" t="n">
        <v>3.6367</v>
      </c>
      <c r="Q149" s="104" t="n">
        <v>20000</v>
      </c>
      <c r="R149" s="38" t="s">
        <v>395</v>
      </c>
      <c r="S149" s="110" t="n">
        <f aca="false">I149*$I$1*Q149</f>
        <v>24800</v>
      </c>
      <c r="T149" s="110" t="n">
        <v>0</v>
      </c>
      <c r="U149" s="112" t="s">
        <v>396</v>
      </c>
      <c r="V149" s="112"/>
      <c r="W149" s="227"/>
      <c r="X149" s="227"/>
      <c r="Y149" s="227"/>
      <c r="Z149" s="227"/>
      <c r="AA149" s="227"/>
      <c r="AB149" s="227"/>
      <c r="AC149" s="227"/>
      <c r="AD149" s="227"/>
      <c r="AE149" s="227"/>
      <c r="AF149" s="227"/>
      <c r="AG149" s="227"/>
      <c r="AH149" s="227"/>
      <c r="AI149" s="227"/>
      <c r="AJ149" s="227"/>
      <c r="AK149" s="227"/>
      <c r="AL149" s="227"/>
      <c r="AM149" s="227"/>
      <c r="AN149" s="227"/>
      <c r="AO149" s="227"/>
      <c r="AP149" s="227"/>
      <c r="AQ149" s="227"/>
      <c r="AR149" s="227"/>
      <c r="AS149" s="227"/>
      <c r="AT149" s="227"/>
      <c r="AU149" s="227"/>
      <c r="AV149" s="227"/>
      <c r="AW149" s="227"/>
      <c r="AX149" s="227"/>
      <c r="AY149" s="227"/>
      <c r="AZ149" s="227"/>
      <c r="BA149" s="227"/>
      <c r="BB149" s="227"/>
      <c r="BC149" s="227"/>
      <c r="BD149" s="227"/>
      <c r="BE149" s="227"/>
      <c r="BF149" s="227"/>
      <c r="BG149" s="227"/>
      <c r="BH149" s="227"/>
      <c r="BI149" s="227"/>
      <c r="BJ149" s="227"/>
      <c r="BK149" s="227"/>
      <c r="BL149" s="227"/>
      <c r="BM149" s="227"/>
      <c r="BN149" s="227"/>
      <c r="BO149" s="227"/>
      <c r="BP149" s="227"/>
      <c r="BQ149" s="227"/>
      <c r="BR149" s="227"/>
      <c r="BS149" s="227"/>
      <c r="BT149" s="227"/>
      <c r="BU149" s="227"/>
      <c r="BV149" s="227"/>
      <c r="BW149" s="227"/>
      <c r="BX149" s="227"/>
      <c r="BY149" s="227"/>
      <c r="BZ149" s="227"/>
      <c r="CA149" s="227"/>
      <c r="CB149" s="227"/>
      <c r="CC149" s="227"/>
      <c r="CD149" s="227"/>
      <c r="CE149" s="227"/>
      <c r="CF149" s="227"/>
      <c r="CG149" s="227"/>
      <c r="CH149" s="227"/>
      <c r="CI149" s="227"/>
      <c r="CJ149" s="227"/>
      <c r="CK149" s="227"/>
      <c r="CL149" s="227"/>
      <c r="CM149" s="227"/>
      <c r="CN149" s="227"/>
      <c r="CO149" s="227"/>
      <c r="CP149" s="227"/>
      <c r="CQ149" s="227"/>
      <c r="CR149" s="227"/>
      <c r="CS149" s="227"/>
      <c r="CT149" s="227"/>
      <c r="CU149" s="227"/>
      <c r="CV149" s="227"/>
      <c r="CW149" s="227"/>
      <c r="CX149" s="227"/>
      <c r="CY149" s="227"/>
      <c r="CZ149" s="227"/>
      <c r="DA149" s="227"/>
      <c r="DB149" s="227"/>
      <c r="DC149" s="227"/>
      <c r="DD149" s="227"/>
      <c r="DE149" s="227"/>
      <c r="DF149" s="227"/>
      <c r="DG149" s="227"/>
      <c r="DH149" s="227"/>
      <c r="DI149" s="227"/>
      <c r="DJ149" s="227"/>
      <c r="DK149" s="227"/>
      <c r="DL149" s="227"/>
      <c r="DM149" s="227"/>
      <c r="DN149" s="227"/>
      <c r="DO149" s="227"/>
      <c r="DP149" s="227"/>
      <c r="DQ149" s="227"/>
      <c r="DR149" s="227"/>
      <c r="DS149" s="227"/>
      <c r="DT149" s="227"/>
      <c r="DU149" s="227"/>
      <c r="DV149" s="227"/>
      <c r="DW149" s="227"/>
      <c r="DX149" s="227"/>
      <c r="DY149" s="227"/>
      <c r="DZ149" s="227"/>
      <c r="EA149" s="227"/>
      <c r="EB149" s="227"/>
      <c r="EC149" s="227"/>
      <c r="ED149" s="227"/>
      <c r="EE149" s="227"/>
      <c r="EF149" s="227"/>
      <c r="EG149" s="227"/>
      <c r="EH149" s="227"/>
      <c r="EI149" s="227"/>
      <c r="EJ149" s="227"/>
      <c r="EK149" s="227"/>
      <c r="EL149" s="227"/>
      <c r="EM149" s="227"/>
      <c r="EN149" s="227"/>
      <c r="EO149" s="227"/>
      <c r="EP149" s="227"/>
      <c r="EQ149" s="227"/>
      <c r="ER149" s="227"/>
      <c r="ES149" s="227"/>
      <c r="ET149" s="227"/>
      <c r="EU149" s="227"/>
      <c r="EV149" s="227"/>
      <c r="EW149" s="227"/>
      <c r="EX149" s="227"/>
      <c r="EY149" s="227"/>
      <c r="EZ149" s="227"/>
      <c r="FA149" s="227"/>
      <c r="FB149" s="227"/>
      <c r="FC149" s="227"/>
      <c r="FD149" s="227"/>
      <c r="FE149" s="227"/>
      <c r="FF149" s="227"/>
      <c r="FG149" s="227"/>
      <c r="FH149" s="227"/>
      <c r="FI149" s="227"/>
      <c r="FJ149" s="227"/>
      <c r="FK149" s="227"/>
      <c r="FL149" s="227"/>
      <c r="FM149" s="227"/>
      <c r="FN149" s="227"/>
      <c r="FO149" s="227"/>
      <c r="FP149" s="227"/>
      <c r="FQ149" s="227"/>
      <c r="FR149" s="227"/>
      <c r="FS149" s="227"/>
      <c r="FT149" s="227"/>
      <c r="FU149" s="227"/>
      <c r="FV149" s="227"/>
      <c r="FW149" s="227"/>
      <c r="FX149" s="227"/>
      <c r="FY149" s="227"/>
      <c r="FZ149" s="227"/>
      <c r="GA149" s="227"/>
      <c r="GB149" s="227"/>
      <c r="GC149" s="227"/>
      <c r="GD149" s="227"/>
      <c r="GE149" s="227"/>
      <c r="GF149" s="227"/>
      <c r="GG149" s="227"/>
      <c r="GH149" s="227"/>
      <c r="GI149" s="227"/>
      <c r="GJ149" s="227"/>
      <c r="GK149" s="227"/>
      <c r="GL149" s="227"/>
      <c r="GM149" s="227"/>
      <c r="GN149" s="227"/>
      <c r="GO149" s="227"/>
      <c r="GP149" s="227"/>
      <c r="GQ149" s="227"/>
      <c r="GR149" s="227"/>
      <c r="GS149" s="227"/>
      <c r="GT149" s="227"/>
      <c r="GU149" s="227"/>
      <c r="GV149" s="227"/>
      <c r="GW149" s="227"/>
      <c r="GX149" s="227"/>
      <c r="GY149" s="227"/>
      <c r="GZ149" s="227"/>
      <c r="HA149" s="227"/>
      <c r="HB149" s="227"/>
      <c r="HC149" s="227"/>
      <c r="HD149" s="227"/>
      <c r="HE149" s="227"/>
      <c r="HF149" s="227"/>
      <c r="HG149" s="227"/>
      <c r="HH149" s="227"/>
      <c r="HI149" s="227"/>
      <c r="HJ149" s="227"/>
      <c r="HK149" s="227"/>
      <c r="HL149" s="227"/>
      <c r="HM149" s="227"/>
      <c r="HN149" s="227"/>
      <c r="HO149" s="227"/>
      <c r="HP149" s="227"/>
      <c r="HQ149" s="227"/>
      <c r="HR149" s="227"/>
      <c r="HS149" s="227"/>
      <c r="HT149" s="227"/>
      <c r="HU149" s="227"/>
      <c r="HV149" s="227"/>
      <c r="HW149" s="227"/>
      <c r="HX149" s="227"/>
      <c r="HY149" s="227"/>
      <c r="HZ149" s="227"/>
      <c r="IA149" s="227"/>
      <c r="IB149" s="227"/>
      <c r="IC149" s="227"/>
      <c r="ID149" s="227"/>
      <c r="IE149" s="227"/>
      <c r="IF149" s="227"/>
      <c r="IG149" s="227"/>
      <c r="IH149" s="227"/>
      <c r="II149" s="227"/>
      <c r="IJ149" s="227"/>
      <c r="IK149" s="227"/>
      <c r="IL149" s="227"/>
      <c r="IM149" s="227"/>
      <c r="IN149" s="227"/>
      <c r="IO149" s="227"/>
      <c r="IP149" s="227"/>
      <c r="IQ149" s="227"/>
      <c r="IR149" s="227"/>
      <c r="IS149" s="227"/>
      <c r="IT149" s="227"/>
      <c r="IU149" s="227"/>
      <c r="IV149" s="227"/>
      <c r="IW149" s="227"/>
    </row>
    <row r="150" customFormat="false" ht="12.75" hidden="false" customHeight="false" outlineLevel="0" collapsed="false">
      <c r="A150" s="42" t="s">
        <v>144</v>
      </c>
      <c r="B150" s="228" t="s">
        <v>269</v>
      </c>
      <c r="C150" s="43" t="s">
        <v>397</v>
      </c>
      <c r="D150" s="76" t="n">
        <v>36770</v>
      </c>
      <c r="E150" s="76" t="n">
        <v>36830</v>
      </c>
      <c r="F150" s="42" t="s">
        <v>398</v>
      </c>
      <c r="G150" s="42" t="s">
        <v>399</v>
      </c>
      <c r="H150" s="228" t="s">
        <v>160</v>
      </c>
      <c r="I150" s="77" t="n">
        <f aca="false">4.2583/I$1</f>
        <v>0.137364516129032</v>
      </c>
      <c r="J150" s="78"/>
      <c r="K150" s="78"/>
      <c r="L150" s="78"/>
      <c r="M150" s="78"/>
      <c r="N150" s="78"/>
      <c r="O150" s="78"/>
      <c r="P150" s="229"/>
      <c r="Q150" s="43" t="n">
        <v>5000</v>
      </c>
      <c r="R150" s="42" t="s">
        <v>400</v>
      </c>
      <c r="S150" s="81" t="s">
        <v>401</v>
      </c>
      <c r="T150" s="81"/>
      <c r="U150" s="83"/>
      <c r="V150" s="83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0"/>
      <c r="AT150" s="230"/>
      <c r="AU150" s="230"/>
      <c r="AV150" s="230"/>
      <c r="AW150" s="230"/>
      <c r="AX150" s="230"/>
      <c r="AY150" s="230"/>
      <c r="AZ150" s="230"/>
      <c r="BA150" s="230"/>
      <c r="BB150" s="230"/>
      <c r="BC150" s="230"/>
      <c r="BD150" s="230"/>
      <c r="BE150" s="230"/>
      <c r="BF150" s="230"/>
      <c r="BG150" s="230"/>
      <c r="BH150" s="230"/>
      <c r="BI150" s="230"/>
      <c r="BJ150" s="230"/>
      <c r="BK150" s="230"/>
      <c r="BL150" s="230"/>
      <c r="BM150" s="230"/>
      <c r="BN150" s="230"/>
      <c r="BO150" s="230"/>
      <c r="BP150" s="230"/>
      <c r="BQ150" s="230"/>
      <c r="BR150" s="230"/>
      <c r="BS150" s="230"/>
      <c r="BT150" s="230"/>
      <c r="BU150" s="230"/>
      <c r="BV150" s="230"/>
      <c r="BW150" s="230"/>
      <c r="BX150" s="230"/>
      <c r="BY150" s="230"/>
      <c r="BZ150" s="230"/>
      <c r="CA150" s="230"/>
      <c r="CB150" s="230"/>
      <c r="CC150" s="230"/>
      <c r="CD150" s="230"/>
      <c r="CE150" s="230"/>
      <c r="CF150" s="230"/>
      <c r="CG150" s="230"/>
      <c r="CH150" s="230"/>
      <c r="CI150" s="230"/>
      <c r="CJ150" s="230"/>
      <c r="CK150" s="230"/>
      <c r="CL150" s="230"/>
      <c r="CM150" s="230"/>
      <c r="CN150" s="230"/>
      <c r="CO150" s="230"/>
      <c r="CP150" s="230"/>
      <c r="CQ150" s="230"/>
      <c r="CR150" s="230"/>
      <c r="CS150" s="230"/>
      <c r="CT150" s="230"/>
      <c r="CU150" s="230"/>
      <c r="CV150" s="230"/>
      <c r="CW150" s="230"/>
      <c r="CX150" s="230"/>
      <c r="CY150" s="230"/>
      <c r="CZ150" s="230"/>
      <c r="DA150" s="230"/>
      <c r="DB150" s="230"/>
      <c r="DC150" s="230"/>
      <c r="DD150" s="230"/>
      <c r="DE150" s="230"/>
      <c r="DF150" s="230"/>
      <c r="DG150" s="230"/>
      <c r="DH150" s="230"/>
      <c r="DI150" s="230"/>
      <c r="DJ150" s="230"/>
      <c r="DK150" s="230"/>
      <c r="DL150" s="230"/>
      <c r="DM150" s="230"/>
      <c r="DN150" s="230"/>
      <c r="DO150" s="230"/>
      <c r="DP150" s="230"/>
      <c r="DQ150" s="230"/>
      <c r="DR150" s="230"/>
      <c r="DS150" s="230"/>
      <c r="DT150" s="230"/>
      <c r="DU150" s="230"/>
      <c r="DV150" s="230"/>
      <c r="DW150" s="230"/>
      <c r="DX150" s="230"/>
      <c r="DY150" s="230"/>
      <c r="DZ150" s="230"/>
      <c r="EA150" s="230"/>
      <c r="EB150" s="230"/>
      <c r="EC150" s="230"/>
      <c r="ED150" s="230"/>
      <c r="EE150" s="230"/>
      <c r="EF150" s="230"/>
      <c r="EG150" s="230"/>
      <c r="EH150" s="230"/>
      <c r="EI150" s="230"/>
      <c r="EJ150" s="230"/>
      <c r="EK150" s="230"/>
      <c r="EL150" s="230"/>
      <c r="EM150" s="230"/>
      <c r="EN150" s="230"/>
      <c r="EO150" s="230"/>
      <c r="EP150" s="230"/>
      <c r="EQ150" s="230"/>
      <c r="ER150" s="230"/>
      <c r="ES150" s="230"/>
      <c r="ET150" s="230"/>
      <c r="EU150" s="230"/>
      <c r="EV150" s="230"/>
      <c r="EW150" s="230"/>
      <c r="EX150" s="230"/>
      <c r="EY150" s="230"/>
      <c r="EZ150" s="230"/>
      <c r="FA150" s="230"/>
      <c r="FB150" s="230"/>
      <c r="FC150" s="230"/>
      <c r="FD150" s="230"/>
      <c r="FE150" s="230"/>
      <c r="FF150" s="230"/>
      <c r="FG150" s="230"/>
      <c r="FH150" s="230"/>
      <c r="FI150" s="230"/>
      <c r="FJ150" s="230"/>
      <c r="FK150" s="230"/>
      <c r="FL150" s="230"/>
      <c r="FM150" s="230"/>
      <c r="FN150" s="230"/>
      <c r="FO150" s="230"/>
      <c r="FP150" s="230"/>
      <c r="FQ150" s="230"/>
      <c r="FR150" s="230"/>
      <c r="FS150" s="230"/>
      <c r="FT150" s="230"/>
      <c r="FU150" s="230"/>
      <c r="FV150" s="230"/>
      <c r="FW150" s="230"/>
      <c r="FX150" s="230"/>
      <c r="FY150" s="230"/>
      <c r="FZ150" s="230"/>
      <c r="GA150" s="230"/>
      <c r="GB150" s="230"/>
      <c r="GC150" s="230"/>
      <c r="GD150" s="230"/>
      <c r="GE150" s="230"/>
      <c r="GF150" s="230"/>
      <c r="GG150" s="230"/>
      <c r="GH150" s="230"/>
      <c r="GI150" s="230"/>
      <c r="GJ150" s="230"/>
      <c r="GK150" s="230"/>
      <c r="GL150" s="230"/>
      <c r="GM150" s="230"/>
      <c r="GN150" s="230"/>
      <c r="GO150" s="230"/>
      <c r="GP150" s="230"/>
      <c r="GQ150" s="230"/>
      <c r="GR150" s="230"/>
      <c r="GS150" s="230"/>
      <c r="GT150" s="230"/>
      <c r="GU150" s="230"/>
      <c r="GV150" s="230"/>
      <c r="GW150" s="230"/>
      <c r="GX150" s="230"/>
      <c r="GY150" s="230"/>
      <c r="GZ150" s="230"/>
      <c r="HA150" s="230"/>
      <c r="HB150" s="230"/>
      <c r="HC150" s="230"/>
      <c r="HD150" s="230"/>
      <c r="HE150" s="230"/>
      <c r="HF150" s="230"/>
      <c r="HG150" s="230"/>
      <c r="HH150" s="230"/>
      <c r="HI150" s="230"/>
      <c r="HJ150" s="230"/>
      <c r="HK150" s="230"/>
      <c r="HL150" s="230"/>
      <c r="HM150" s="230"/>
      <c r="HN150" s="230"/>
      <c r="HO150" s="230"/>
      <c r="HP150" s="230"/>
      <c r="HQ150" s="230"/>
      <c r="HR150" s="230"/>
      <c r="HS150" s="230"/>
      <c r="HT150" s="230"/>
      <c r="HU150" s="230"/>
      <c r="HV150" s="230"/>
      <c r="HW150" s="230"/>
      <c r="HX150" s="230"/>
      <c r="HY150" s="230"/>
      <c r="HZ150" s="230"/>
      <c r="IA150" s="230"/>
      <c r="IB150" s="230"/>
      <c r="IC150" s="230"/>
      <c r="ID150" s="230"/>
      <c r="IE150" s="230"/>
      <c r="IF150" s="230"/>
      <c r="IG150" s="230"/>
      <c r="IH150" s="230"/>
      <c r="II150" s="230"/>
      <c r="IJ150" s="230"/>
      <c r="IK150" s="230"/>
      <c r="IL150" s="230"/>
      <c r="IM150" s="230"/>
      <c r="IN150" s="230"/>
      <c r="IO150" s="230"/>
      <c r="IP150" s="230"/>
      <c r="IQ150" s="230"/>
      <c r="IR150" s="230"/>
      <c r="IS150" s="230"/>
      <c r="IT150" s="230"/>
      <c r="IU150" s="230"/>
      <c r="IV150" s="230"/>
      <c r="IW150" s="230"/>
    </row>
    <row r="151" customFormat="false" ht="12.75" hidden="false" customHeight="false" outlineLevel="0" collapsed="false">
      <c r="A151" s="38" t="s">
        <v>144</v>
      </c>
      <c r="B151" s="225" t="s">
        <v>269</v>
      </c>
      <c r="C151" s="104" t="s">
        <v>397</v>
      </c>
      <c r="D151" s="105" t="n">
        <v>36739</v>
      </c>
      <c r="E151" s="105" t="n">
        <v>36769</v>
      </c>
      <c r="F151" s="38" t="s">
        <v>398</v>
      </c>
      <c r="G151" s="38" t="s">
        <v>399</v>
      </c>
      <c r="H151" s="225" t="s">
        <v>160</v>
      </c>
      <c r="I151" s="106" t="n">
        <f aca="false">4.2583/I$1</f>
        <v>0.137364516129032</v>
      </c>
      <c r="J151" s="107"/>
      <c r="K151" s="107"/>
      <c r="L151" s="107"/>
      <c r="M151" s="107"/>
      <c r="N151" s="107"/>
      <c r="O151" s="107"/>
      <c r="P151" s="226" t="s">
        <v>402</v>
      </c>
      <c r="Q151" s="104" t="n">
        <v>5000</v>
      </c>
      <c r="R151" s="38" t="s">
        <v>403</v>
      </c>
      <c r="S151" s="110" t="n">
        <f aca="false">I151*$I$1*Q151</f>
        <v>21291.5</v>
      </c>
      <c r="T151" s="110"/>
      <c r="U151" s="112" t="n">
        <v>344432</v>
      </c>
      <c r="V151" s="112"/>
      <c r="W151" s="227"/>
      <c r="X151" s="227"/>
      <c r="Y151" s="227"/>
      <c r="Z151" s="227"/>
      <c r="AA151" s="227"/>
      <c r="AB151" s="227"/>
      <c r="AC151" s="227"/>
      <c r="AD151" s="227"/>
      <c r="AE151" s="227"/>
      <c r="AF151" s="227"/>
      <c r="AG151" s="227"/>
      <c r="AH151" s="227"/>
      <c r="AI151" s="227"/>
      <c r="AJ151" s="227"/>
      <c r="AK151" s="227"/>
      <c r="AL151" s="227"/>
      <c r="AM151" s="227"/>
      <c r="AN151" s="227"/>
      <c r="AO151" s="227"/>
      <c r="AP151" s="227"/>
      <c r="AQ151" s="227"/>
      <c r="AR151" s="227"/>
      <c r="AS151" s="227"/>
      <c r="AT151" s="227"/>
      <c r="AU151" s="227"/>
      <c r="AV151" s="227"/>
      <c r="AW151" s="227"/>
      <c r="AX151" s="227"/>
      <c r="AY151" s="227"/>
      <c r="AZ151" s="227"/>
      <c r="BA151" s="227"/>
      <c r="BB151" s="227"/>
      <c r="BC151" s="227"/>
      <c r="BD151" s="227"/>
      <c r="BE151" s="227"/>
      <c r="BF151" s="227"/>
      <c r="BG151" s="227"/>
      <c r="BH151" s="227"/>
      <c r="BI151" s="227"/>
      <c r="BJ151" s="227"/>
      <c r="BK151" s="227"/>
      <c r="BL151" s="227"/>
      <c r="BM151" s="227"/>
      <c r="BN151" s="227"/>
      <c r="BO151" s="227"/>
      <c r="BP151" s="227"/>
      <c r="BQ151" s="227"/>
      <c r="BR151" s="227"/>
      <c r="BS151" s="227"/>
      <c r="BT151" s="227"/>
      <c r="BU151" s="227"/>
      <c r="BV151" s="227"/>
      <c r="BW151" s="227"/>
      <c r="BX151" s="227"/>
      <c r="BY151" s="227"/>
      <c r="BZ151" s="227"/>
      <c r="CA151" s="227"/>
      <c r="CB151" s="227"/>
      <c r="CC151" s="227"/>
      <c r="CD151" s="227"/>
      <c r="CE151" s="227"/>
      <c r="CF151" s="227"/>
      <c r="CG151" s="227"/>
      <c r="CH151" s="227"/>
      <c r="CI151" s="227"/>
      <c r="CJ151" s="227"/>
      <c r="CK151" s="227"/>
      <c r="CL151" s="227"/>
      <c r="CM151" s="227"/>
      <c r="CN151" s="227"/>
      <c r="CO151" s="227"/>
      <c r="CP151" s="227"/>
      <c r="CQ151" s="227"/>
      <c r="CR151" s="227"/>
      <c r="CS151" s="227"/>
      <c r="CT151" s="227"/>
      <c r="CU151" s="227"/>
      <c r="CV151" s="227"/>
      <c r="CW151" s="227"/>
      <c r="CX151" s="227"/>
      <c r="CY151" s="227"/>
      <c r="CZ151" s="227"/>
      <c r="DA151" s="227"/>
      <c r="DB151" s="227"/>
      <c r="DC151" s="227"/>
      <c r="DD151" s="227"/>
      <c r="DE151" s="227"/>
      <c r="DF151" s="227"/>
      <c r="DG151" s="227"/>
      <c r="DH151" s="227"/>
      <c r="DI151" s="227"/>
      <c r="DJ151" s="227"/>
      <c r="DK151" s="227"/>
      <c r="DL151" s="227"/>
      <c r="DM151" s="227"/>
      <c r="DN151" s="227"/>
      <c r="DO151" s="227"/>
      <c r="DP151" s="227"/>
      <c r="DQ151" s="227"/>
      <c r="DR151" s="227"/>
      <c r="DS151" s="227"/>
      <c r="DT151" s="227"/>
      <c r="DU151" s="227"/>
      <c r="DV151" s="227"/>
      <c r="DW151" s="227"/>
      <c r="DX151" s="227"/>
      <c r="DY151" s="227"/>
      <c r="DZ151" s="227"/>
      <c r="EA151" s="227"/>
      <c r="EB151" s="227"/>
      <c r="EC151" s="227"/>
      <c r="ED151" s="227"/>
      <c r="EE151" s="227"/>
      <c r="EF151" s="227"/>
      <c r="EG151" s="227"/>
      <c r="EH151" s="227"/>
      <c r="EI151" s="227"/>
      <c r="EJ151" s="227"/>
      <c r="EK151" s="227"/>
      <c r="EL151" s="227"/>
      <c r="EM151" s="227"/>
      <c r="EN151" s="227"/>
      <c r="EO151" s="227"/>
      <c r="EP151" s="227"/>
      <c r="EQ151" s="227"/>
      <c r="ER151" s="227"/>
      <c r="ES151" s="227"/>
      <c r="ET151" s="227"/>
      <c r="EU151" s="227"/>
      <c r="EV151" s="227"/>
      <c r="EW151" s="227"/>
      <c r="EX151" s="227"/>
      <c r="EY151" s="227"/>
      <c r="EZ151" s="227"/>
      <c r="FA151" s="227"/>
      <c r="FB151" s="227"/>
      <c r="FC151" s="227"/>
      <c r="FD151" s="227"/>
      <c r="FE151" s="227"/>
      <c r="FF151" s="227"/>
      <c r="FG151" s="227"/>
      <c r="FH151" s="227"/>
      <c r="FI151" s="227"/>
      <c r="FJ151" s="227"/>
      <c r="FK151" s="227"/>
      <c r="FL151" s="227"/>
      <c r="FM151" s="227"/>
      <c r="FN151" s="227"/>
      <c r="FO151" s="227"/>
      <c r="FP151" s="227"/>
      <c r="FQ151" s="227"/>
      <c r="FR151" s="227"/>
      <c r="FS151" s="227"/>
      <c r="FT151" s="227"/>
      <c r="FU151" s="227"/>
      <c r="FV151" s="227"/>
      <c r="FW151" s="227"/>
      <c r="FX151" s="227"/>
      <c r="FY151" s="227"/>
      <c r="FZ151" s="227"/>
      <c r="GA151" s="227"/>
      <c r="GB151" s="227"/>
      <c r="GC151" s="227"/>
      <c r="GD151" s="227"/>
      <c r="GE151" s="227"/>
      <c r="GF151" s="227"/>
      <c r="GG151" s="227"/>
      <c r="GH151" s="227"/>
      <c r="GI151" s="227"/>
      <c r="GJ151" s="227"/>
      <c r="GK151" s="227"/>
      <c r="GL151" s="227"/>
      <c r="GM151" s="227"/>
      <c r="GN151" s="227"/>
      <c r="GO151" s="227"/>
      <c r="GP151" s="227"/>
      <c r="GQ151" s="227"/>
      <c r="GR151" s="227"/>
      <c r="GS151" s="227"/>
      <c r="GT151" s="227"/>
      <c r="GU151" s="227"/>
      <c r="GV151" s="227"/>
      <c r="GW151" s="227"/>
      <c r="GX151" s="227"/>
      <c r="GY151" s="227"/>
      <c r="GZ151" s="227"/>
      <c r="HA151" s="227"/>
      <c r="HB151" s="227"/>
      <c r="HC151" s="227"/>
      <c r="HD151" s="227"/>
      <c r="HE151" s="227"/>
      <c r="HF151" s="227"/>
      <c r="HG151" s="227"/>
      <c r="HH151" s="227"/>
      <c r="HI151" s="227"/>
      <c r="HJ151" s="227"/>
      <c r="HK151" s="227"/>
      <c r="HL151" s="227"/>
      <c r="HM151" s="227"/>
      <c r="HN151" s="227"/>
      <c r="HO151" s="227"/>
      <c r="HP151" s="227"/>
      <c r="HQ151" s="227"/>
      <c r="HR151" s="227"/>
      <c r="HS151" s="227"/>
      <c r="HT151" s="227"/>
      <c r="HU151" s="227"/>
      <c r="HV151" s="227"/>
      <c r="HW151" s="227"/>
      <c r="HX151" s="227"/>
      <c r="HY151" s="227"/>
      <c r="HZ151" s="227"/>
      <c r="IA151" s="227"/>
      <c r="IB151" s="227"/>
      <c r="IC151" s="227"/>
      <c r="ID151" s="227"/>
      <c r="IE151" s="227"/>
      <c r="IF151" s="227"/>
      <c r="IG151" s="227"/>
      <c r="IH151" s="227"/>
      <c r="II151" s="227"/>
      <c r="IJ151" s="227"/>
      <c r="IK151" s="227"/>
      <c r="IL151" s="227"/>
      <c r="IM151" s="227"/>
      <c r="IN151" s="227"/>
      <c r="IO151" s="227"/>
      <c r="IP151" s="227"/>
      <c r="IQ151" s="227"/>
      <c r="IR151" s="227"/>
      <c r="IS151" s="227"/>
      <c r="IT151" s="227"/>
      <c r="IU151" s="227"/>
      <c r="IV151" s="227"/>
      <c r="IW151" s="227"/>
    </row>
    <row r="152" customFormat="false" ht="12.75" hidden="false" customHeight="false" outlineLevel="0" collapsed="false">
      <c r="A152" s="15" t="s">
        <v>144</v>
      </c>
      <c r="B152" s="34" t="s">
        <v>269</v>
      </c>
      <c r="C152" s="16" t="s">
        <v>397</v>
      </c>
      <c r="D152" s="17" t="n">
        <v>36617</v>
      </c>
      <c r="E152" s="17" t="n">
        <v>36830</v>
      </c>
      <c r="F152" s="15" t="s">
        <v>404</v>
      </c>
      <c r="G152" s="15" t="s">
        <v>399</v>
      </c>
      <c r="H152" s="34" t="s">
        <v>160</v>
      </c>
      <c r="I152" s="19" t="n">
        <f aca="false">4.2583/I$1</f>
        <v>0.137364516129032</v>
      </c>
      <c r="J152" s="20"/>
      <c r="K152" s="20"/>
      <c r="L152" s="20"/>
      <c r="M152" s="20"/>
      <c r="N152" s="20"/>
      <c r="O152" s="20"/>
      <c r="P152" s="164" t="s">
        <v>405</v>
      </c>
      <c r="Q152" s="16" t="n">
        <v>15000</v>
      </c>
      <c r="R152" s="15" t="s">
        <v>406</v>
      </c>
      <c r="S152" s="23" t="n">
        <f aca="false">I152*$I$1*Q152</f>
        <v>63874.5</v>
      </c>
      <c r="T152" s="23"/>
      <c r="U152" s="24" t="n">
        <v>231538</v>
      </c>
      <c r="V152" s="24"/>
      <c r="W152" s="27"/>
    </row>
    <row r="153" customFormat="false" ht="12.75" hidden="false" customHeight="false" outlineLevel="0" collapsed="false">
      <c r="A153" s="15" t="s">
        <v>144</v>
      </c>
      <c r="B153" s="34" t="s">
        <v>269</v>
      </c>
      <c r="C153" s="16" t="s">
        <v>397</v>
      </c>
      <c r="D153" s="17" t="n">
        <v>36649</v>
      </c>
      <c r="E153" s="17" t="n">
        <v>36799</v>
      </c>
      <c r="F153" s="15" t="s">
        <v>404</v>
      </c>
      <c r="G153" s="15" t="s">
        <v>399</v>
      </c>
      <c r="H153" s="34" t="s">
        <v>160</v>
      </c>
      <c r="I153" s="19" t="n">
        <f aca="false">4.5625/I$1</f>
        <v>0.147177419354839</v>
      </c>
      <c r="J153" s="20"/>
      <c r="K153" s="20"/>
      <c r="L153" s="20"/>
      <c r="M153" s="20"/>
      <c r="N153" s="20"/>
      <c r="O153" s="20"/>
      <c r="P153" s="164" t="s">
        <v>407</v>
      </c>
      <c r="Q153" s="16" t="n">
        <v>10000</v>
      </c>
      <c r="R153" s="15" t="s">
        <v>408</v>
      </c>
      <c r="S153" s="23" t="n">
        <f aca="false">I153*I1*Q153</f>
        <v>45625</v>
      </c>
      <c r="T153" s="23"/>
      <c r="U153" s="24" t="n">
        <v>257467</v>
      </c>
      <c r="V153" s="24"/>
      <c r="W153" s="27"/>
    </row>
    <row r="154" customFormat="false" ht="12.75" hidden="false" customHeight="false" outlineLevel="0" collapsed="false">
      <c r="A154" s="15" t="s">
        <v>144</v>
      </c>
      <c r="B154" s="34" t="s">
        <v>269</v>
      </c>
      <c r="C154" s="16" t="s">
        <v>409</v>
      </c>
      <c r="D154" s="17" t="n">
        <v>36647</v>
      </c>
      <c r="E154" s="17" t="n">
        <v>36830</v>
      </c>
      <c r="F154" s="15" t="s">
        <v>410</v>
      </c>
      <c r="G154" s="15" t="s">
        <v>411</v>
      </c>
      <c r="H154" s="34" t="s">
        <v>160</v>
      </c>
      <c r="I154" s="19" t="n">
        <f aca="false">5.5055/I$1</f>
        <v>0.177596774193548</v>
      </c>
      <c r="J154" s="20"/>
      <c r="K154" s="20"/>
      <c r="L154" s="20"/>
      <c r="M154" s="20"/>
      <c r="N154" s="20"/>
      <c r="O154" s="20"/>
      <c r="P154" s="164" t="s">
        <v>412</v>
      </c>
      <c r="Q154" s="16" t="n">
        <v>20000</v>
      </c>
      <c r="R154" s="15" t="s">
        <v>413</v>
      </c>
      <c r="S154" s="23" t="n">
        <f aca="false">I154*$I$1*Q154</f>
        <v>110110</v>
      </c>
      <c r="T154" s="23"/>
      <c r="U154" s="24" t="n">
        <v>252358</v>
      </c>
      <c r="V154" s="24"/>
      <c r="W154" s="27"/>
    </row>
    <row r="155" customFormat="false" ht="12.75" hidden="false" customHeight="false" outlineLevel="0" collapsed="false">
      <c r="A155" s="15" t="s">
        <v>144</v>
      </c>
      <c r="B155" s="34" t="s">
        <v>269</v>
      </c>
      <c r="C155" s="16" t="s">
        <v>409</v>
      </c>
      <c r="D155" s="17" t="n">
        <v>36678</v>
      </c>
      <c r="E155" s="17" t="n">
        <v>36799</v>
      </c>
      <c r="F155" s="15" t="s">
        <v>410</v>
      </c>
      <c r="G155" s="15" t="s">
        <v>411</v>
      </c>
      <c r="H155" s="34" t="s">
        <v>160</v>
      </c>
      <c r="I155" s="19" t="n">
        <f aca="false">6.7405/I$1</f>
        <v>0.217435483870968</v>
      </c>
      <c r="J155" s="20"/>
      <c r="K155" s="20"/>
      <c r="L155" s="20"/>
      <c r="M155" s="20"/>
      <c r="N155" s="20"/>
      <c r="O155" s="20"/>
      <c r="P155" s="164" t="s">
        <v>414</v>
      </c>
      <c r="Q155" s="16" t="n">
        <v>10000</v>
      </c>
      <c r="R155" s="15" t="s">
        <v>415</v>
      </c>
      <c r="S155" s="23" t="n">
        <f aca="false">I155*$I$1*Q155</f>
        <v>67405</v>
      </c>
      <c r="T155" s="23"/>
      <c r="U155" s="24" t="n">
        <v>278680</v>
      </c>
      <c r="V155" s="24"/>
      <c r="W155" s="27"/>
    </row>
    <row r="156" customFormat="false" ht="12.75" hidden="false" customHeight="false" outlineLevel="0" collapsed="false">
      <c r="A156" s="15" t="s">
        <v>144</v>
      </c>
      <c r="B156" s="34" t="s">
        <v>269</v>
      </c>
      <c r="C156" s="16" t="s">
        <v>416</v>
      </c>
      <c r="D156" s="17" t="n">
        <v>36678</v>
      </c>
      <c r="E156" s="17" t="n">
        <v>36799</v>
      </c>
      <c r="F156" s="15" t="s">
        <v>410</v>
      </c>
      <c r="G156" s="15" t="s">
        <v>417</v>
      </c>
      <c r="H156" s="34" t="s">
        <v>160</v>
      </c>
      <c r="I156" s="19" t="n">
        <f aca="false">6.7405/I$1</f>
        <v>0.217435483870968</v>
      </c>
      <c r="J156" s="20"/>
      <c r="K156" s="20"/>
      <c r="L156" s="20"/>
      <c r="M156" s="20"/>
      <c r="N156" s="20"/>
      <c r="O156" s="20"/>
      <c r="P156" s="164" t="s">
        <v>418</v>
      </c>
      <c r="Q156" s="16" t="n">
        <v>10000</v>
      </c>
      <c r="R156" s="15" t="s">
        <v>419</v>
      </c>
      <c r="S156" s="23" t="n">
        <f aca="false">I156*$I$1*Q156</f>
        <v>67405</v>
      </c>
      <c r="T156" s="23"/>
      <c r="U156" s="24" t="n">
        <v>278664</v>
      </c>
      <c r="V156" s="24"/>
      <c r="W156" s="27"/>
    </row>
    <row r="157" customFormat="false" ht="12.75" hidden="false" customHeight="false" outlineLevel="0" collapsed="false">
      <c r="A157" s="15" t="s">
        <v>144</v>
      </c>
      <c r="B157" s="34" t="s">
        <v>269</v>
      </c>
      <c r="C157" s="16" t="s">
        <v>168</v>
      </c>
      <c r="D157" s="17" t="n">
        <v>36617</v>
      </c>
      <c r="E157" s="17" t="n">
        <v>36830</v>
      </c>
      <c r="F157" s="15" t="s">
        <v>420</v>
      </c>
      <c r="G157" s="15" t="s">
        <v>421</v>
      </c>
      <c r="H157" s="34" t="s">
        <v>160</v>
      </c>
      <c r="I157" s="19" t="n">
        <f aca="false">0.684/I$1</f>
        <v>0.0220645161290323</v>
      </c>
      <c r="J157" s="20"/>
      <c r="K157" s="20"/>
      <c r="L157" s="20"/>
      <c r="M157" s="20"/>
      <c r="N157" s="20"/>
      <c r="O157" s="20"/>
      <c r="P157" s="164" t="s">
        <v>422</v>
      </c>
      <c r="Q157" s="16" t="n">
        <v>2174</v>
      </c>
      <c r="R157" s="15" t="s">
        <v>423</v>
      </c>
      <c r="S157" s="23" t="n">
        <f aca="false">I157*$I$1*Q157</f>
        <v>1487.016</v>
      </c>
      <c r="T157" s="23"/>
      <c r="U157" s="24" t="n">
        <v>229958</v>
      </c>
      <c r="V157" s="24"/>
      <c r="W157" s="27"/>
    </row>
    <row r="158" customFormat="false" ht="12.75" hidden="false" customHeight="false" outlineLevel="0" collapsed="false">
      <c r="A158" s="38" t="s">
        <v>424</v>
      </c>
      <c r="B158" s="225" t="s">
        <v>269</v>
      </c>
      <c r="C158" s="104" t="s">
        <v>425</v>
      </c>
      <c r="D158" s="105" t="n">
        <v>36739</v>
      </c>
      <c r="E158" s="105" t="n">
        <v>36769</v>
      </c>
      <c r="F158" s="38" t="s">
        <v>404</v>
      </c>
      <c r="G158" s="38" t="s">
        <v>426</v>
      </c>
      <c r="H158" s="225" t="s">
        <v>160</v>
      </c>
      <c r="I158" s="106" t="n">
        <f aca="false">2.48/I$1</f>
        <v>0.08</v>
      </c>
      <c r="J158" s="107"/>
      <c r="K158" s="107"/>
      <c r="L158" s="107"/>
      <c r="M158" s="107"/>
      <c r="N158" s="107"/>
      <c r="O158" s="107"/>
      <c r="P158" s="226" t="n">
        <v>3.635</v>
      </c>
      <c r="Q158" s="104" t="n">
        <v>3000</v>
      </c>
      <c r="R158" s="38" t="s">
        <v>427</v>
      </c>
      <c r="S158" s="110" t="n">
        <f aca="false">I158*$I$1*Q158</f>
        <v>7440</v>
      </c>
      <c r="T158" s="110"/>
      <c r="U158" s="112" t="s">
        <v>428</v>
      </c>
      <c r="V158" s="112"/>
      <c r="W158" s="227"/>
      <c r="X158" s="227"/>
      <c r="Y158" s="227"/>
      <c r="Z158" s="227"/>
      <c r="AA158" s="227"/>
      <c r="AB158" s="227"/>
      <c r="AC158" s="227"/>
      <c r="AD158" s="227"/>
      <c r="AE158" s="227"/>
      <c r="AF158" s="227"/>
      <c r="AG158" s="227"/>
      <c r="AH158" s="227"/>
      <c r="AI158" s="227"/>
      <c r="AJ158" s="227"/>
      <c r="AK158" s="227"/>
      <c r="AL158" s="227"/>
      <c r="AM158" s="227"/>
      <c r="AN158" s="227"/>
      <c r="AO158" s="227"/>
      <c r="AP158" s="227"/>
      <c r="AQ158" s="227"/>
      <c r="AR158" s="227"/>
      <c r="AS158" s="227"/>
      <c r="AT158" s="227"/>
      <c r="AU158" s="227"/>
      <c r="AV158" s="227"/>
      <c r="AW158" s="227"/>
      <c r="AX158" s="227"/>
      <c r="AY158" s="227"/>
      <c r="AZ158" s="227"/>
      <c r="BA158" s="227"/>
      <c r="BB158" s="227"/>
      <c r="BC158" s="227"/>
      <c r="BD158" s="227"/>
      <c r="BE158" s="227"/>
      <c r="BF158" s="227"/>
      <c r="BG158" s="227"/>
      <c r="BH158" s="227"/>
      <c r="BI158" s="227"/>
      <c r="BJ158" s="227"/>
      <c r="BK158" s="227"/>
      <c r="BL158" s="227"/>
      <c r="BM158" s="227"/>
      <c r="BN158" s="227"/>
      <c r="BO158" s="227"/>
      <c r="BP158" s="227"/>
      <c r="BQ158" s="227"/>
      <c r="BR158" s="227"/>
      <c r="BS158" s="227"/>
      <c r="BT158" s="227"/>
      <c r="BU158" s="227"/>
      <c r="BV158" s="227"/>
      <c r="BW158" s="227"/>
      <c r="BX158" s="227"/>
      <c r="BY158" s="227"/>
      <c r="BZ158" s="227"/>
      <c r="CA158" s="227"/>
      <c r="CB158" s="227"/>
      <c r="CC158" s="227"/>
      <c r="CD158" s="227"/>
      <c r="CE158" s="227"/>
      <c r="CF158" s="227"/>
      <c r="CG158" s="227"/>
      <c r="CH158" s="227"/>
      <c r="CI158" s="227"/>
      <c r="CJ158" s="227"/>
      <c r="CK158" s="227"/>
      <c r="CL158" s="227"/>
      <c r="CM158" s="227"/>
      <c r="CN158" s="227"/>
      <c r="CO158" s="227"/>
      <c r="CP158" s="227"/>
      <c r="CQ158" s="227"/>
      <c r="CR158" s="227"/>
      <c r="CS158" s="227"/>
      <c r="CT158" s="227"/>
      <c r="CU158" s="227"/>
      <c r="CV158" s="227"/>
      <c r="CW158" s="227"/>
      <c r="CX158" s="227"/>
      <c r="CY158" s="227"/>
      <c r="CZ158" s="227"/>
      <c r="DA158" s="227"/>
      <c r="DB158" s="227"/>
      <c r="DC158" s="227"/>
      <c r="DD158" s="227"/>
      <c r="DE158" s="227"/>
      <c r="DF158" s="227"/>
      <c r="DG158" s="227"/>
      <c r="DH158" s="227"/>
      <c r="DI158" s="227"/>
      <c r="DJ158" s="227"/>
      <c r="DK158" s="227"/>
      <c r="DL158" s="227"/>
      <c r="DM158" s="227"/>
      <c r="DN158" s="227"/>
      <c r="DO158" s="227"/>
      <c r="DP158" s="227"/>
      <c r="DQ158" s="227"/>
      <c r="DR158" s="227"/>
      <c r="DS158" s="227"/>
      <c r="DT158" s="227"/>
      <c r="DU158" s="227"/>
      <c r="DV158" s="227"/>
      <c r="DW158" s="227"/>
      <c r="DX158" s="227"/>
      <c r="DY158" s="227"/>
      <c r="DZ158" s="227"/>
      <c r="EA158" s="227"/>
      <c r="EB158" s="227"/>
      <c r="EC158" s="227"/>
      <c r="ED158" s="227"/>
      <c r="EE158" s="227"/>
      <c r="EF158" s="227"/>
      <c r="EG158" s="227"/>
      <c r="EH158" s="227"/>
      <c r="EI158" s="227"/>
      <c r="EJ158" s="227"/>
      <c r="EK158" s="227"/>
      <c r="EL158" s="227"/>
      <c r="EM158" s="227"/>
      <c r="EN158" s="227"/>
      <c r="EO158" s="227"/>
      <c r="EP158" s="227"/>
      <c r="EQ158" s="227"/>
      <c r="ER158" s="227"/>
      <c r="ES158" s="227"/>
      <c r="ET158" s="227"/>
      <c r="EU158" s="227"/>
      <c r="EV158" s="227"/>
      <c r="EW158" s="227"/>
      <c r="EX158" s="227"/>
      <c r="EY158" s="227"/>
      <c r="EZ158" s="227"/>
      <c r="FA158" s="227"/>
      <c r="FB158" s="227"/>
      <c r="FC158" s="227"/>
      <c r="FD158" s="227"/>
      <c r="FE158" s="227"/>
      <c r="FF158" s="227"/>
      <c r="FG158" s="227"/>
      <c r="FH158" s="227"/>
      <c r="FI158" s="227"/>
      <c r="FJ158" s="227"/>
      <c r="FK158" s="227"/>
      <c r="FL158" s="227"/>
      <c r="FM158" s="227"/>
      <c r="FN158" s="227"/>
      <c r="FO158" s="227"/>
      <c r="FP158" s="227"/>
      <c r="FQ158" s="227"/>
      <c r="FR158" s="227"/>
      <c r="FS158" s="227"/>
      <c r="FT158" s="227"/>
      <c r="FU158" s="227"/>
      <c r="FV158" s="227"/>
      <c r="FW158" s="227"/>
      <c r="FX158" s="227"/>
      <c r="FY158" s="227"/>
      <c r="FZ158" s="227"/>
      <c r="GA158" s="227"/>
      <c r="GB158" s="227"/>
      <c r="GC158" s="227"/>
      <c r="GD158" s="227"/>
      <c r="GE158" s="227"/>
      <c r="GF158" s="227"/>
      <c r="GG158" s="227"/>
      <c r="GH158" s="227"/>
      <c r="GI158" s="227"/>
      <c r="GJ158" s="227"/>
      <c r="GK158" s="227"/>
      <c r="GL158" s="227"/>
      <c r="GM158" s="227"/>
      <c r="GN158" s="227"/>
      <c r="GO158" s="227"/>
      <c r="GP158" s="227"/>
      <c r="GQ158" s="227"/>
      <c r="GR158" s="227"/>
      <c r="GS158" s="227"/>
      <c r="GT158" s="227"/>
      <c r="GU158" s="227"/>
      <c r="GV158" s="227"/>
      <c r="GW158" s="227"/>
      <c r="GX158" s="227"/>
      <c r="GY158" s="227"/>
      <c r="GZ158" s="227"/>
      <c r="HA158" s="227"/>
      <c r="HB158" s="227"/>
      <c r="HC158" s="227"/>
      <c r="HD158" s="227"/>
      <c r="HE158" s="227"/>
      <c r="HF158" s="227"/>
      <c r="HG158" s="227"/>
      <c r="HH158" s="227"/>
      <c r="HI158" s="227"/>
      <c r="HJ158" s="227"/>
      <c r="HK158" s="227"/>
      <c r="HL158" s="227"/>
      <c r="HM158" s="227"/>
      <c r="HN158" s="227"/>
      <c r="HO158" s="227"/>
      <c r="HP158" s="227"/>
      <c r="HQ158" s="227"/>
      <c r="HR158" s="227"/>
      <c r="HS158" s="227"/>
      <c r="HT158" s="227"/>
      <c r="HU158" s="227"/>
      <c r="HV158" s="227"/>
      <c r="HW158" s="227"/>
      <c r="HX158" s="227"/>
      <c r="HY158" s="227"/>
      <c r="HZ158" s="227"/>
      <c r="IA158" s="227"/>
      <c r="IB158" s="227"/>
      <c r="IC158" s="227"/>
      <c r="ID158" s="227"/>
      <c r="IE158" s="227"/>
      <c r="IF158" s="227"/>
      <c r="IG158" s="227"/>
      <c r="IH158" s="227"/>
      <c r="II158" s="227"/>
      <c r="IJ158" s="227"/>
      <c r="IK158" s="227"/>
      <c r="IL158" s="227"/>
      <c r="IM158" s="227"/>
      <c r="IN158" s="227"/>
      <c r="IO158" s="227"/>
      <c r="IP158" s="227"/>
      <c r="IQ158" s="227"/>
      <c r="IR158" s="227"/>
      <c r="IS158" s="227"/>
      <c r="IT158" s="227"/>
      <c r="IU158" s="227"/>
      <c r="IV158" s="227"/>
      <c r="IW158" s="227"/>
    </row>
    <row r="159" customFormat="false" ht="12.75" hidden="false" customHeight="false" outlineLevel="0" collapsed="false">
      <c r="A159" s="38" t="s">
        <v>429</v>
      </c>
      <c r="B159" s="225" t="s">
        <v>269</v>
      </c>
      <c r="C159" s="104" t="s">
        <v>425</v>
      </c>
      <c r="D159" s="105" t="n">
        <v>36739</v>
      </c>
      <c r="E159" s="105" t="n">
        <v>36769</v>
      </c>
      <c r="F159" s="38" t="s">
        <v>404</v>
      </c>
      <c r="G159" s="38" t="s">
        <v>426</v>
      </c>
      <c r="H159" s="225" t="s">
        <v>160</v>
      </c>
      <c r="I159" s="106" t="n">
        <f aca="false">2.48/I$1</f>
        <v>0.08</v>
      </c>
      <c r="J159" s="107"/>
      <c r="K159" s="107"/>
      <c r="L159" s="107"/>
      <c r="M159" s="107"/>
      <c r="N159" s="107"/>
      <c r="O159" s="107"/>
      <c r="P159" s="226" t="n">
        <v>3.635</v>
      </c>
      <c r="Q159" s="104" t="n">
        <v>-3000</v>
      </c>
      <c r="R159" s="38" t="s">
        <v>430</v>
      </c>
      <c r="S159" s="110" t="n">
        <f aca="false">I159*$I$1*Q159</f>
        <v>-7440</v>
      </c>
      <c r="T159" s="110"/>
      <c r="U159" s="112" t="s">
        <v>428</v>
      </c>
      <c r="V159" s="112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  <c r="AK159" s="227"/>
      <c r="AL159" s="227"/>
      <c r="AM159" s="227"/>
      <c r="AN159" s="227"/>
      <c r="AO159" s="227"/>
      <c r="AP159" s="227"/>
      <c r="AQ159" s="227"/>
      <c r="AR159" s="227"/>
      <c r="AS159" s="227"/>
      <c r="AT159" s="227"/>
      <c r="AU159" s="227"/>
      <c r="AV159" s="227"/>
      <c r="AW159" s="227"/>
      <c r="AX159" s="227"/>
      <c r="AY159" s="227"/>
      <c r="AZ159" s="227"/>
      <c r="BA159" s="227"/>
      <c r="BB159" s="227"/>
      <c r="BC159" s="227"/>
      <c r="BD159" s="227"/>
      <c r="BE159" s="227"/>
      <c r="BF159" s="227"/>
      <c r="BG159" s="227"/>
      <c r="BH159" s="227"/>
      <c r="BI159" s="227"/>
      <c r="BJ159" s="227"/>
      <c r="BK159" s="227"/>
      <c r="BL159" s="227"/>
      <c r="BM159" s="227"/>
      <c r="BN159" s="227"/>
      <c r="BO159" s="227"/>
      <c r="BP159" s="227"/>
      <c r="BQ159" s="227"/>
      <c r="BR159" s="227"/>
      <c r="BS159" s="227"/>
      <c r="BT159" s="227"/>
      <c r="BU159" s="227"/>
      <c r="BV159" s="227"/>
      <c r="BW159" s="227"/>
      <c r="BX159" s="227"/>
      <c r="BY159" s="227"/>
      <c r="BZ159" s="227"/>
      <c r="CA159" s="227"/>
      <c r="CB159" s="227"/>
      <c r="CC159" s="227"/>
      <c r="CD159" s="227"/>
      <c r="CE159" s="227"/>
      <c r="CF159" s="227"/>
      <c r="CG159" s="227"/>
      <c r="CH159" s="227"/>
      <c r="CI159" s="227"/>
      <c r="CJ159" s="227"/>
      <c r="CK159" s="227"/>
      <c r="CL159" s="227"/>
      <c r="CM159" s="227"/>
      <c r="CN159" s="227"/>
      <c r="CO159" s="227"/>
      <c r="CP159" s="227"/>
      <c r="CQ159" s="227"/>
      <c r="CR159" s="227"/>
      <c r="CS159" s="227"/>
      <c r="CT159" s="227"/>
      <c r="CU159" s="227"/>
      <c r="CV159" s="227"/>
      <c r="CW159" s="227"/>
      <c r="CX159" s="227"/>
      <c r="CY159" s="227"/>
      <c r="CZ159" s="227"/>
      <c r="DA159" s="227"/>
      <c r="DB159" s="227"/>
      <c r="DC159" s="227"/>
      <c r="DD159" s="227"/>
      <c r="DE159" s="227"/>
      <c r="DF159" s="227"/>
      <c r="DG159" s="227"/>
      <c r="DH159" s="227"/>
      <c r="DI159" s="227"/>
      <c r="DJ159" s="227"/>
      <c r="DK159" s="227"/>
      <c r="DL159" s="227"/>
      <c r="DM159" s="227"/>
      <c r="DN159" s="227"/>
      <c r="DO159" s="227"/>
      <c r="DP159" s="227"/>
      <c r="DQ159" s="227"/>
      <c r="DR159" s="227"/>
      <c r="DS159" s="227"/>
      <c r="DT159" s="227"/>
      <c r="DU159" s="227"/>
      <c r="DV159" s="227"/>
      <c r="DW159" s="227"/>
      <c r="DX159" s="227"/>
      <c r="DY159" s="227"/>
      <c r="DZ159" s="227"/>
      <c r="EA159" s="227"/>
      <c r="EB159" s="227"/>
      <c r="EC159" s="227"/>
      <c r="ED159" s="227"/>
      <c r="EE159" s="227"/>
      <c r="EF159" s="227"/>
      <c r="EG159" s="227"/>
      <c r="EH159" s="227"/>
      <c r="EI159" s="227"/>
      <c r="EJ159" s="227"/>
      <c r="EK159" s="227"/>
      <c r="EL159" s="227"/>
      <c r="EM159" s="227"/>
      <c r="EN159" s="227"/>
      <c r="EO159" s="227"/>
      <c r="EP159" s="227"/>
      <c r="EQ159" s="227"/>
      <c r="ER159" s="227"/>
      <c r="ES159" s="227"/>
      <c r="ET159" s="227"/>
      <c r="EU159" s="227"/>
      <c r="EV159" s="227"/>
      <c r="EW159" s="227"/>
      <c r="EX159" s="227"/>
      <c r="EY159" s="227"/>
      <c r="EZ159" s="227"/>
      <c r="FA159" s="227"/>
      <c r="FB159" s="227"/>
      <c r="FC159" s="227"/>
      <c r="FD159" s="227"/>
      <c r="FE159" s="227"/>
      <c r="FF159" s="227"/>
      <c r="FG159" s="227"/>
      <c r="FH159" s="227"/>
      <c r="FI159" s="227"/>
      <c r="FJ159" s="227"/>
      <c r="FK159" s="227"/>
      <c r="FL159" s="227"/>
      <c r="FM159" s="227"/>
      <c r="FN159" s="227"/>
      <c r="FO159" s="227"/>
      <c r="FP159" s="227"/>
      <c r="FQ159" s="227"/>
      <c r="FR159" s="227"/>
      <c r="FS159" s="227"/>
      <c r="FT159" s="227"/>
      <c r="FU159" s="227"/>
      <c r="FV159" s="227"/>
      <c r="FW159" s="227"/>
      <c r="FX159" s="227"/>
      <c r="FY159" s="227"/>
      <c r="FZ159" s="227"/>
      <c r="GA159" s="227"/>
      <c r="GB159" s="227"/>
      <c r="GC159" s="227"/>
      <c r="GD159" s="227"/>
      <c r="GE159" s="227"/>
      <c r="GF159" s="227"/>
      <c r="GG159" s="227"/>
      <c r="GH159" s="227"/>
      <c r="GI159" s="227"/>
      <c r="GJ159" s="227"/>
      <c r="GK159" s="227"/>
      <c r="GL159" s="227"/>
      <c r="GM159" s="227"/>
      <c r="GN159" s="227"/>
      <c r="GO159" s="227"/>
      <c r="GP159" s="227"/>
      <c r="GQ159" s="227"/>
      <c r="GR159" s="227"/>
      <c r="GS159" s="227"/>
      <c r="GT159" s="227"/>
      <c r="GU159" s="227"/>
      <c r="GV159" s="227"/>
      <c r="GW159" s="227"/>
      <c r="GX159" s="227"/>
      <c r="GY159" s="227"/>
      <c r="GZ159" s="227"/>
      <c r="HA159" s="227"/>
      <c r="HB159" s="227"/>
      <c r="HC159" s="227"/>
      <c r="HD159" s="227"/>
      <c r="HE159" s="227"/>
      <c r="HF159" s="227"/>
      <c r="HG159" s="227"/>
      <c r="HH159" s="227"/>
      <c r="HI159" s="227"/>
      <c r="HJ159" s="227"/>
      <c r="HK159" s="227"/>
      <c r="HL159" s="227"/>
      <c r="HM159" s="227"/>
      <c r="HN159" s="227"/>
      <c r="HO159" s="227"/>
      <c r="HP159" s="227"/>
      <c r="HQ159" s="227"/>
      <c r="HR159" s="227"/>
      <c r="HS159" s="227"/>
      <c r="HT159" s="227"/>
      <c r="HU159" s="227"/>
      <c r="HV159" s="227"/>
      <c r="HW159" s="227"/>
      <c r="HX159" s="227"/>
      <c r="HY159" s="227"/>
      <c r="HZ159" s="227"/>
      <c r="IA159" s="227"/>
      <c r="IB159" s="227"/>
      <c r="IC159" s="227"/>
      <c r="ID159" s="227"/>
      <c r="IE159" s="227"/>
      <c r="IF159" s="227"/>
      <c r="IG159" s="227"/>
      <c r="IH159" s="227"/>
      <c r="II159" s="227"/>
      <c r="IJ159" s="227"/>
      <c r="IK159" s="227"/>
      <c r="IL159" s="227"/>
      <c r="IM159" s="227"/>
      <c r="IN159" s="227"/>
      <c r="IO159" s="227"/>
      <c r="IP159" s="227"/>
      <c r="IQ159" s="227"/>
      <c r="IR159" s="227"/>
      <c r="IS159" s="227"/>
      <c r="IT159" s="227"/>
      <c r="IU159" s="227"/>
      <c r="IV159" s="227"/>
      <c r="IW159" s="227"/>
    </row>
    <row r="160" customFormat="false" ht="12.75" hidden="false" customHeight="false" outlineLevel="0" collapsed="false">
      <c r="A160" s="38" t="s">
        <v>431</v>
      </c>
      <c r="B160" s="225" t="s">
        <v>269</v>
      </c>
      <c r="C160" s="104" t="s">
        <v>425</v>
      </c>
      <c r="D160" s="105" t="n">
        <v>36739</v>
      </c>
      <c r="E160" s="105" t="n">
        <v>36769</v>
      </c>
      <c r="F160" s="38" t="s">
        <v>404</v>
      </c>
      <c r="G160" s="38" t="s">
        <v>426</v>
      </c>
      <c r="H160" s="225" t="s">
        <v>160</v>
      </c>
      <c r="I160" s="106" t="n">
        <f aca="false">2.48/I$1</f>
        <v>0.08</v>
      </c>
      <c r="J160" s="107"/>
      <c r="K160" s="107"/>
      <c r="L160" s="107"/>
      <c r="M160" s="107"/>
      <c r="N160" s="107"/>
      <c r="O160" s="107"/>
      <c r="P160" s="226" t="s">
        <v>432</v>
      </c>
      <c r="Q160" s="104" t="n">
        <v>3000</v>
      </c>
      <c r="R160" s="38" t="s">
        <v>430</v>
      </c>
      <c r="S160" s="110" t="n">
        <f aca="false">I160*$I$1*Q160</f>
        <v>7440</v>
      </c>
      <c r="T160" s="110"/>
      <c r="U160" s="112" t="n">
        <v>344243</v>
      </c>
      <c r="V160" s="112"/>
      <c r="W160" s="227"/>
      <c r="X160" s="227"/>
      <c r="Y160" s="227"/>
      <c r="Z160" s="227"/>
      <c r="AA160" s="227"/>
      <c r="AB160" s="227"/>
      <c r="AC160" s="227"/>
      <c r="AD160" s="227"/>
      <c r="AE160" s="227"/>
      <c r="AF160" s="227"/>
      <c r="AG160" s="227"/>
      <c r="AH160" s="227"/>
      <c r="AI160" s="227"/>
      <c r="AJ160" s="227"/>
      <c r="AK160" s="227"/>
      <c r="AL160" s="227"/>
      <c r="AM160" s="227"/>
      <c r="AN160" s="227"/>
      <c r="AO160" s="227"/>
      <c r="AP160" s="227"/>
      <c r="AQ160" s="227"/>
      <c r="AR160" s="227"/>
      <c r="AS160" s="227"/>
      <c r="AT160" s="227"/>
      <c r="AU160" s="227"/>
      <c r="AV160" s="227"/>
      <c r="AW160" s="227"/>
      <c r="AX160" s="227"/>
      <c r="AY160" s="227"/>
      <c r="AZ160" s="227"/>
      <c r="BA160" s="227"/>
      <c r="BB160" s="227"/>
      <c r="BC160" s="227"/>
      <c r="BD160" s="227"/>
      <c r="BE160" s="227"/>
      <c r="BF160" s="227"/>
      <c r="BG160" s="227"/>
      <c r="BH160" s="227"/>
      <c r="BI160" s="227"/>
      <c r="BJ160" s="227"/>
      <c r="BK160" s="227"/>
      <c r="BL160" s="227"/>
      <c r="BM160" s="227"/>
      <c r="BN160" s="227"/>
      <c r="BO160" s="227"/>
      <c r="BP160" s="227"/>
      <c r="BQ160" s="227"/>
      <c r="BR160" s="227"/>
      <c r="BS160" s="227"/>
      <c r="BT160" s="227"/>
      <c r="BU160" s="227"/>
      <c r="BV160" s="227"/>
      <c r="BW160" s="227"/>
      <c r="BX160" s="227"/>
      <c r="BY160" s="227"/>
      <c r="BZ160" s="227"/>
      <c r="CA160" s="227"/>
      <c r="CB160" s="227"/>
      <c r="CC160" s="227"/>
      <c r="CD160" s="227"/>
      <c r="CE160" s="227"/>
      <c r="CF160" s="227"/>
      <c r="CG160" s="227"/>
      <c r="CH160" s="227"/>
      <c r="CI160" s="227"/>
      <c r="CJ160" s="227"/>
      <c r="CK160" s="227"/>
      <c r="CL160" s="227"/>
      <c r="CM160" s="227"/>
      <c r="CN160" s="227"/>
      <c r="CO160" s="227"/>
      <c r="CP160" s="227"/>
      <c r="CQ160" s="227"/>
      <c r="CR160" s="227"/>
      <c r="CS160" s="227"/>
      <c r="CT160" s="227"/>
      <c r="CU160" s="227"/>
      <c r="CV160" s="227"/>
      <c r="CW160" s="227"/>
      <c r="CX160" s="227"/>
      <c r="CY160" s="227"/>
      <c r="CZ160" s="227"/>
      <c r="DA160" s="227"/>
      <c r="DB160" s="227"/>
      <c r="DC160" s="227"/>
      <c r="DD160" s="227"/>
      <c r="DE160" s="227"/>
      <c r="DF160" s="227"/>
      <c r="DG160" s="227"/>
      <c r="DH160" s="227"/>
      <c r="DI160" s="227"/>
      <c r="DJ160" s="227"/>
      <c r="DK160" s="227"/>
      <c r="DL160" s="227"/>
      <c r="DM160" s="227"/>
      <c r="DN160" s="227"/>
      <c r="DO160" s="227"/>
      <c r="DP160" s="227"/>
      <c r="DQ160" s="227"/>
      <c r="DR160" s="227"/>
      <c r="DS160" s="227"/>
      <c r="DT160" s="227"/>
      <c r="DU160" s="227"/>
      <c r="DV160" s="227"/>
      <c r="DW160" s="227"/>
      <c r="DX160" s="227"/>
      <c r="DY160" s="227"/>
      <c r="DZ160" s="227"/>
      <c r="EA160" s="227"/>
      <c r="EB160" s="227"/>
      <c r="EC160" s="227"/>
      <c r="ED160" s="227"/>
      <c r="EE160" s="227"/>
      <c r="EF160" s="227"/>
      <c r="EG160" s="227"/>
      <c r="EH160" s="227"/>
      <c r="EI160" s="227"/>
      <c r="EJ160" s="227"/>
      <c r="EK160" s="227"/>
      <c r="EL160" s="227"/>
      <c r="EM160" s="227"/>
      <c r="EN160" s="227"/>
      <c r="EO160" s="227"/>
      <c r="EP160" s="227"/>
      <c r="EQ160" s="227"/>
      <c r="ER160" s="227"/>
      <c r="ES160" s="227"/>
      <c r="ET160" s="227"/>
      <c r="EU160" s="227"/>
      <c r="EV160" s="227"/>
      <c r="EW160" s="227"/>
      <c r="EX160" s="227"/>
      <c r="EY160" s="227"/>
      <c r="EZ160" s="227"/>
      <c r="FA160" s="227"/>
      <c r="FB160" s="227"/>
      <c r="FC160" s="227"/>
      <c r="FD160" s="227"/>
      <c r="FE160" s="227"/>
      <c r="FF160" s="227"/>
      <c r="FG160" s="227"/>
      <c r="FH160" s="227"/>
      <c r="FI160" s="227"/>
      <c r="FJ160" s="227"/>
      <c r="FK160" s="227"/>
      <c r="FL160" s="227"/>
      <c r="FM160" s="227"/>
      <c r="FN160" s="227"/>
      <c r="FO160" s="227"/>
      <c r="FP160" s="227"/>
      <c r="FQ160" s="227"/>
      <c r="FR160" s="227"/>
      <c r="FS160" s="227"/>
      <c r="FT160" s="227"/>
      <c r="FU160" s="227"/>
      <c r="FV160" s="227"/>
      <c r="FW160" s="227"/>
      <c r="FX160" s="227"/>
      <c r="FY160" s="227"/>
      <c r="FZ160" s="227"/>
      <c r="GA160" s="227"/>
      <c r="GB160" s="227"/>
      <c r="GC160" s="227"/>
      <c r="GD160" s="227"/>
      <c r="GE160" s="227"/>
      <c r="GF160" s="227"/>
      <c r="GG160" s="227"/>
      <c r="GH160" s="227"/>
      <c r="GI160" s="227"/>
      <c r="GJ160" s="227"/>
      <c r="GK160" s="227"/>
      <c r="GL160" s="227"/>
      <c r="GM160" s="227"/>
      <c r="GN160" s="227"/>
      <c r="GO160" s="227"/>
      <c r="GP160" s="227"/>
      <c r="GQ160" s="227"/>
      <c r="GR160" s="227"/>
      <c r="GS160" s="227"/>
      <c r="GT160" s="227"/>
      <c r="GU160" s="227"/>
      <c r="GV160" s="227"/>
      <c r="GW160" s="227"/>
      <c r="GX160" s="227"/>
      <c r="GY160" s="227"/>
      <c r="GZ160" s="227"/>
      <c r="HA160" s="227"/>
      <c r="HB160" s="227"/>
      <c r="HC160" s="227"/>
      <c r="HD160" s="227"/>
      <c r="HE160" s="227"/>
      <c r="HF160" s="227"/>
      <c r="HG160" s="227"/>
      <c r="HH160" s="227"/>
      <c r="HI160" s="227"/>
      <c r="HJ160" s="227"/>
      <c r="HK160" s="227"/>
      <c r="HL160" s="227"/>
      <c r="HM160" s="227"/>
      <c r="HN160" s="227"/>
      <c r="HO160" s="227"/>
      <c r="HP160" s="227"/>
      <c r="HQ160" s="227"/>
      <c r="HR160" s="227"/>
      <c r="HS160" s="227"/>
      <c r="HT160" s="227"/>
      <c r="HU160" s="227"/>
      <c r="HV160" s="227"/>
      <c r="HW160" s="227"/>
      <c r="HX160" s="227"/>
      <c r="HY160" s="227"/>
      <c r="HZ160" s="227"/>
      <c r="IA160" s="227"/>
      <c r="IB160" s="227"/>
      <c r="IC160" s="227"/>
      <c r="ID160" s="227"/>
      <c r="IE160" s="227"/>
      <c r="IF160" s="227"/>
      <c r="IG160" s="227"/>
      <c r="IH160" s="227"/>
      <c r="II160" s="227"/>
      <c r="IJ160" s="227"/>
      <c r="IK160" s="227"/>
      <c r="IL160" s="227"/>
      <c r="IM160" s="227"/>
      <c r="IN160" s="227"/>
      <c r="IO160" s="227"/>
      <c r="IP160" s="227"/>
      <c r="IQ160" s="227"/>
      <c r="IR160" s="227"/>
      <c r="IS160" s="227"/>
      <c r="IT160" s="227"/>
      <c r="IU160" s="227"/>
      <c r="IV160" s="227"/>
      <c r="IW160" s="227"/>
    </row>
    <row r="161" customFormat="false" ht="12.75" hidden="false" customHeight="false" outlineLevel="0" collapsed="false">
      <c r="A161" s="42" t="s">
        <v>144</v>
      </c>
      <c r="B161" s="228" t="s">
        <v>269</v>
      </c>
      <c r="C161" s="43" t="s">
        <v>425</v>
      </c>
      <c r="D161" s="76" t="s">
        <v>433</v>
      </c>
      <c r="E161" s="76" t="n">
        <v>36830</v>
      </c>
      <c r="F161" s="42" t="s">
        <v>421</v>
      </c>
      <c r="G161" s="42" t="s">
        <v>426</v>
      </c>
      <c r="H161" s="228" t="s">
        <v>160</v>
      </c>
      <c r="I161" s="77" t="n">
        <f aca="false">2.48/I$1</f>
        <v>0.08</v>
      </c>
      <c r="J161" s="78"/>
      <c r="K161" s="78"/>
      <c r="L161" s="78"/>
      <c r="M161" s="78"/>
      <c r="N161" s="78"/>
      <c r="O161" s="78"/>
      <c r="P161" s="229"/>
      <c r="Q161" s="43" t="n">
        <v>3000</v>
      </c>
      <c r="R161" s="42" t="s">
        <v>434</v>
      </c>
      <c r="S161" s="81" t="s">
        <v>435</v>
      </c>
      <c r="T161" s="81"/>
      <c r="U161" s="83"/>
      <c r="V161" s="83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  <c r="AL161" s="230"/>
      <c r="AM161" s="230"/>
      <c r="AN161" s="230"/>
      <c r="AO161" s="230"/>
      <c r="AP161" s="230"/>
      <c r="AQ161" s="230"/>
      <c r="AR161" s="230"/>
      <c r="AS161" s="230"/>
      <c r="AT161" s="230"/>
      <c r="AU161" s="230"/>
      <c r="AV161" s="230"/>
      <c r="AW161" s="230"/>
      <c r="AX161" s="230"/>
      <c r="AY161" s="230"/>
      <c r="AZ161" s="230"/>
      <c r="BA161" s="230"/>
      <c r="BB161" s="230"/>
      <c r="BC161" s="230"/>
      <c r="BD161" s="230"/>
      <c r="BE161" s="230"/>
      <c r="BF161" s="230"/>
      <c r="BG161" s="230"/>
      <c r="BH161" s="230"/>
      <c r="BI161" s="230"/>
      <c r="BJ161" s="230"/>
      <c r="BK161" s="230"/>
      <c r="BL161" s="230"/>
      <c r="BM161" s="230"/>
      <c r="BN161" s="230"/>
      <c r="BO161" s="230"/>
      <c r="BP161" s="230"/>
      <c r="BQ161" s="230"/>
      <c r="BR161" s="230"/>
      <c r="BS161" s="230"/>
      <c r="BT161" s="230"/>
      <c r="BU161" s="230"/>
      <c r="BV161" s="230"/>
      <c r="BW161" s="230"/>
      <c r="BX161" s="230"/>
      <c r="BY161" s="230"/>
      <c r="BZ161" s="230"/>
      <c r="CA161" s="230"/>
      <c r="CB161" s="230"/>
      <c r="CC161" s="230"/>
      <c r="CD161" s="230"/>
      <c r="CE161" s="230"/>
      <c r="CF161" s="230"/>
      <c r="CG161" s="230"/>
      <c r="CH161" s="230"/>
      <c r="CI161" s="230"/>
      <c r="CJ161" s="230"/>
      <c r="CK161" s="230"/>
      <c r="CL161" s="230"/>
      <c r="CM161" s="230"/>
      <c r="CN161" s="230"/>
      <c r="CO161" s="230"/>
      <c r="CP161" s="230"/>
      <c r="CQ161" s="230"/>
      <c r="CR161" s="230"/>
      <c r="CS161" s="230"/>
      <c r="CT161" s="230"/>
      <c r="CU161" s="230"/>
      <c r="CV161" s="230"/>
      <c r="CW161" s="230"/>
      <c r="CX161" s="230"/>
      <c r="CY161" s="230"/>
      <c r="CZ161" s="230"/>
      <c r="DA161" s="230"/>
      <c r="DB161" s="230"/>
      <c r="DC161" s="230"/>
      <c r="DD161" s="230"/>
      <c r="DE161" s="230"/>
      <c r="DF161" s="230"/>
      <c r="DG161" s="230"/>
      <c r="DH161" s="230"/>
      <c r="DI161" s="230"/>
      <c r="DJ161" s="230"/>
      <c r="DK161" s="230"/>
      <c r="DL161" s="230"/>
      <c r="DM161" s="230"/>
      <c r="DN161" s="230"/>
      <c r="DO161" s="230"/>
      <c r="DP161" s="230"/>
      <c r="DQ161" s="230"/>
      <c r="DR161" s="230"/>
      <c r="DS161" s="230"/>
      <c r="DT161" s="230"/>
      <c r="DU161" s="230"/>
      <c r="DV161" s="230"/>
      <c r="DW161" s="230"/>
      <c r="DX161" s="230"/>
      <c r="DY161" s="230"/>
      <c r="DZ161" s="230"/>
      <c r="EA161" s="230"/>
      <c r="EB161" s="230"/>
      <c r="EC161" s="230"/>
      <c r="ED161" s="230"/>
      <c r="EE161" s="230"/>
      <c r="EF161" s="230"/>
      <c r="EG161" s="230"/>
      <c r="EH161" s="230"/>
      <c r="EI161" s="230"/>
      <c r="EJ161" s="230"/>
      <c r="EK161" s="230"/>
      <c r="EL161" s="230"/>
      <c r="EM161" s="230"/>
      <c r="EN161" s="230"/>
      <c r="EO161" s="230"/>
      <c r="EP161" s="230"/>
      <c r="EQ161" s="230"/>
      <c r="ER161" s="230"/>
      <c r="ES161" s="230"/>
      <c r="ET161" s="230"/>
      <c r="EU161" s="230"/>
      <c r="EV161" s="230"/>
      <c r="EW161" s="230"/>
      <c r="EX161" s="230"/>
      <c r="EY161" s="230"/>
      <c r="EZ161" s="230"/>
      <c r="FA161" s="230"/>
      <c r="FB161" s="230"/>
      <c r="FC161" s="230"/>
      <c r="FD161" s="230"/>
      <c r="FE161" s="230"/>
      <c r="FF161" s="230"/>
      <c r="FG161" s="230"/>
      <c r="FH161" s="230"/>
      <c r="FI161" s="230"/>
      <c r="FJ161" s="230"/>
      <c r="FK161" s="230"/>
      <c r="FL161" s="230"/>
      <c r="FM161" s="230"/>
      <c r="FN161" s="230"/>
      <c r="FO161" s="230"/>
      <c r="FP161" s="230"/>
      <c r="FQ161" s="230"/>
      <c r="FR161" s="230"/>
      <c r="FS161" s="230"/>
      <c r="FT161" s="230"/>
      <c r="FU161" s="230"/>
      <c r="FV161" s="230"/>
      <c r="FW161" s="230"/>
      <c r="FX161" s="230"/>
      <c r="FY161" s="230"/>
      <c r="FZ161" s="230"/>
      <c r="GA161" s="230"/>
      <c r="GB161" s="230"/>
      <c r="GC161" s="230"/>
      <c r="GD161" s="230"/>
      <c r="GE161" s="230"/>
      <c r="GF161" s="230"/>
      <c r="GG161" s="230"/>
      <c r="GH161" s="230"/>
      <c r="GI161" s="230"/>
      <c r="GJ161" s="230"/>
      <c r="GK161" s="230"/>
      <c r="GL161" s="230"/>
      <c r="GM161" s="230"/>
      <c r="GN161" s="230"/>
      <c r="GO161" s="230"/>
      <c r="GP161" s="230"/>
      <c r="GQ161" s="230"/>
      <c r="GR161" s="230"/>
      <c r="GS161" s="230"/>
      <c r="GT161" s="230"/>
      <c r="GU161" s="230"/>
      <c r="GV161" s="230"/>
      <c r="GW161" s="230"/>
      <c r="GX161" s="230"/>
      <c r="GY161" s="230"/>
      <c r="GZ161" s="230"/>
      <c r="HA161" s="230"/>
      <c r="HB161" s="230"/>
      <c r="HC161" s="230"/>
      <c r="HD161" s="230"/>
      <c r="HE161" s="230"/>
      <c r="HF161" s="230"/>
      <c r="HG161" s="230"/>
      <c r="HH161" s="230"/>
      <c r="HI161" s="230"/>
      <c r="HJ161" s="230"/>
      <c r="HK161" s="230"/>
      <c r="HL161" s="230"/>
      <c r="HM161" s="230"/>
      <c r="HN161" s="230"/>
      <c r="HO161" s="230"/>
      <c r="HP161" s="230"/>
      <c r="HQ161" s="230"/>
      <c r="HR161" s="230"/>
      <c r="HS161" s="230"/>
      <c r="HT161" s="230"/>
      <c r="HU161" s="230"/>
      <c r="HV161" s="230"/>
      <c r="HW161" s="230"/>
      <c r="HX161" s="230"/>
      <c r="HY161" s="230"/>
      <c r="HZ161" s="230"/>
      <c r="IA161" s="230"/>
      <c r="IB161" s="230"/>
      <c r="IC161" s="230"/>
      <c r="ID161" s="230"/>
      <c r="IE161" s="230"/>
      <c r="IF161" s="230"/>
      <c r="IG161" s="230"/>
      <c r="IH161" s="230"/>
      <c r="II161" s="230"/>
      <c r="IJ161" s="230"/>
      <c r="IK161" s="230"/>
      <c r="IL161" s="230"/>
      <c r="IM161" s="230"/>
      <c r="IN161" s="230"/>
      <c r="IO161" s="230"/>
      <c r="IP161" s="230"/>
      <c r="IQ161" s="230"/>
      <c r="IR161" s="230"/>
      <c r="IS161" s="230"/>
      <c r="IT161" s="230"/>
      <c r="IU161" s="230"/>
      <c r="IV161" s="230"/>
      <c r="IW161" s="230"/>
    </row>
    <row r="162" customFormat="false" ht="12.75" hidden="false" customHeight="false" outlineLevel="0" collapsed="false">
      <c r="A162" s="38" t="s">
        <v>144</v>
      </c>
      <c r="B162" s="225" t="s">
        <v>269</v>
      </c>
      <c r="C162" s="104" t="s">
        <v>238</v>
      </c>
      <c r="D162" s="105" t="n">
        <v>36755</v>
      </c>
      <c r="E162" s="105" t="n">
        <v>36769</v>
      </c>
      <c r="F162" s="38" t="s">
        <v>436</v>
      </c>
      <c r="G162" s="38" t="s">
        <v>437</v>
      </c>
      <c r="H162" s="225" t="s">
        <v>154</v>
      </c>
      <c r="I162" s="106" t="n">
        <f aca="false">0.152/31</f>
        <v>0.00490322580645161</v>
      </c>
      <c r="J162" s="107"/>
      <c r="K162" s="107"/>
      <c r="L162" s="107"/>
      <c r="M162" s="107"/>
      <c r="N162" s="107"/>
      <c r="O162" s="107"/>
      <c r="P162" s="226" t="s">
        <v>438</v>
      </c>
      <c r="Q162" s="104" t="n">
        <v>6583</v>
      </c>
      <c r="R162" s="38" t="s">
        <v>439</v>
      </c>
      <c r="S162" s="110" t="n">
        <f aca="false">+Q162*I162*(31-17+1)</f>
        <v>484.169032258065</v>
      </c>
      <c r="T162" s="110"/>
      <c r="U162" s="112" t="n">
        <v>367802</v>
      </c>
      <c r="V162" s="112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7"/>
      <c r="AH162" s="227"/>
      <c r="AI162" s="227"/>
      <c r="AJ162" s="227"/>
      <c r="AK162" s="227"/>
      <c r="AL162" s="227"/>
      <c r="AM162" s="227"/>
      <c r="AN162" s="227"/>
      <c r="AO162" s="227"/>
      <c r="AP162" s="227"/>
      <c r="AQ162" s="227"/>
      <c r="AR162" s="227"/>
      <c r="AS162" s="227"/>
      <c r="AT162" s="227"/>
      <c r="AU162" s="227"/>
      <c r="AV162" s="227"/>
      <c r="AW162" s="227"/>
      <c r="AX162" s="227"/>
      <c r="AY162" s="227"/>
      <c r="AZ162" s="227"/>
      <c r="BA162" s="227"/>
      <c r="BB162" s="227"/>
      <c r="BC162" s="227"/>
      <c r="BD162" s="227"/>
      <c r="BE162" s="227"/>
      <c r="BF162" s="227"/>
      <c r="BG162" s="227"/>
      <c r="BH162" s="227"/>
      <c r="BI162" s="227"/>
      <c r="BJ162" s="227"/>
      <c r="BK162" s="227"/>
      <c r="BL162" s="227"/>
      <c r="BM162" s="227"/>
      <c r="BN162" s="227"/>
      <c r="BO162" s="227"/>
      <c r="BP162" s="227"/>
      <c r="BQ162" s="227"/>
      <c r="BR162" s="227"/>
      <c r="BS162" s="227"/>
      <c r="BT162" s="227"/>
      <c r="BU162" s="227"/>
      <c r="BV162" s="227"/>
      <c r="BW162" s="227"/>
      <c r="BX162" s="227"/>
      <c r="BY162" s="227"/>
      <c r="BZ162" s="227"/>
      <c r="CA162" s="227"/>
      <c r="CB162" s="227"/>
      <c r="CC162" s="227"/>
      <c r="CD162" s="227"/>
      <c r="CE162" s="227"/>
      <c r="CF162" s="227"/>
      <c r="CG162" s="227"/>
      <c r="CH162" s="227"/>
      <c r="CI162" s="227"/>
      <c r="CJ162" s="227"/>
      <c r="CK162" s="227"/>
      <c r="CL162" s="227"/>
      <c r="CM162" s="227"/>
      <c r="CN162" s="227"/>
      <c r="CO162" s="227"/>
      <c r="CP162" s="227"/>
      <c r="CQ162" s="227"/>
      <c r="CR162" s="227"/>
      <c r="CS162" s="227"/>
      <c r="CT162" s="227"/>
      <c r="CU162" s="227"/>
      <c r="CV162" s="227"/>
      <c r="CW162" s="227"/>
      <c r="CX162" s="227"/>
      <c r="CY162" s="227"/>
      <c r="CZ162" s="227"/>
      <c r="DA162" s="227"/>
      <c r="DB162" s="227"/>
      <c r="DC162" s="227"/>
      <c r="DD162" s="227"/>
      <c r="DE162" s="227"/>
      <c r="DF162" s="227"/>
      <c r="DG162" s="227"/>
      <c r="DH162" s="227"/>
      <c r="DI162" s="227"/>
      <c r="DJ162" s="227"/>
      <c r="DK162" s="227"/>
      <c r="DL162" s="227"/>
      <c r="DM162" s="227"/>
      <c r="DN162" s="227"/>
      <c r="DO162" s="227"/>
      <c r="DP162" s="227"/>
      <c r="DQ162" s="227"/>
      <c r="DR162" s="227"/>
      <c r="DS162" s="227"/>
      <c r="DT162" s="227"/>
      <c r="DU162" s="227"/>
      <c r="DV162" s="227"/>
      <c r="DW162" s="227"/>
      <c r="DX162" s="227"/>
      <c r="DY162" s="227"/>
      <c r="DZ162" s="227"/>
      <c r="EA162" s="227"/>
      <c r="EB162" s="227"/>
      <c r="EC162" s="227"/>
      <c r="ED162" s="227"/>
      <c r="EE162" s="227"/>
      <c r="EF162" s="227"/>
      <c r="EG162" s="227"/>
      <c r="EH162" s="227"/>
      <c r="EI162" s="227"/>
      <c r="EJ162" s="227"/>
      <c r="EK162" s="227"/>
      <c r="EL162" s="227"/>
      <c r="EM162" s="227"/>
      <c r="EN162" s="227"/>
      <c r="EO162" s="227"/>
      <c r="EP162" s="227"/>
      <c r="EQ162" s="227"/>
      <c r="ER162" s="227"/>
      <c r="ES162" s="227"/>
      <c r="ET162" s="227"/>
      <c r="EU162" s="227"/>
      <c r="EV162" s="227"/>
      <c r="EW162" s="227"/>
      <c r="EX162" s="227"/>
      <c r="EY162" s="227"/>
      <c r="EZ162" s="227"/>
      <c r="FA162" s="227"/>
      <c r="FB162" s="227"/>
      <c r="FC162" s="227"/>
      <c r="FD162" s="227"/>
      <c r="FE162" s="227"/>
      <c r="FF162" s="227"/>
      <c r="FG162" s="227"/>
      <c r="FH162" s="227"/>
      <c r="FI162" s="227"/>
      <c r="FJ162" s="227"/>
      <c r="FK162" s="227"/>
      <c r="FL162" s="227"/>
      <c r="FM162" s="227"/>
      <c r="FN162" s="227"/>
      <c r="FO162" s="227"/>
      <c r="FP162" s="227"/>
      <c r="FQ162" s="227"/>
      <c r="FR162" s="227"/>
      <c r="FS162" s="227"/>
      <c r="FT162" s="227"/>
      <c r="FU162" s="227"/>
      <c r="FV162" s="227"/>
      <c r="FW162" s="227"/>
      <c r="FX162" s="227"/>
      <c r="FY162" s="227"/>
      <c r="FZ162" s="227"/>
      <c r="GA162" s="227"/>
      <c r="GB162" s="227"/>
      <c r="GC162" s="227"/>
      <c r="GD162" s="227"/>
      <c r="GE162" s="227"/>
      <c r="GF162" s="227"/>
      <c r="GG162" s="227"/>
      <c r="GH162" s="227"/>
      <c r="GI162" s="227"/>
      <c r="GJ162" s="227"/>
      <c r="GK162" s="227"/>
      <c r="GL162" s="227"/>
      <c r="GM162" s="227"/>
      <c r="GN162" s="227"/>
      <c r="GO162" s="227"/>
      <c r="GP162" s="227"/>
      <c r="GQ162" s="227"/>
      <c r="GR162" s="227"/>
      <c r="GS162" s="227"/>
      <c r="GT162" s="227"/>
      <c r="GU162" s="227"/>
      <c r="GV162" s="227"/>
      <c r="GW162" s="227"/>
      <c r="GX162" s="227"/>
      <c r="GY162" s="227"/>
      <c r="GZ162" s="227"/>
      <c r="HA162" s="227"/>
      <c r="HB162" s="227"/>
      <c r="HC162" s="227"/>
      <c r="HD162" s="227"/>
      <c r="HE162" s="227"/>
      <c r="HF162" s="227"/>
      <c r="HG162" s="227"/>
      <c r="HH162" s="227"/>
      <c r="HI162" s="227"/>
      <c r="HJ162" s="227"/>
      <c r="HK162" s="227"/>
      <c r="HL162" s="227"/>
      <c r="HM162" s="227"/>
      <c r="HN162" s="227"/>
      <c r="HO162" s="227"/>
      <c r="HP162" s="227"/>
      <c r="HQ162" s="227"/>
      <c r="HR162" s="227"/>
      <c r="HS162" s="227"/>
      <c r="HT162" s="227"/>
      <c r="HU162" s="227"/>
      <c r="HV162" s="227"/>
      <c r="HW162" s="227"/>
      <c r="HX162" s="227"/>
      <c r="HY162" s="227"/>
      <c r="HZ162" s="227"/>
      <c r="IA162" s="227"/>
      <c r="IB162" s="227"/>
      <c r="IC162" s="227"/>
      <c r="ID162" s="227"/>
      <c r="IE162" s="227"/>
      <c r="IF162" s="227"/>
      <c r="IG162" s="227"/>
      <c r="IH162" s="227"/>
      <c r="II162" s="227"/>
      <c r="IJ162" s="227"/>
      <c r="IK162" s="227"/>
      <c r="IL162" s="227"/>
      <c r="IM162" s="227"/>
      <c r="IN162" s="227"/>
      <c r="IO162" s="227"/>
      <c r="IP162" s="227"/>
      <c r="IQ162" s="227"/>
      <c r="IR162" s="227"/>
      <c r="IS162" s="227"/>
      <c r="IT162" s="227"/>
      <c r="IU162" s="227"/>
      <c r="IV162" s="227"/>
      <c r="IW162" s="227"/>
    </row>
    <row r="163" customFormat="false" ht="12.75" hidden="false" customHeight="false" outlineLevel="0" collapsed="false">
      <c r="A163" s="38" t="s">
        <v>144</v>
      </c>
      <c r="B163" s="225" t="s">
        <v>269</v>
      </c>
      <c r="C163" s="104" t="s">
        <v>238</v>
      </c>
      <c r="D163" s="105" t="n">
        <v>36741</v>
      </c>
      <c r="E163" s="105" t="n">
        <v>36769</v>
      </c>
      <c r="F163" s="38" t="s">
        <v>440</v>
      </c>
      <c r="G163" s="38" t="s">
        <v>437</v>
      </c>
      <c r="H163" s="225" t="s">
        <v>154</v>
      </c>
      <c r="I163" s="106" t="n">
        <f aca="false">0.152/30</f>
        <v>0.00506666666666667</v>
      </c>
      <c r="J163" s="107"/>
      <c r="K163" s="107"/>
      <c r="L163" s="107"/>
      <c r="M163" s="107"/>
      <c r="N163" s="107"/>
      <c r="O163" s="107"/>
      <c r="P163" s="226" t="s">
        <v>441</v>
      </c>
      <c r="Q163" s="104" t="n">
        <v>4476</v>
      </c>
      <c r="R163" s="38" t="s">
        <v>442</v>
      </c>
      <c r="S163" s="110" t="n">
        <f aca="false">+Q163*I163*29</f>
        <v>657.6736</v>
      </c>
      <c r="T163" s="110"/>
      <c r="U163" s="112" t="n">
        <v>350531</v>
      </c>
      <c r="V163" s="112"/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7"/>
      <c r="AG163" s="227"/>
      <c r="AH163" s="227"/>
      <c r="AI163" s="227"/>
      <c r="AJ163" s="227"/>
      <c r="AK163" s="227"/>
      <c r="AL163" s="227"/>
      <c r="AM163" s="227"/>
      <c r="AN163" s="227"/>
      <c r="AO163" s="227"/>
      <c r="AP163" s="227"/>
      <c r="AQ163" s="227"/>
      <c r="AR163" s="227"/>
      <c r="AS163" s="227"/>
      <c r="AT163" s="227"/>
      <c r="AU163" s="227"/>
      <c r="AV163" s="227"/>
      <c r="AW163" s="227"/>
      <c r="AX163" s="227"/>
      <c r="AY163" s="227"/>
      <c r="AZ163" s="227"/>
      <c r="BA163" s="227"/>
      <c r="BB163" s="227"/>
      <c r="BC163" s="227"/>
      <c r="BD163" s="227"/>
      <c r="BE163" s="227"/>
      <c r="BF163" s="227"/>
      <c r="BG163" s="227"/>
      <c r="BH163" s="227"/>
      <c r="BI163" s="227"/>
      <c r="BJ163" s="227"/>
      <c r="BK163" s="227"/>
      <c r="BL163" s="227"/>
      <c r="BM163" s="227"/>
      <c r="BN163" s="227"/>
      <c r="BO163" s="227"/>
      <c r="BP163" s="227"/>
      <c r="BQ163" s="227"/>
      <c r="BR163" s="227"/>
      <c r="BS163" s="227"/>
      <c r="BT163" s="227"/>
      <c r="BU163" s="227"/>
      <c r="BV163" s="227"/>
      <c r="BW163" s="227"/>
      <c r="BX163" s="227"/>
      <c r="BY163" s="227"/>
      <c r="BZ163" s="227"/>
      <c r="CA163" s="227"/>
      <c r="CB163" s="227"/>
      <c r="CC163" s="227"/>
      <c r="CD163" s="227"/>
      <c r="CE163" s="227"/>
      <c r="CF163" s="227"/>
      <c r="CG163" s="227"/>
      <c r="CH163" s="227"/>
      <c r="CI163" s="227"/>
      <c r="CJ163" s="227"/>
      <c r="CK163" s="227"/>
      <c r="CL163" s="227"/>
      <c r="CM163" s="227"/>
      <c r="CN163" s="227"/>
      <c r="CO163" s="227"/>
      <c r="CP163" s="227"/>
      <c r="CQ163" s="227"/>
      <c r="CR163" s="227"/>
      <c r="CS163" s="227"/>
      <c r="CT163" s="227"/>
      <c r="CU163" s="227"/>
      <c r="CV163" s="227"/>
      <c r="CW163" s="227"/>
      <c r="CX163" s="227"/>
      <c r="CY163" s="227"/>
      <c r="CZ163" s="227"/>
      <c r="DA163" s="227"/>
      <c r="DB163" s="227"/>
      <c r="DC163" s="227"/>
      <c r="DD163" s="227"/>
      <c r="DE163" s="227"/>
      <c r="DF163" s="227"/>
      <c r="DG163" s="227"/>
      <c r="DH163" s="227"/>
      <c r="DI163" s="227"/>
      <c r="DJ163" s="227"/>
      <c r="DK163" s="227"/>
      <c r="DL163" s="227"/>
      <c r="DM163" s="227"/>
      <c r="DN163" s="227"/>
      <c r="DO163" s="227"/>
      <c r="DP163" s="227"/>
      <c r="DQ163" s="227"/>
      <c r="DR163" s="227"/>
      <c r="DS163" s="227"/>
      <c r="DT163" s="227"/>
      <c r="DU163" s="227"/>
      <c r="DV163" s="227"/>
      <c r="DW163" s="227"/>
      <c r="DX163" s="227"/>
      <c r="DY163" s="227"/>
      <c r="DZ163" s="227"/>
      <c r="EA163" s="227"/>
      <c r="EB163" s="227"/>
      <c r="EC163" s="227"/>
      <c r="ED163" s="227"/>
      <c r="EE163" s="227"/>
      <c r="EF163" s="227"/>
      <c r="EG163" s="227"/>
      <c r="EH163" s="227"/>
      <c r="EI163" s="227"/>
      <c r="EJ163" s="227"/>
      <c r="EK163" s="227"/>
      <c r="EL163" s="227"/>
      <c r="EM163" s="227"/>
      <c r="EN163" s="227"/>
      <c r="EO163" s="227"/>
      <c r="EP163" s="227"/>
      <c r="EQ163" s="227"/>
      <c r="ER163" s="227"/>
      <c r="ES163" s="227"/>
      <c r="ET163" s="227"/>
      <c r="EU163" s="227"/>
      <c r="EV163" s="227"/>
      <c r="EW163" s="227"/>
      <c r="EX163" s="227"/>
      <c r="EY163" s="227"/>
      <c r="EZ163" s="227"/>
      <c r="FA163" s="227"/>
      <c r="FB163" s="227"/>
      <c r="FC163" s="227"/>
      <c r="FD163" s="227"/>
      <c r="FE163" s="227"/>
      <c r="FF163" s="227"/>
      <c r="FG163" s="227"/>
      <c r="FH163" s="227"/>
      <c r="FI163" s="227"/>
      <c r="FJ163" s="227"/>
      <c r="FK163" s="227"/>
      <c r="FL163" s="227"/>
      <c r="FM163" s="227"/>
      <c r="FN163" s="227"/>
      <c r="FO163" s="227"/>
      <c r="FP163" s="227"/>
      <c r="FQ163" s="227"/>
      <c r="FR163" s="227"/>
      <c r="FS163" s="227"/>
      <c r="FT163" s="227"/>
      <c r="FU163" s="227"/>
      <c r="FV163" s="227"/>
      <c r="FW163" s="227"/>
      <c r="FX163" s="227"/>
      <c r="FY163" s="227"/>
      <c r="FZ163" s="227"/>
      <c r="GA163" s="227"/>
      <c r="GB163" s="227"/>
      <c r="GC163" s="227"/>
      <c r="GD163" s="227"/>
      <c r="GE163" s="227"/>
      <c r="GF163" s="227"/>
      <c r="GG163" s="227"/>
      <c r="GH163" s="227"/>
      <c r="GI163" s="227"/>
      <c r="GJ163" s="227"/>
      <c r="GK163" s="227"/>
      <c r="GL163" s="227"/>
      <c r="GM163" s="227"/>
      <c r="GN163" s="227"/>
      <c r="GO163" s="227"/>
      <c r="GP163" s="227"/>
      <c r="GQ163" s="227"/>
      <c r="GR163" s="227"/>
      <c r="GS163" s="227"/>
      <c r="GT163" s="227"/>
      <c r="GU163" s="227"/>
      <c r="GV163" s="227"/>
      <c r="GW163" s="227"/>
      <c r="GX163" s="227"/>
      <c r="GY163" s="227"/>
      <c r="GZ163" s="227"/>
      <c r="HA163" s="227"/>
      <c r="HB163" s="227"/>
      <c r="HC163" s="227"/>
      <c r="HD163" s="227"/>
      <c r="HE163" s="227"/>
      <c r="HF163" s="227"/>
      <c r="HG163" s="227"/>
      <c r="HH163" s="227"/>
      <c r="HI163" s="227"/>
      <c r="HJ163" s="227"/>
      <c r="HK163" s="227"/>
      <c r="HL163" s="227"/>
      <c r="HM163" s="227"/>
      <c r="HN163" s="227"/>
      <c r="HO163" s="227"/>
      <c r="HP163" s="227"/>
      <c r="HQ163" s="227"/>
      <c r="HR163" s="227"/>
      <c r="HS163" s="227"/>
      <c r="HT163" s="227"/>
      <c r="HU163" s="227"/>
      <c r="HV163" s="227"/>
      <c r="HW163" s="227"/>
      <c r="HX163" s="227"/>
      <c r="HY163" s="227"/>
      <c r="HZ163" s="227"/>
      <c r="IA163" s="227"/>
      <c r="IB163" s="227"/>
      <c r="IC163" s="227"/>
      <c r="ID163" s="227"/>
      <c r="IE163" s="227"/>
      <c r="IF163" s="227"/>
      <c r="IG163" s="227"/>
      <c r="IH163" s="227"/>
      <c r="II163" s="227"/>
      <c r="IJ163" s="227"/>
      <c r="IK163" s="227"/>
      <c r="IL163" s="227"/>
      <c r="IM163" s="227"/>
      <c r="IN163" s="227"/>
      <c r="IO163" s="227"/>
      <c r="IP163" s="227"/>
      <c r="IQ163" s="227"/>
      <c r="IR163" s="227"/>
      <c r="IS163" s="227"/>
      <c r="IT163" s="227"/>
      <c r="IU163" s="227"/>
      <c r="IV163" s="227"/>
      <c r="IW163" s="227"/>
    </row>
    <row r="164" customFormat="false" ht="12.75" hidden="false" customHeight="false" outlineLevel="0" collapsed="false">
      <c r="A164" s="38" t="s">
        <v>144</v>
      </c>
      <c r="B164" s="225" t="s">
        <v>269</v>
      </c>
      <c r="C164" s="104" t="s">
        <v>443</v>
      </c>
      <c r="D164" s="105" t="n">
        <v>36739</v>
      </c>
      <c r="E164" s="105" t="n">
        <v>36769</v>
      </c>
      <c r="F164" s="38" t="s">
        <v>444</v>
      </c>
      <c r="G164" s="38" t="s">
        <v>445</v>
      </c>
      <c r="H164" s="225" t="s">
        <v>154</v>
      </c>
      <c r="I164" s="106" t="n">
        <f aca="false">0.93/I$1</f>
        <v>0.03</v>
      </c>
      <c r="J164" s="107"/>
      <c r="K164" s="107"/>
      <c r="L164" s="107"/>
      <c r="M164" s="107"/>
      <c r="N164" s="107"/>
      <c r="O164" s="107"/>
      <c r="P164" s="226" t="s">
        <v>446</v>
      </c>
      <c r="Q164" s="104" t="n">
        <v>2257</v>
      </c>
      <c r="R164" s="38" t="s">
        <v>447</v>
      </c>
      <c r="S164" s="110" t="n">
        <f aca="false">I164*$I$1*Q164</f>
        <v>2099.01</v>
      </c>
      <c r="T164" s="110"/>
      <c r="U164" s="112" t="n">
        <v>347503</v>
      </c>
      <c r="V164" s="112"/>
      <c r="W164" s="227"/>
      <c r="X164" s="227"/>
      <c r="Y164" s="227"/>
      <c r="Z164" s="227"/>
      <c r="AA164" s="227"/>
      <c r="AB164" s="227"/>
      <c r="AC164" s="227"/>
      <c r="AD164" s="227"/>
      <c r="AE164" s="227"/>
      <c r="AF164" s="227"/>
      <c r="AG164" s="227"/>
      <c r="AH164" s="227"/>
      <c r="AI164" s="227"/>
      <c r="AJ164" s="227"/>
      <c r="AK164" s="227"/>
      <c r="AL164" s="227"/>
      <c r="AM164" s="227"/>
      <c r="AN164" s="227"/>
      <c r="AO164" s="227"/>
      <c r="AP164" s="227"/>
      <c r="AQ164" s="227"/>
      <c r="AR164" s="227"/>
      <c r="AS164" s="227"/>
      <c r="AT164" s="227"/>
      <c r="AU164" s="227"/>
      <c r="AV164" s="227"/>
      <c r="AW164" s="227"/>
      <c r="AX164" s="227"/>
      <c r="AY164" s="227"/>
      <c r="AZ164" s="227"/>
      <c r="BA164" s="227"/>
      <c r="BB164" s="227"/>
      <c r="BC164" s="227"/>
      <c r="BD164" s="227"/>
      <c r="BE164" s="227"/>
      <c r="BF164" s="227"/>
      <c r="BG164" s="227"/>
      <c r="BH164" s="227"/>
      <c r="BI164" s="227"/>
      <c r="BJ164" s="227"/>
      <c r="BK164" s="227"/>
      <c r="BL164" s="227"/>
      <c r="BM164" s="227"/>
      <c r="BN164" s="227"/>
      <c r="BO164" s="227"/>
      <c r="BP164" s="227"/>
      <c r="BQ164" s="227"/>
      <c r="BR164" s="227"/>
      <c r="BS164" s="227"/>
      <c r="BT164" s="227"/>
      <c r="BU164" s="227"/>
      <c r="BV164" s="227"/>
      <c r="BW164" s="227"/>
      <c r="BX164" s="227"/>
      <c r="BY164" s="227"/>
      <c r="BZ164" s="227"/>
      <c r="CA164" s="227"/>
      <c r="CB164" s="227"/>
      <c r="CC164" s="227"/>
      <c r="CD164" s="227"/>
      <c r="CE164" s="227"/>
      <c r="CF164" s="227"/>
      <c r="CG164" s="227"/>
      <c r="CH164" s="227"/>
      <c r="CI164" s="227"/>
      <c r="CJ164" s="227"/>
      <c r="CK164" s="227"/>
      <c r="CL164" s="227"/>
      <c r="CM164" s="227"/>
      <c r="CN164" s="227"/>
      <c r="CO164" s="227"/>
      <c r="CP164" s="227"/>
      <c r="CQ164" s="227"/>
      <c r="CR164" s="227"/>
      <c r="CS164" s="227"/>
      <c r="CT164" s="227"/>
      <c r="CU164" s="227"/>
      <c r="CV164" s="227"/>
      <c r="CW164" s="227"/>
      <c r="CX164" s="227"/>
      <c r="CY164" s="227"/>
      <c r="CZ164" s="227"/>
      <c r="DA164" s="227"/>
      <c r="DB164" s="227"/>
      <c r="DC164" s="227"/>
      <c r="DD164" s="227"/>
      <c r="DE164" s="227"/>
      <c r="DF164" s="227"/>
      <c r="DG164" s="227"/>
      <c r="DH164" s="227"/>
      <c r="DI164" s="227"/>
      <c r="DJ164" s="227"/>
      <c r="DK164" s="227"/>
      <c r="DL164" s="227"/>
      <c r="DM164" s="227"/>
      <c r="DN164" s="227"/>
      <c r="DO164" s="227"/>
      <c r="DP164" s="227"/>
      <c r="DQ164" s="227"/>
      <c r="DR164" s="227"/>
      <c r="DS164" s="227"/>
      <c r="DT164" s="227"/>
      <c r="DU164" s="227"/>
      <c r="DV164" s="227"/>
      <c r="DW164" s="227"/>
      <c r="DX164" s="227"/>
      <c r="DY164" s="227"/>
      <c r="DZ164" s="227"/>
      <c r="EA164" s="227"/>
      <c r="EB164" s="227"/>
      <c r="EC164" s="227"/>
      <c r="ED164" s="227"/>
      <c r="EE164" s="227"/>
      <c r="EF164" s="227"/>
      <c r="EG164" s="227"/>
      <c r="EH164" s="227"/>
      <c r="EI164" s="227"/>
      <c r="EJ164" s="227"/>
      <c r="EK164" s="227"/>
      <c r="EL164" s="227"/>
      <c r="EM164" s="227"/>
      <c r="EN164" s="227"/>
      <c r="EO164" s="227"/>
      <c r="EP164" s="227"/>
      <c r="EQ164" s="227"/>
      <c r="ER164" s="227"/>
      <c r="ES164" s="227"/>
      <c r="ET164" s="227"/>
      <c r="EU164" s="227"/>
      <c r="EV164" s="227"/>
      <c r="EW164" s="227"/>
      <c r="EX164" s="227"/>
      <c r="EY164" s="227"/>
      <c r="EZ164" s="227"/>
      <c r="FA164" s="227"/>
      <c r="FB164" s="227"/>
      <c r="FC164" s="227"/>
      <c r="FD164" s="227"/>
      <c r="FE164" s="227"/>
      <c r="FF164" s="227"/>
      <c r="FG164" s="227"/>
      <c r="FH164" s="227"/>
      <c r="FI164" s="227"/>
      <c r="FJ164" s="227"/>
      <c r="FK164" s="227"/>
      <c r="FL164" s="227"/>
      <c r="FM164" s="227"/>
      <c r="FN164" s="227"/>
      <c r="FO164" s="227"/>
      <c r="FP164" s="227"/>
      <c r="FQ164" s="227"/>
      <c r="FR164" s="227"/>
      <c r="FS164" s="227"/>
      <c r="FT164" s="227"/>
      <c r="FU164" s="227"/>
      <c r="FV164" s="227"/>
      <c r="FW164" s="227"/>
      <c r="FX164" s="227"/>
      <c r="FY164" s="227"/>
      <c r="FZ164" s="227"/>
      <c r="GA164" s="227"/>
      <c r="GB164" s="227"/>
      <c r="GC164" s="227"/>
      <c r="GD164" s="227"/>
      <c r="GE164" s="227"/>
      <c r="GF164" s="227"/>
      <c r="GG164" s="227"/>
      <c r="GH164" s="227"/>
      <c r="GI164" s="227"/>
      <c r="GJ164" s="227"/>
      <c r="GK164" s="227"/>
      <c r="GL164" s="227"/>
      <c r="GM164" s="227"/>
      <c r="GN164" s="227"/>
      <c r="GO164" s="227"/>
      <c r="GP164" s="227"/>
      <c r="GQ164" s="227"/>
      <c r="GR164" s="227"/>
      <c r="GS164" s="227"/>
      <c r="GT164" s="227"/>
      <c r="GU164" s="227"/>
      <c r="GV164" s="227"/>
      <c r="GW164" s="227"/>
      <c r="GX164" s="227"/>
      <c r="GY164" s="227"/>
      <c r="GZ164" s="227"/>
      <c r="HA164" s="227"/>
      <c r="HB164" s="227"/>
      <c r="HC164" s="227"/>
      <c r="HD164" s="227"/>
      <c r="HE164" s="227"/>
      <c r="HF164" s="227"/>
      <c r="HG164" s="227"/>
      <c r="HH164" s="227"/>
      <c r="HI164" s="227"/>
      <c r="HJ164" s="227"/>
      <c r="HK164" s="227"/>
      <c r="HL164" s="227"/>
      <c r="HM164" s="227"/>
      <c r="HN164" s="227"/>
      <c r="HO164" s="227"/>
      <c r="HP164" s="227"/>
      <c r="HQ164" s="227"/>
      <c r="HR164" s="227"/>
      <c r="HS164" s="227"/>
      <c r="HT164" s="227"/>
      <c r="HU164" s="227"/>
      <c r="HV164" s="227"/>
      <c r="HW164" s="227"/>
      <c r="HX164" s="227"/>
      <c r="HY164" s="227"/>
      <c r="HZ164" s="227"/>
      <c r="IA164" s="227"/>
      <c r="IB164" s="227"/>
      <c r="IC164" s="227"/>
      <c r="ID164" s="227"/>
      <c r="IE164" s="227"/>
      <c r="IF164" s="227"/>
      <c r="IG164" s="227"/>
      <c r="IH164" s="227"/>
      <c r="II164" s="227"/>
      <c r="IJ164" s="227"/>
      <c r="IK164" s="227"/>
      <c r="IL164" s="227"/>
      <c r="IM164" s="227"/>
      <c r="IN164" s="227"/>
      <c r="IO164" s="227"/>
      <c r="IP164" s="227"/>
      <c r="IQ164" s="227"/>
      <c r="IR164" s="227"/>
      <c r="IS164" s="227"/>
      <c r="IT164" s="227"/>
      <c r="IU164" s="227"/>
      <c r="IV164" s="227"/>
      <c r="IW164" s="227"/>
    </row>
    <row r="165" customFormat="false" ht="12.75" hidden="false" customHeight="false" outlineLevel="0" collapsed="false">
      <c r="A165" s="38" t="s">
        <v>144</v>
      </c>
      <c r="B165" s="225" t="s">
        <v>269</v>
      </c>
      <c r="C165" s="104" t="s">
        <v>443</v>
      </c>
      <c r="D165" s="105" t="n">
        <v>36739</v>
      </c>
      <c r="E165" s="105" t="n">
        <v>36769</v>
      </c>
      <c r="F165" s="38" t="s">
        <v>444</v>
      </c>
      <c r="G165" s="38" t="s">
        <v>445</v>
      </c>
      <c r="H165" s="225" t="s">
        <v>154</v>
      </c>
      <c r="I165" s="106" t="n">
        <f aca="false">0.93/I$1</f>
        <v>0.03</v>
      </c>
      <c r="J165" s="107"/>
      <c r="K165" s="107"/>
      <c r="L165" s="107"/>
      <c r="M165" s="107"/>
      <c r="N165" s="107"/>
      <c r="O165" s="107"/>
      <c r="P165" s="226" t="s">
        <v>448</v>
      </c>
      <c r="Q165" s="104" t="n">
        <v>1600</v>
      </c>
      <c r="R165" s="38" t="s">
        <v>449</v>
      </c>
      <c r="S165" s="110" t="n">
        <f aca="false">I165*$I$1*Q165</f>
        <v>1488</v>
      </c>
      <c r="T165" s="110"/>
      <c r="U165" s="112" t="n">
        <v>347700</v>
      </c>
      <c r="V165" s="112"/>
      <c r="W165" s="227"/>
      <c r="X165" s="227"/>
      <c r="Y165" s="227"/>
      <c r="Z165" s="227"/>
      <c r="AA165" s="227"/>
      <c r="AB165" s="227"/>
      <c r="AC165" s="227"/>
      <c r="AD165" s="227"/>
      <c r="AE165" s="227"/>
      <c r="AF165" s="227"/>
      <c r="AG165" s="227"/>
      <c r="AH165" s="227"/>
      <c r="AI165" s="227"/>
      <c r="AJ165" s="227"/>
      <c r="AK165" s="227"/>
      <c r="AL165" s="227"/>
      <c r="AM165" s="227"/>
      <c r="AN165" s="227"/>
      <c r="AO165" s="227"/>
      <c r="AP165" s="227"/>
      <c r="AQ165" s="227"/>
      <c r="AR165" s="227"/>
      <c r="AS165" s="227"/>
      <c r="AT165" s="227"/>
      <c r="AU165" s="227"/>
      <c r="AV165" s="227"/>
      <c r="AW165" s="227"/>
      <c r="AX165" s="227"/>
      <c r="AY165" s="227"/>
      <c r="AZ165" s="227"/>
      <c r="BA165" s="227"/>
      <c r="BB165" s="227"/>
      <c r="BC165" s="227"/>
      <c r="BD165" s="227"/>
      <c r="BE165" s="227"/>
      <c r="BF165" s="227"/>
      <c r="BG165" s="227"/>
      <c r="BH165" s="227"/>
      <c r="BI165" s="227"/>
      <c r="BJ165" s="227"/>
      <c r="BK165" s="227"/>
      <c r="BL165" s="227"/>
      <c r="BM165" s="227"/>
      <c r="BN165" s="227"/>
      <c r="BO165" s="227"/>
      <c r="BP165" s="227"/>
      <c r="BQ165" s="227"/>
      <c r="BR165" s="227"/>
      <c r="BS165" s="227"/>
      <c r="BT165" s="227"/>
      <c r="BU165" s="227"/>
      <c r="BV165" s="227"/>
      <c r="BW165" s="227"/>
      <c r="BX165" s="227"/>
      <c r="BY165" s="227"/>
      <c r="BZ165" s="227"/>
      <c r="CA165" s="227"/>
      <c r="CB165" s="227"/>
      <c r="CC165" s="227"/>
      <c r="CD165" s="227"/>
      <c r="CE165" s="227"/>
      <c r="CF165" s="227"/>
      <c r="CG165" s="227"/>
      <c r="CH165" s="227"/>
      <c r="CI165" s="227"/>
      <c r="CJ165" s="227"/>
      <c r="CK165" s="227"/>
      <c r="CL165" s="227"/>
      <c r="CM165" s="227"/>
      <c r="CN165" s="227"/>
      <c r="CO165" s="227"/>
      <c r="CP165" s="227"/>
      <c r="CQ165" s="227"/>
      <c r="CR165" s="227"/>
      <c r="CS165" s="227"/>
      <c r="CT165" s="227"/>
      <c r="CU165" s="227"/>
      <c r="CV165" s="227"/>
      <c r="CW165" s="227"/>
      <c r="CX165" s="227"/>
      <c r="CY165" s="227"/>
      <c r="CZ165" s="227"/>
      <c r="DA165" s="227"/>
      <c r="DB165" s="227"/>
      <c r="DC165" s="227"/>
      <c r="DD165" s="227"/>
      <c r="DE165" s="227"/>
      <c r="DF165" s="227"/>
      <c r="DG165" s="227"/>
      <c r="DH165" s="227"/>
      <c r="DI165" s="227"/>
      <c r="DJ165" s="227"/>
      <c r="DK165" s="227"/>
      <c r="DL165" s="227"/>
      <c r="DM165" s="227"/>
      <c r="DN165" s="227"/>
      <c r="DO165" s="227"/>
      <c r="DP165" s="227"/>
      <c r="DQ165" s="227"/>
      <c r="DR165" s="227"/>
      <c r="DS165" s="227"/>
      <c r="DT165" s="227"/>
      <c r="DU165" s="227"/>
      <c r="DV165" s="227"/>
      <c r="DW165" s="227"/>
      <c r="DX165" s="227"/>
      <c r="DY165" s="227"/>
      <c r="DZ165" s="227"/>
      <c r="EA165" s="227"/>
      <c r="EB165" s="227"/>
      <c r="EC165" s="227"/>
      <c r="ED165" s="227"/>
      <c r="EE165" s="227"/>
      <c r="EF165" s="227"/>
      <c r="EG165" s="227"/>
      <c r="EH165" s="227"/>
      <c r="EI165" s="227"/>
      <c r="EJ165" s="227"/>
      <c r="EK165" s="227"/>
      <c r="EL165" s="227"/>
      <c r="EM165" s="227"/>
      <c r="EN165" s="227"/>
      <c r="EO165" s="227"/>
      <c r="EP165" s="227"/>
      <c r="EQ165" s="227"/>
      <c r="ER165" s="227"/>
      <c r="ES165" s="227"/>
      <c r="ET165" s="227"/>
      <c r="EU165" s="227"/>
      <c r="EV165" s="227"/>
      <c r="EW165" s="227"/>
      <c r="EX165" s="227"/>
      <c r="EY165" s="227"/>
      <c r="EZ165" s="227"/>
      <c r="FA165" s="227"/>
      <c r="FB165" s="227"/>
      <c r="FC165" s="227"/>
      <c r="FD165" s="227"/>
      <c r="FE165" s="227"/>
      <c r="FF165" s="227"/>
      <c r="FG165" s="227"/>
      <c r="FH165" s="227"/>
      <c r="FI165" s="227"/>
      <c r="FJ165" s="227"/>
      <c r="FK165" s="227"/>
      <c r="FL165" s="227"/>
      <c r="FM165" s="227"/>
      <c r="FN165" s="227"/>
      <c r="FO165" s="227"/>
      <c r="FP165" s="227"/>
      <c r="FQ165" s="227"/>
      <c r="FR165" s="227"/>
      <c r="FS165" s="227"/>
      <c r="FT165" s="227"/>
      <c r="FU165" s="227"/>
      <c r="FV165" s="227"/>
      <c r="FW165" s="227"/>
      <c r="FX165" s="227"/>
      <c r="FY165" s="227"/>
      <c r="FZ165" s="227"/>
      <c r="GA165" s="227"/>
      <c r="GB165" s="227"/>
      <c r="GC165" s="227"/>
      <c r="GD165" s="227"/>
      <c r="GE165" s="227"/>
      <c r="GF165" s="227"/>
      <c r="GG165" s="227"/>
      <c r="GH165" s="227"/>
      <c r="GI165" s="227"/>
      <c r="GJ165" s="227"/>
      <c r="GK165" s="227"/>
      <c r="GL165" s="227"/>
      <c r="GM165" s="227"/>
      <c r="GN165" s="227"/>
      <c r="GO165" s="227"/>
      <c r="GP165" s="227"/>
      <c r="GQ165" s="227"/>
      <c r="GR165" s="227"/>
      <c r="GS165" s="227"/>
      <c r="GT165" s="227"/>
      <c r="GU165" s="227"/>
      <c r="GV165" s="227"/>
      <c r="GW165" s="227"/>
      <c r="GX165" s="227"/>
      <c r="GY165" s="227"/>
      <c r="GZ165" s="227"/>
      <c r="HA165" s="227"/>
      <c r="HB165" s="227"/>
      <c r="HC165" s="227"/>
      <c r="HD165" s="227"/>
      <c r="HE165" s="227"/>
      <c r="HF165" s="227"/>
      <c r="HG165" s="227"/>
      <c r="HH165" s="227"/>
      <c r="HI165" s="227"/>
      <c r="HJ165" s="227"/>
      <c r="HK165" s="227"/>
      <c r="HL165" s="227"/>
      <c r="HM165" s="227"/>
      <c r="HN165" s="227"/>
      <c r="HO165" s="227"/>
      <c r="HP165" s="227"/>
      <c r="HQ165" s="227"/>
      <c r="HR165" s="227"/>
      <c r="HS165" s="227"/>
      <c r="HT165" s="227"/>
      <c r="HU165" s="227"/>
      <c r="HV165" s="227"/>
      <c r="HW165" s="227"/>
      <c r="HX165" s="227"/>
      <c r="HY165" s="227"/>
      <c r="HZ165" s="227"/>
      <c r="IA165" s="227"/>
      <c r="IB165" s="227"/>
      <c r="IC165" s="227"/>
      <c r="ID165" s="227"/>
      <c r="IE165" s="227"/>
      <c r="IF165" s="227"/>
      <c r="IG165" s="227"/>
      <c r="IH165" s="227"/>
      <c r="II165" s="227"/>
      <c r="IJ165" s="227"/>
      <c r="IK165" s="227"/>
      <c r="IL165" s="227"/>
      <c r="IM165" s="227"/>
      <c r="IN165" s="227"/>
      <c r="IO165" s="227"/>
      <c r="IP165" s="227"/>
      <c r="IQ165" s="227"/>
      <c r="IR165" s="227"/>
      <c r="IS165" s="227"/>
      <c r="IT165" s="227"/>
      <c r="IU165" s="227"/>
      <c r="IV165" s="227"/>
      <c r="IW165" s="227"/>
    </row>
    <row r="166" customFormat="false" ht="12.75" hidden="false" customHeight="false" outlineLevel="0" collapsed="false">
      <c r="A166" s="38" t="s">
        <v>144</v>
      </c>
      <c r="B166" s="225" t="s">
        <v>269</v>
      </c>
      <c r="C166" s="104" t="s">
        <v>443</v>
      </c>
      <c r="D166" s="105" t="n">
        <v>36739</v>
      </c>
      <c r="E166" s="105" t="n">
        <v>36769</v>
      </c>
      <c r="F166" s="38" t="s">
        <v>444</v>
      </c>
      <c r="G166" s="38" t="s">
        <v>445</v>
      </c>
      <c r="H166" s="225" t="s">
        <v>154</v>
      </c>
      <c r="I166" s="106" t="n">
        <f aca="false">0.93/I$1</f>
        <v>0.03</v>
      </c>
      <c r="J166" s="107"/>
      <c r="K166" s="107"/>
      <c r="L166" s="107"/>
      <c r="M166" s="107"/>
      <c r="N166" s="107"/>
      <c r="O166" s="107"/>
      <c r="P166" s="226" t="s">
        <v>450</v>
      </c>
      <c r="Q166" s="104" t="n">
        <v>950</v>
      </c>
      <c r="R166" s="38" t="s">
        <v>451</v>
      </c>
      <c r="S166" s="110" t="n">
        <f aca="false">I166*$I$1*Q166</f>
        <v>883.5</v>
      </c>
      <c r="T166" s="110"/>
      <c r="U166" s="112" t="n">
        <v>347719</v>
      </c>
      <c r="V166" s="112"/>
      <c r="W166" s="227"/>
      <c r="X166" s="227"/>
      <c r="Y166" s="227"/>
      <c r="Z166" s="227"/>
      <c r="AA166" s="227"/>
      <c r="AB166" s="227"/>
      <c r="AC166" s="227"/>
      <c r="AD166" s="227"/>
      <c r="AE166" s="227"/>
      <c r="AF166" s="227"/>
      <c r="AG166" s="227"/>
      <c r="AH166" s="227"/>
      <c r="AI166" s="227"/>
      <c r="AJ166" s="227"/>
      <c r="AK166" s="227"/>
      <c r="AL166" s="227"/>
      <c r="AM166" s="227"/>
      <c r="AN166" s="227"/>
      <c r="AO166" s="227"/>
      <c r="AP166" s="227"/>
      <c r="AQ166" s="227"/>
      <c r="AR166" s="227"/>
      <c r="AS166" s="227"/>
      <c r="AT166" s="227"/>
      <c r="AU166" s="227"/>
      <c r="AV166" s="227"/>
      <c r="AW166" s="227"/>
      <c r="AX166" s="227"/>
      <c r="AY166" s="227"/>
      <c r="AZ166" s="227"/>
      <c r="BA166" s="227"/>
      <c r="BB166" s="227"/>
      <c r="BC166" s="227"/>
      <c r="BD166" s="227"/>
      <c r="BE166" s="227"/>
      <c r="BF166" s="227"/>
      <c r="BG166" s="227"/>
      <c r="BH166" s="227"/>
      <c r="BI166" s="227"/>
      <c r="BJ166" s="227"/>
      <c r="BK166" s="227"/>
      <c r="BL166" s="227"/>
      <c r="BM166" s="227"/>
      <c r="BN166" s="227"/>
      <c r="BO166" s="227"/>
      <c r="BP166" s="227"/>
      <c r="BQ166" s="227"/>
      <c r="BR166" s="227"/>
      <c r="BS166" s="227"/>
      <c r="BT166" s="227"/>
      <c r="BU166" s="227"/>
      <c r="BV166" s="227"/>
      <c r="BW166" s="227"/>
      <c r="BX166" s="227"/>
      <c r="BY166" s="227"/>
      <c r="BZ166" s="227"/>
      <c r="CA166" s="227"/>
      <c r="CB166" s="227"/>
      <c r="CC166" s="227"/>
      <c r="CD166" s="227"/>
      <c r="CE166" s="227"/>
      <c r="CF166" s="227"/>
      <c r="CG166" s="227"/>
      <c r="CH166" s="227"/>
      <c r="CI166" s="227"/>
      <c r="CJ166" s="227"/>
      <c r="CK166" s="227"/>
      <c r="CL166" s="227"/>
      <c r="CM166" s="227"/>
      <c r="CN166" s="227"/>
      <c r="CO166" s="227"/>
      <c r="CP166" s="227"/>
      <c r="CQ166" s="227"/>
      <c r="CR166" s="227"/>
      <c r="CS166" s="227"/>
      <c r="CT166" s="227"/>
      <c r="CU166" s="227"/>
      <c r="CV166" s="227"/>
      <c r="CW166" s="227"/>
      <c r="CX166" s="227"/>
      <c r="CY166" s="227"/>
      <c r="CZ166" s="227"/>
      <c r="DA166" s="227"/>
      <c r="DB166" s="227"/>
      <c r="DC166" s="227"/>
      <c r="DD166" s="227"/>
      <c r="DE166" s="227"/>
      <c r="DF166" s="227"/>
      <c r="DG166" s="227"/>
      <c r="DH166" s="227"/>
      <c r="DI166" s="227"/>
      <c r="DJ166" s="227"/>
      <c r="DK166" s="227"/>
      <c r="DL166" s="227"/>
      <c r="DM166" s="227"/>
      <c r="DN166" s="227"/>
      <c r="DO166" s="227"/>
      <c r="DP166" s="227"/>
      <c r="DQ166" s="227"/>
      <c r="DR166" s="227"/>
      <c r="DS166" s="227"/>
      <c r="DT166" s="227"/>
      <c r="DU166" s="227"/>
      <c r="DV166" s="227"/>
      <c r="DW166" s="227"/>
      <c r="DX166" s="227"/>
      <c r="DY166" s="227"/>
      <c r="DZ166" s="227"/>
      <c r="EA166" s="227"/>
      <c r="EB166" s="227"/>
      <c r="EC166" s="227"/>
      <c r="ED166" s="227"/>
      <c r="EE166" s="227"/>
      <c r="EF166" s="227"/>
      <c r="EG166" s="227"/>
      <c r="EH166" s="227"/>
      <c r="EI166" s="227"/>
      <c r="EJ166" s="227"/>
      <c r="EK166" s="227"/>
      <c r="EL166" s="227"/>
      <c r="EM166" s="227"/>
      <c r="EN166" s="227"/>
      <c r="EO166" s="227"/>
      <c r="EP166" s="227"/>
      <c r="EQ166" s="227"/>
      <c r="ER166" s="227"/>
      <c r="ES166" s="227"/>
      <c r="ET166" s="227"/>
      <c r="EU166" s="227"/>
      <c r="EV166" s="227"/>
      <c r="EW166" s="227"/>
      <c r="EX166" s="227"/>
      <c r="EY166" s="227"/>
      <c r="EZ166" s="227"/>
      <c r="FA166" s="227"/>
      <c r="FB166" s="227"/>
      <c r="FC166" s="227"/>
      <c r="FD166" s="227"/>
      <c r="FE166" s="227"/>
      <c r="FF166" s="227"/>
      <c r="FG166" s="227"/>
      <c r="FH166" s="227"/>
      <c r="FI166" s="227"/>
      <c r="FJ166" s="227"/>
      <c r="FK166" s="227"/>
      <c r="FL166" s="227"/>
      <c r="FM166" s="227"/>
      <c r="FN166" s="227"/>
      <c r="FO166" s="227"/>
      <c r="FP166" s="227"/>
      <c r="FQ166" s="227"/>
      <c r="FR166" s="227"/>
      <c r="FS166" s="227"/>
      <c r="FT166" s="227"/>
      <c r="FU166" s="227"/>
      <c r="FV166" s="227"/>
      <c r="FW166" s="227"/>
      <c r="FX166" s="227"/>
      <c r="FY166" s="227"/>
      <c r="FZ166" s="227"/>
      <c r="GA166" s="227"/>
      <c r="GB166" s="227"/>
      <c r="GC166" s="227"/>
      <c r="GD166" s="227"/>
      <c r="GE166" s="227"/>
      <c r="GF166" s="227"/>
      <c r="GG166" s="227"/>
      <c r="GH166" s="227"/>
      <c r="GI166" s="227"/>
      <c r="GJ166" s="227"/>
      <c r="GK166" s="227"/>
      <c r="GL166" s="227"/>
      <c r="GM166" s="227"/>
      <c r="GN166" s="227"/>
      <c r="GO166" s="227"/>
      <c r="GP166" s="227"/>
      <c r="GQ166" s="227"/>
      <c r="GR166" s="227"/>
      <c r="GS166" s="227"/>
      <c r="GT166" s="227"/>
      <c r="GU166" s="227"/>
      <c r="GV166" s="227"/>
      <c r="GW166" s="227"/>
      <c r="GX166" s="227"/>
      <c r="GY166" s="227"/>
      <c r="GZ166" s="227"/>
      <c r="HA166" s="227"/>
      <c r="HB166" s="227"/>
      <c r="HC166" s="227"/>
      <c r="HD166" s="227"/>
      <c r="HE166" s="227"/>
      <c r="HF166" s="227"/>
      <c r="HG166" s="227"/>
      <c r="HH166" s="227"/>
      <c r="HI166" s="227"/>
      <c r="HJ166" s="227"/>
      <c r="HK166" s="227"/>
      <c r="HL166" s="227"/>
      <c r="HM166" s="227"/>
      <c r="HN166" s="227"/>
      <c r="HO166" s="227"/>
      <c r="HP166" s="227"/>
      <c r="HQ166" s="227"/>
      <c r="HR166" s="227"/>
      <c r="HS166" s="227"/>
      <c r="HT166" s="227"/>
      <c r="HU166" s="227"/>
      <c r="HV166" s="227"/>
      <c r="HW166" s="227"/>
      <c r="HX166" s="227"/>
      <c r="HY166" s="227"/>
      <c r="HZ166" s="227"/>
      <c r="IA166" s="227"/>
      <c r="IB166" s="227"/>
      <c r="IC166" s="227"/>
      <c r="ID166" s="227"/>
      <c r="IE166" s="227"/>
      <c r="IF166" s="227"/>
      <c r="IG166" s="227"/>
      <c r="IH166" s="227"/>
      <c r="II166" s="227"/>
      <c r="IJ166" s="227"/>
      <c r="IK166" s="227"/>
      <c r="IL166" s="227"/>
      <c r="IM166" s="227"/>
      <c r="IN166" s="227"/>
      <c r="IO166" s="227"/>
      <c r="IP166" s="227"/>
      <c r="IQ166" s="227"/>
      <c r="IR166" s="227"/>
      <c r="IS166" s="227"/>
      <c r="IT166" s="227"/>
      <c r="IU166" s="227"/>
      <c r="IV166" s="227"/>
      <c r="IW166" s="227"/>
    </row>
    <row r="167" customFormat="false" ht="12.75" hidden="false" customHeight="false" outlineLevel="0" collapsed="false">
      <c r="A167" s="38" t="s">
        <v>144</v>
      </c>
      <c r="B167" s="225" t="s">
        <v>269</v>
      </c>
      <c r="C167" s="104" t="s">
        <v>443</v>
      </c>
      <c r="D167" s="105" t="n">
        <v>36739</v>
      </c>
      <c r="E167" s="105" t="n">
        <v>36769</v>
      </c>
      <c r="F167" s="38" t="s">
        <v>444</v>
      </c>
      <c r="G167" s="38" t="s">
        <v>445</v>
      </c>
      <c r="H167" s="225" t="s">
        <v>154</v>
      </c>
      <c r="I167" s="106" t="n">
        <f aca="false">0.93/I$1</f>
        <v>0.03</v>
      </c>
      <c r="J167" s="107"/>
      <c r="K167" s="107"/>
      <c r="L167" s="107"/>
      <c r="M167" s="107"/>
      <c r="N167" s="107"/>
      <c r="O167" s="107"/>
      <c r="P167" s="226" t="s">
        <v>452</v>
      </c>
      <c r="Q167" s="104" t="n">
        <v>850</v>
      </c>
      <c r="R167" s="38" t="s">
        <v>453</v>
      </c>
      <c r="S167" s="110" t="n">
        <f aca="false">I167*$I$1*Q167</f>
        <v>790.5</v>
      </c>
      <c r="T167" s="110"/>
      <c r="U167" s="112" t="n">
        <v>347740</v>
      </c>
      <c r="V167" s="112"/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7"/>
      <c r="AG167" s="227"/>
      <c r="AH167" s="227"/>
      <c r="AI167" s="227"/>
      <c r="AJ167" s="227"/>
      <c r="AK167" s="227"/>
      <c r="AL167" s="227"/>
      <c r="AM167" s="227"/>
      <c r="AN167" s="227"/>
      <c r="AO167" s="227"/>
      <c r="AP167" s="227"/>
      <c r="AQ167" s="227"/>
      <c r="AR167" s="227"/>
      <c r="AS167" s="227"/>
      <c r="AT167" s="227"/>
      <c r="AU167" s="227"/>
      <c r="AV167" s="227"/>
      <c r="AW167" s="227"/>
      <c r="AX167" s="227"/>
      <c r="AY167" s="227"/>
      <c r="AZ167" s="227"/>
      <c r="BA167" s="227"/>
      <c r="BB167" s="227"/>
      <c r="BC167" s="227"/>
      <c r="BD167" s="227"/>
      <c r="BE167" s="227"/>
      <c r="BF167" s="227"/>
      <c r="BG167" s="227"/>
      <c r="BH167" s="227"/>
      <c r="BI167" s="227"/>
      <c r="BJ167" s="227"/>
      <c r="BK167" s="227"/>
      <c r="BL167" s="227"/>
      <c r="BM167" s="227"/>
      <c r="BN167" s="227"/>
      <c r="BO167" s="227"/>
      <c r="BP167" s="227"/>
      <c r="BQ167" s="227"/>
      <c r="BR167" s="227"/>
      <c r="BS167" s="227"/>
      <c r="BT167" s="227"/>
      <c r="BU167" s="227"/>
      <c r="BV167" s="227"/>
      <c r="BW167" s="227"/>
      <c r="BX167" s="227"/>
      <c r="BY167" s="227"/>
      <c r="BZ167" s="227"/>
      <c r="CA167" s="227"/>
      <c r="CB167" s="227"/>
      <c r="CC167" s="227"/>
      <c r="CD167" s="227"/>
      <c r="CE167" s="227"/>
      <c r="CF167" s="227"/>
      <c r="CG167" s="227"/>
      <c r="CH167" s="227"/>
      <c r="CI167" s="227"/>
      <c r="CJ167" s="227"/>
      <c r="CK167" s="227"/>
      <c r="CL167" s="227"/>
      <c r="CM167" s="227"/>
      <c r="CN167" s="227"/>
      <c r="CO167" s="227"/>
      <c r="CP167" s="227"/>
      <c r="CQ167" s="227"/>
      <c r="CR167" s="227"/>
      <c r="CS167" s="227"/>
      <c r="CT167" s="227"/>
      <c r="CU167" s="227"/>
      <c r="CV167" s="227"/>
      <c r="CW167" s="227"/>
      <c r="CX167" s="227"/>
      <c r="CY167" s="227"/>
      <c r="CZ167" s="227"/>
      <c r="DA167" s="227"/>
      <c r="DB167" s="227"/>
      <c r="DC167" s="227"/>
      <c r="DD167" s="227"/>
      <c r="DE167" s="227"/>
      <c r="DF167" s="227"/>
      <c r="DG167" s="227"/>
      <c r="DH167" s="227"/>
      <c r="DI167" s="227"/>
      <c r="DJ167" s="227"/>
      <c r="DK167" s="227"/>
      <c r="DL167" s="227"/>
      <c r="DM167" s="227"/>
      <c r="DN167" s="227"/>
      <c r="DO167" s="227"/>
      <c r="DP167" s="227"/>
      <c r="DQ167" s="227"/>
      <c r="DR167" s="227"/>
      <c r="DS167" s="227"/>
      <c r="DT167" s="227"/>
      <c r="DU167" s="227"/>
      <c r="DV167" s="227"/>
      <c r="DW167" s="227"/>
      <c r="DX167" s="227"/>
      <c r="DY167" s="227"/>
      <c r="DZ167" s="227"/>
      <c r="EA167" s="227"/>
      <c r="EB167" s="227"/>
      <c r="EC167" s="227"/>
      <c r="ED167" s="227"/>
      <c r="EE167" s="227"/>
      <c r="EF167" s="227"/>
      <c r="EG167" s="227"/>
      <c r="EH167" s="227"/>
      <c r="EI167" s="227"/>
      <c r="EJ167" s="227"/>
      <c r="EK167" s="227"/>
      <c r="EL167" s="227"/>
      <c r="EM167" s="227"/>
      <c r="EN167" s="227"/>
      <c r="EO167" s="227"/>
      <c r="EP167" s="227"/>
      <c r="EQ167" s="227"/>
      <c r="ER167" s="227"/>
      <c r="ES167" s="227"/>
      <c r="ET167" s="227"/>
      <c r="EU167" s="227"/>
      <c r="EV167" s="227"/>
      <c r="EW167" s="227"/>
      <c r="EX167" s="227"/>
      <c r="EY167" s="227"/>
      <c r="EZ167" s="227"/>
      <c r="FA167" s="227"/>
      <c r="FB167" s="227"/>
      <c r="FC167" s="227"/>
      <c r="FD167" s="227"/>
      <c r="FE167" s="227"/>
      <c r="FF167" s="227"/>
      <c r="FG167" s="227"/>
      <c r="FH167" s="227"/>
      <c r="FI167" s="227"/>
      <c r="FJ167" s="227"/>
      <c r="FK167" s="227"/>
      <c r="FL167" s="227"/>
      <c r="FM167" s="227"/>
      <c r="FN167" s="227"/>
      <c r="FO167" s="227"/>
      <c r="FP167" s="227"/>
      <c r="FQ167" s="227"/>
      <c r="FR167" s="227"/>
      <c r="FS167" s="227"/>
      <c r="FT167" s="227"/>
      <c r="FU167" s="227"/>
      <c r="FV167" s="227"/>
      <c r="FW167" s="227"/>
      <c r="FX167" s="227"/>
      <c r="FY167" s="227"/>
      <c r="FZ167" s="227"/>
      <c r="GA167" s="227"/>
      <c r="GB167" s="227"/>
      <c r="GC167" s="227"/>
      <c r="GD167" s="227"/>
      <c r="GE167" s="227"/>
      <c r="GF167" s="227"/>
      <c r="GG167" s="227"/>
      <c r="GH167" s="227"/>
      <c r="GI167" s="227"/>
      <c r="GJ167" s="227"/>
      <c r="GK167" s="227"/>
      <c r="GL167" s="227"/>
      <c r="GM167" s="227"/>
      <c r="GN167" s="227"/>
      <c r="GO167" s="227"/>
      <c r="GP167" s="227"/>
      <c r="GQ167" s="227"/>
      <c r="GR167" s="227"/>
      <c r="GS167" s="227"/>
      <c r="GT167" s="227"/>
      <c r="GU167" s="227"/>
      <c r="GV167" s="227"/>
      <c r="GW167" s="227"/>
      <c r="GX167" s="227"/>
      <c r="GY167" s="227"/>
      <c r="GZ167" s="227"/>
      <c r="HA167" s="227"/>
      <c r="HB167" s="227"/>
      <c r="HC167" s="227"/>
      <c r="HD167" s="227"/>
      <c r="HE167" s="227"/>
      <c r="HF167" s="227"/>
      <c r="HG167" s="227"/>
      <c r="HH167" s="227"/>
      <c r="HI167" s="227"/>
      <c r="HJ167" s="227"/>
      <c r="HK167" s="227"/>
      <c r="HL167" s="227"/>
      <c r="HM167" s="227"/>
      <c r="HN167" s="227"/>
      <c r="HO167" s="227"/>
      <c r="HP167" s="227"/>
      <c r="HQ167" s="227"/>
      <c r="HR167" s="227"/>
      <c r="HS167" s="227"/>
      <c r="HT167" s="227"/>
      <c r="HU167" s="227"/>
      <c r="HV167" s="227"/>
      <c r="HW167" s="227"/>
      <c r="HX167" s="227"/>
      <c r="HY167" s="227"/>
      <c r="HZ167" s="227"/>
      <c r="IA167" s="227"/>
      <c r="IB167" s="227"/>
      <c r="IC167" s="227"/>
      <c r="ID167" s="227"/>
      <c r="IE167" s="227"/>
      <c r="IF167" s="227"/>
      <c r="IG167" s="227"/>
      <c r="IH167" s="227"/>
      <c r="II167" s="227"/>
      <c r="IJ167" s="227"/>
      <c r="IK167" s="227"/>
      <c r="IL167" s="227"/>
      <c r="IM167" s="227"/>
      <c r="IN167" s="227"/>
      <c r="IO167" s="227"/>
      <c r="IP167" s="227"/>
      <c r="IQ167" s="227"/>
      <c r="IR167" s="227"/>
      <c r="IS167" s="227"/>
      <c r="IT167" s="227"/>
      <c r="IU167" s="227"/>
      <c r="IV167" s="227"/>
      <c r="IW167" s="227"/>
    </row>
    <row r="168" customFormat="false" ht="12.75" hidden="false" customHeight="false" outlineLevel="0" collapsed="false">
      <c r="A168" s="38" t="s">
        <v>144</v>
      </c>
      <c r="B168" s="225" t="s">
        <v>269</v>
      </c>
      <c r="C168" s="104" t="s">
        <v>443</v>
      </c>
      <c r="D168" s="105" t="n">
        <v>36739</v>
      </c>
      <c r="E168" s="105" t="n">
        <v>36769</v>
      </c>
      <c r="F168" s="38" t="s">
        <v>444</v>
      </c>
      <c r="G168" s="38" t="s">
        <v>445</v>
      </c>
      <c r="H168" s="225" t="s">
        <v>154</v>
      </c>
      <c r="I168" s="106" t="n">
        <f aca="false">0.93/I$1</f>
        <v>0.03</v>
      </c>
      <c r="J168" s="107"/>
      <c r="K168" s="107"/>
      <c r="L168" s="107"/>
      <c r="M168" s="107"/>
      <c r="N168" s="107"/>
      <c r="O168" s="107"/>
      <c r="P168" s="226" t="s">
        <v>454</v>
      </c>
      <c r="Q168" s="104" t="n">
        <v>3007</v>
      </c>
      <c r="R168" s="38" t="s">
        <v>455</v>
      </c>
      <c r="S168" s="110" t="n">
        <f aca="false">I168*$I$1*Q168</f>
        <v>2796.51</v>
      </c>
      <c r="T168" s="110"/>
      <c r="U168" s="112" t="n">
        <v>347760</v>
      </c>
      <c r="V168" s="112"/>
      <c r="W168" s="227"/>
      <c r="X168" s="227"/>
      <c r="Y168" s="227"/>
      <c r="Z168" s="227"/>
      <c r="AA168" s="227"/>
      <c r="AB168" s="227"/>
      <c r="AC168" s="227"/>
      <c r="AD168" s="227"/>
      <c r="AE168" s="227"/>
      <c r="AF168" s="227"/>
      <c r="AG168" s="227"/>
      <c r="AH168" s="227"/>
      <c r="AI168" s="227"/>
      <c r="AJ168" s="227"/>
      <c r="AK168" s="227"/>
      <c r="AL168" s="227"/>
      <c r="AM168" s="227"/>
      <c r="AN168" s="227"/>
      <c r="AO168" s="227"/>
      <c r="AP168" s="227"/>
      <c r="AQ168" s="227"/>
      <c r="AR168" s="227"/>
      <c r="AS168" s="227"/>
      <c r="AT168" s="227"/>
      <c r="AU168" s="227"/>
      <c r="AV168" s="227"/>
      <c r="AW168" s="227"/>
      <c r="AX168" s="227"/>
      <c r="AY168" s="227"/>
      <c r="AZ168" s="227"/>
      <c r="BA168" s="227"/>
      <c r="BB168" s="227"/>
      <c r="BC168" s="227"/>
      <c r="BD168" s="227"/>
      <c r="BE168" s="227"/>
      <c r="BF168" s="227"/>
      <c r="BG168" s="227"/>
      <c r="BH168" s="227"/>
      <c r="BI168" s="227"/>
      <c r="BJ168" s="227"/>
      <c r="BK168" s="227"/>
      <c r="BL168" s="227"/>
      <c r="BM168" s="227"/>
      <c r="BN168" s="227"/>
      <c r="BO168" s="227"/>
      <c r="BP168" s="227"/>
      <c r="BQ168" s="227"/>
      <c r="BR168" s="227"/>
      <c r="BS168" s="227"/>
      <c r="BT168" s="227"/>
      <c r="BU168" s="227"/>
      <c r="BV168" s="227"/>
      <c r="BW168" s="227"/>
      <c r="BX168" s="227"/>
      <c r="BY168" s="227"/>
      <c r="BZ168" s="227"/>
      <c r="CA168" s="227"/>
      <c r="CB168" s="227"/>
      <c r="CC168" s="227"/>
      <c r="CD168" s="227"/>
      <c r="CE168" s="227"/>
      <c r="CF168" s="227"/>
      <c r="CG168" s="227"/>
      <c r="CH168" s="227"/>
      <c r="CI168" s="227"/>
      <c r="CJ168" s="227"/>
      <c r="CK168" s="227"/>
      <c r="CL168" s="227"/>
      <c r="CM168" s="227"/>
      <c r="CN168" s="227"/>
      <c r="CO168" s="227"/>
      <c r="CP168" s="227"/>
      <c r="CQ168" s="227"/>
      <c r="CR168" s="227"/>
      <c r="CS168" s="227"/>
      <c r="CT168" s="227"/>
      <c r="CU168" s="227"/>
      <c r="CV168" s="227"/>
      <c r="CW168" s="227"/>
      <c r="CX168" s="227"/>
      <c r="CY168" s="227"/>
      <c r="CZ168" s="227"/>
      <c r="DA168" s="227"/>
      <c r="DB168" s="227"/>
      <c r="DC168" s="227"/>
      <c r="DD168" s="227"/>
      <c r="DE168" s="227"/>
      <c r="DF168" s="227"/>
      <c r="DG168" s="227"/>
      <c r="DH168" s="227"/>
      <c r="DI168" s="227"/>
      <c r="DJ168" s="227"/>
      <c r="DK168" s="227"/>
      <c r="DL168" s="227"/>
      <c r="DM168" s="227"/>
      <c r="DN168" s="227"/>
      <c r="DO168" s="227"/>
      <c r="DP168" s="227"/>
      <c r="DQ168" s="227"/>
      <c r="DR168" s="227"/>
      <c r="DS168" s="227"/>
      <c r="DT168" s="227"/>
      <c r="DU168" s="227"/>
      <c r="DV168" s="227"/>
      <c r="DW168" s="227"/>
      <c r="DX168" s="227"/>
      <c r="DY168" s="227"/>
      <c r="DZ168" s="227"/>
      <c r="EA168" s="227"/>
      <c r="EB168" s="227"/>
      <c r="EC168" s="227"/>
      <c r="ED168" s="227"/>
      <c r="EE168" s="227"/>
      <c r="EF168" s="227"/>
      <c r="EG168" s="227"/>
      <c r="EH168" s="227"/>
      <c r="EI168" s="227"/>
      <c r="EJ168" s="227"/>
      <c r="EK168" s="227"/>
      <c r="EL168" s="227"/>
      <c r="EM168" s="227"/>
      <c r="EN168" s="227"/>
      <c r="EO168" s="227"/>
      <c r="EP168" s="227"/>
      <c r="EQ168" s="227"/>
      <c r="ER168" s="227"/>
      <c r="ES168" s="227"/>
      <c r="ET168" s="227"/>
      <c r="EU168" s="227"/>
      <c r="EV168" s="227"/>
      <c r="EW168" s="227"/>
      <c r="EX168" s="227"/>
      <c r="EY168" s="227"/>
      <c r="EZ168" s="227"/>
      <c r="FA168" s="227"/>
      <c r="FB168" s="227"/>
      <c r="FC168" s="227"/>
      <c r="FD168" s="227"/>
      <c r="FE168" s="227"/>
      <c r="FF168" s="227"/>
      <c r="FG168" s="227"/>
      <c r="FH168" s="227"/>
      <c r="FI168" s="227"/>
      <c r="FJ168" s="227"/>
      <c r="FK168" s="227"/>
      <c r="FL168" s="227"/>
      <c r="FM168" s="227"/>
      <c r="FN168" s="227"/>
      <c r="FO168" s="227"/>
      <c r="FP168" s="227"/>
      <c r="FQ168" s="227"/>
      <c r="FR168" s="227"/>
      <c r="FS168" s="227"/>
      <c r="FT168" s="227"/>
      <c r="FU168" s="227"/>
      <c r="FV168" s="227"/>
      <c r="FW168" s="227"/>
      <c r="FX168" s="227"/>
      <c r="FY168" s="227"/>
      <c r="FZ168" s="227"/>
      <c r="GA168" s="227"/>
      <c r="GB168" s="227"/>
      <c r="GC168" s="227"/>
      <c r="GD168" s="227"/>
      <c r="GE168" s="227"/>
      <c r="GF168" s="227"/>
      <c r="GG168" s="227"/>
      <c r="GH168" s="227"/>
      <c r="GI168" s="227"/>
      <c r="GJ168" s="227"/>
      <c r="GK168" s="227"/>
      <c r="GL168" s="227"/>
      <c r="GM168" s="227"/>
      <c r="GN168" s="227"/>
      <c r="GO168" s="227"/>
      <c r="GP168" s="227"/>
      <c r="GQ168" s="227"/>
      <c r="GR168" s="227"/>
      <c r="GS168" s="227"/>
      <c r="GT168" s="227"/>
      <c r="GU168" s="227"/>
      <c r="GV168" s="227"/>
      <c r="GW168" s="227"/>
      <c r="GX168" s="227"/>
      <c r="GY168" s="227"/>
      <c r="GZ168" s="227"/>
      <c r="HA168" s="227"/>
      <c r="HB168" s="227"/>
      <c r="HC168" s="227"/>
      <c r="HD168" s="227"/>
      <c r="HE168" s="227"/>
      <c r="HF168" s="227"/>
      <c r="HG168" s="227"/>
      <c r="HH168" s="227"/>
      <c r="HI168" s="227"/>
      <c r="HJ168" s="227"/>
      <c r="HK168" s="227"/>
      <c r="HL168" s="227"/>
      <c r="HM168" s="227"/>
      <c r="HN168" s="227"/>
      <c r="HO168" s="227"/>
      <c r="HP168" s="227"/>
      <c r="HQ168" s="227"/>
      <c r="HR168" s="227"/>
      <c r="HS168" s="227"/>
      <c r="HT168" s="227"/>
      <c r="HU168" s="227"/>
      <c r="HV168" s="227"/>
      <c r="HW168" s="227"/>
      <c r="HX168" s="227"/>
      <c r="HY168" s="227"/>
      <c r="HZ168" s="227"/>
      <c r="IA168" s="227"/>
      <c r="IB168" s="227"/>
      <c r="IC168" s="227"/>
      <c r="ID168" s="227"/>
      <c r="IE168" s="227"/>
      <c r="IF168" s="227"/>
      <c r="IG168" s="227"/>
      <c r="IH168" s="227"/>
      <c r="II168" s="227"/>
      <c r="IJ168" s="227"/>
      <c r="IK168" s="227"/>
      <c r="IL168" s="227"/>
      <c r="IM168" s="227"/>
      <c r="IN168" s="227"/>
      <c r="IO168" s="227"/>
      <c r="IP168" s="227"/>
      <c r="IQ168" s="227"/>
      <c r="IR168" s="227"/>
      <c r="IS168" s="227"/>
      <c r="IT168" s="227"/>
      <c r="IU168" s="227"/>
      <c r="IV168" s="227"/>
      <c r="IW168" s="227"/>
    </row>
    <row r="169" customFormat="false" ht="12.75" hidden="false" customHeight="false" outlineLevel="0" collapsed="false">
      <c r="A169" s="38" t="s">
        <v>144</v>
      </c>
      <c r="B169" s="225" t="s">
        <v>269</v>
      </c>
      <c r="C169" s="104" t="s">
        <v>443</v>
      </c>
      <c r="D169" s="105" t="n">
        <v>36739</v>
      </c>
      <c r="E169" s="105" t="n">
        <v>36769</v>
      </c>
      <c r="F169" s="38" t="s">
        <v>444</v>
      </c>
      <c r="G169" s="38" t="s">
        <v>445</v>
      </c>
      <c r="H169" s="225" t="s">
        <v>154</v>
      </c>
      <c r="I169" s="106" t="n">
        <f aca="false">0.93/I$1</f>
        <v>0.03</v>
      </c>
      <c r="J169" s="107"/>
      <c r="K169" s="107"/>
      <c r="L169" s="107"/>
      <c r="M169" s="107"/>
      <c r="N169" s="107"/>
      <c r="O169" s="107"/>
      <c r="P169" s="226" t="s">
        <v>456</v>
      </c>
      <c r="Q169" s="104" t="n">
        <v>621</v>
      </c>
      <c r="R169" s="38" t="s">
        <v>457</v>
      </c>
      <c r="S169" s="110" t="n">
        <f aca="false">I169*$I$1*Q169</f>
        <v>577.53</v>
      </c>
      <c r="T169" s="110"/>
      <c r="U169" s="112" t="n">
        <v>347782</v>
      </c>
      <c r="V169" s="112"/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7"/>
      <c r="AG169" s="227"/>
      <c r="AH169" s="227"/>
      <c r="AI169" s="227"/>
      <c r="AJ169" s="227"/>
      <c r="AK169" s="227"/>
      <c r="AL169" s="227"/>
      <c r="AM169" s="227"/>
      <c r="AN169" s="227"/>
      <c r="AO169" s="227"/>
      <c r="AP169" s="227"/>
      <c r="AQ169" s="227"/>
      <c r="AR169" s="227"/>
      <c r="AS169" s="227"/>
      <c r="AT169" s="227"/>
      <c r="AU169" s="227"/>
      <c r="AV169" s="227"/>
      <c r="AW169" s="227"/>
      <c r="AX169" s="227"/>
      <c r="AY169" s="227"/>
      <c r="AZ169" s="227"/>
      <c r="BA169" s="227"/>
      <c r="BB169" s="227"/>
      <c r="BC169" s="227"/>
      <c r="BD169" s="227"/>
      <c r="BE169" s="227"/>
      <c r="BF169" s="227"/>
      <c r="BG169" s="227"/>
      <c r="BH169" s="227"/>
      <c r="BI169" s="227"/>
      <c r="BJ169" s="227"/>
      <c r="BK169" s="227"/>
      <c r="BL169" s="227"/>
      <c r="BM169" s="227"/>
      <c r="BN169" s="227"/>
      <c r="BO169" s="227"/>
      <c r="BP169" s="227"/>
      <c r="BQ169" s="227"/>
      <c r="BR169" s="227"/>
      <c r="BS169" s="227"/>
      <c r="BT169" s="227"/>
      <c r="BU169" s="227"/>
      <c r="BV169" s="227"/>
      <c r="BW169" s="227"/>
      <c r="BX169" s="227"/>
      <c r="BY169" s="227"/>
      <c r="BZ169" s="227"/>
      <c r="CA169" s="227"/>
      <c r="CB169" s="227"/>
      <c r="CC169" s="227"/>
      <c r="CD169" s="227"/>
      <c r="CE169" s="227"/>
      <c r="CF169" s="227"/>
      <c r="CG169" s="227"/>
      <c r="CH169" s="227"/>
      <c r="CI169" s="227"/>
      <c r="CJ169" s="227"/>
      <c r="CK169" s="227"/>
      <c r="CL169" s="227"/>
      <c r="CM169" s="227"/>
      <c r="CN169" s="227"/>
      <c r="CO169" s="227"/>
      <c r="CP169" s="227"/>
      <c r="CQ169" s="227"/>
      <c r="CR169" s="227"/>
      <c r="CS169" s="227"/>
      <c r="CT169" s="227"/>
      <c r="CU169" s="227"/>
      <c r="CV169" s="227"/>
      <c r="CW169" s="227"/>
      <c r="CX169" s="227"/>
      <c r="CY169" s="227"/>
      <c r="CZ169" s="227"/>
      <c r="DA169" s="227"/>
      <c r="DB169" s="227"/>
      <c r="DC169" s="227"/>
      <c r="DD169" s="227"/>
      <c r="DE169" s="227"/>
      <c r="DF169" s="227"/>
      <c r="DG169" s="227"/>
      <c r="DH169" s="227"/>
      <c r="DI169" s="227"/>
      <c r="DJ169" s="227"/>
      <c r="DK169" s="227"/>
      <c r="DL169" s="227"/>
      <c r="DM169" s="227"/>
      <c r="DN169" s="227"/>
      <c r="DO169" s="227"/>
      <c r="DP169" s="227"/>
      <c r="DQ169" s="227"/>
      <c r="DR169" s="227"/>
      <c r="DS169" s="227"/>
      <c r="DT169" s="227"/>
      <c r="DU169" s="227"/>
      <c r="DV169" s="227"/>
      <c r="DW169" s="227"/>
      <c r="DX169" s="227"/>
      <c r="DY169" s="227"/>
      <c r="DZ169" s="227"/>
      <c r="EA169" s="227"/>
      <c r="EB169" s="227"/>
      <c r="EC169" s="227"/>
      <c r="ED169" s="227"/>
      <c r="EE169" s="227"/>
      <c r="EF169" s="227"/>
      <c r="EG169" s="227"/>
      <c r="EH169" s="227"/>
      <c r="EI169" s="227"/>
      <c r="EJ169" s="227"/>
      <c r="EK169" s="227"/>
      <c r="EL169" s="227"/>
      <c r="EM169" s="227"/>
      <c r="EN169" s="227"/>
      <c r="EO169" s="227"/>
      <c r="EP169" s="227"/>
      <c r="EQ169" s="227"/>
      <c r="ER169" s="227"/>
      <c r="ES169" s="227"/>
      <c r="ET169" s="227"/>
      <c r="EU169" s="227"/>
      <c r="EV169" s="227"/>
      <c r="EW169" s="227"/>
      <c r="EX169" s="227"/>
      <c r="EY169" s="227"/>
      <c r="EZ169" s="227"/>
      <c r="FA169" s="227"/>
      <c r="FB169" s="227"/>
      <c r="FC169" s="227"/>
      <c r="FD169" s="227"/>
      <c r="FE169" s="227"/>
      <c r="FF169" s="227"/>
      <c r="FG169" s="227"/>
      <c r="FH169" s="227"/>
      <c r="FI169" s="227"/>
      <c r="FJ169" s="227"/>
      <c r="FK169" s="227"/>
      <c r="FL169" s="227"/>
      <c r="FM169" s="227"/>
      <c r="FN169" s="227"/>
      <c r="FO169" s="227"/>
      <c r="FP169" s="227"/>
      <c r="FQ169" s="227"/>
      <c r="FR169" s="227"/>
      <c r="FS169" s="227"/>
      <c r="FT169" s="227"/>
      <c r="FU169" s="227"/>
      <c r="FV169" s="227"/>
      <c r="FW169" s="227"/>
      <c r="FX169" s="227"/>
      <c r="FY169" s="227"/>
      <c r="FZ169" s="227"/>
      <c r="GA169" s="227"/>
      <c r="GB169" s="227"/>
      <c r="GC169" s="227"/>
      <c r="GD169" s="227"/>
      <c r="GE169" s="227"/>
      <c r="GF169" s="227"/>
      <c r="GG169" s="227"/>
      <c r="GH169" s="227"/>
      <c r="GI169" s="227"/>
      <c r="GJ169" s="227"/>
      <c r="GK169" s="227"/>
      <c r="GL169" s="227"/>
      <c r="GM169" s="227"/>
      <c r="GN169" s="227"/>
      <c r="GO169" s="227"/>
      <c r="GP169" s="227"/>
      <c r="GQ169" s="227"/>
      <c r="GR169" s="227"/>
      <c r="GS169" s="227"/>
      <c r="GT169" s="227"/>
      <c r="GU169" s="227"/>
      <c r="GV169" s="227"/>
      <c r="GW169" s="227"/>
      <c r="GX169" s="227"/>
      <c r="GY169" s="227"/>
      <c r="GZ169" s="227"/>
      <c r="HA169" s="227"/>
      <c r="HB169" s="227"/>
      <c r="HC169" s="227"/>
      <c r="HD169" s="227"/>
      <c r="HE169" s="227"/>
      <c r="HF169" s="227"/>
      <c r="HG169" s="227"/>
      <c r="HH169" s="227"/>
      <c r="HI169" s="227"/>
      <c r="HJ169" s="227"/>
      <c r="HK169" s="227"/>
      <c r="HL169" s="227"/>
      <c r="HM169" s="227"/>
      <c r="HN169" s="227"/>
      <c r="HO169" s="227"/>
      <c r="HP169" s="227"/>
      <c r="HQ169" s="227"/>
      <c r="HR169" s="227"/>
      <c r="HS169" s="227"/>
      <c r="HT169" s="227"/>
      <c r="HU169" s="227"/>
      <c r="HV169" s="227"/>
      <c r="HW169" s="227"/>
      <c r="HX169" s="227"/>
      <c r="HY169" s="227"/>
      <c r="HZ169" s="227"/>
      <c r="IA169" s="227"/>
      <c r="IB169" s="227"/>
      <c r="IC169" s="227"/>
      <c r="ID169" s="227"/>
      <c r="IE169" s="227"/>
      <c r="IF169" s="227"/>
      <c r="IG169" s="227"/>
      <c r="IH169" s="227"/>
      <c r="II169" s="227"/>
      <c r="IJ169" s="227"/>
      <c r="IK169" s="227"/>
      <c r="IL169" s="227"/>
      <c r="IM169" s="227"/>
      <c r="IN169" s="227"/>
      <c r="IO169" s="227"/>
      <c r="IP169" s="227"/>
      <c r="IQ169" s="227"/>
      <c r="IR169" s="227"/>
      <c r="IS169" s="227"/>
      <c r="IT169" s="227"/>
      <c r="IU169" s="227"/>
      <c r="IV169" s="227"/>
      <c r="IW169" s="227"/>
    </row>
    <row r="170" customFormat="false" ht="12.75" hidden="false" customHeight="false" outlineLevel="0" collapsed="false">
      <c r="A170" s="38" t="s">
        <v>144</v>
      </c>
      <c r="B170" s="225" t="s">
        <v>269</v>
      </c>
      <c r="C170" s="104" t="s">
        <v>443</v>
      </c>
      <c r="D170" s="105" t="n">
        <v>36739</v>
      </c>
      <c r="E170" s="105" t="n">
        <v>36769</v>
      </c>
      <c r="F170" s="38" t="s">
        <v>444</v>
      </c>
      <c r="G170" s="38" t="s">
        <v>445</v>
      </c>
      <c r="H170" s="225" t="s">
        <v>154</v>
      </c>
      <c r="I170" s="106" t="n">
        <f aca="false">0.93/I$1</f>
        <v>0.03</v>
      </c>
      <c r="J170" s="107"/>
      <c r="K170" s="107"/>
      <c r="L170" s="107"/>
      <c r="M170" s="107"/>
      <c r="N170" s="107"/>
      <c r="O170" s="107"/>
      <c r="P170" s="226" t="s">
        <v>458</v>
      </c>
      <c r="Q170" s="104" t="n">
        <v>1975</v>
      </c>
      <c r="R170" s="38" t="s">
        <v>459</v>
      </c>
      <c r="S170" s="110" t="n">
        <f aca="false">I170*$I$1*Q170</f>
        <v>1836.75</v>
      </c>
      <c r="T170" s="110"/>
      <c r="U170" s="112" t="n">
        <v>347794</v>
      </c>
      <c r="V170" s="112"/>
      <c r="W170" s="227"/>
      <c r="X170" s="227"/>
      <c r="Y170" s="227"/>
      <c r="Z170" s="227"/>
      <c r="AA170" s="227"/>
      <c r="AB170" s="227"/>
      <c r="AC170" s="227"/>
      <c r="AD170" s="227"/>
      <c r="AE170" s="227"/>
      <c r="AF170" s="227"/>
      <c r="AG170" s="227"/>
      <c r="AH170" s="227"/>
      <c r="AI170" s="227"/>
      <c r="AJ170" s="227"/>
      <c r="AK170" s="227"/>
      <c r="AL170" s="227"/>
      <c r="AM170" s="227"/>
      <c r="AN170" s="227"/>
      <c r="AO170" s="227"/>
      <c r="AP170" s="227"/>
      <c r="AQ170" s="227"/>
      <c r="AR170" s="227"/>
      <c r="AS170" s="227"/>
      <c r="AT170" s="227"/>
      <c r="AU170" s="227"/>
      <c r="AV170" s="227"/>
      <c r="AW170" s="227"/>
      <c r="AX170" s="227"/>
      <c r="AY170" s="227"/>
      <c r="AZ170" s="227"/>
      <c r="BA170" s="227"/>
      <c r="BB170" s="227"/>
      <c r="BC170" s="227"/>
      <c r="BD170" s="227"/>
      <c r="BE170" s="227"/>
      <c r="BF170" s="227"/>
      <c r="BG170" s="227"/>
      <c r="BH170" s="227"/>
      <c r="BI170" s="227"/>
      <c r="BJ170" s="227"/>
      <c r="BK170" s="227"/>
      <c r="BL170" s="227"/>
      <c r="BM170" s="227"/>
      <c r="BN170" s="227"/>
      <c r="BO170" s="227"/>
      <c r="BP170" s="227"/>
      <c r="BQ170" s="227"/>
      <c r="BR170" s="227"/>
      <c r="BS170" s="227"/>
      <c r="BT170" s="227"/>
      <c r="BU170" s="227"/>
      <c r="BV170" s="227"/>
      <c r="BW170" s="227"/>
      <c r="BX170" s="227"/>
      <c r="BY170" s="227"/>
      <c r="BZ170" s="227"/>
      <c r="CA170" s="227"/>
      <c r="CB170" s="227"/>
      <c r="CC170" s="227"/>
      <c r="CD170" s="227"/>
      <c r="CE170" s="227"/>
      <c r="CF170" s="227"/>
      <c r="CG170" s="227"/>
      <c r="CH170" s="227"/>
      <c r="CI170" s="227"/>
      <c r="CJ170" s="227"/>
      <c r="CK170" s="227"/>
      <c r="CL170" s="227"/>
      <c r="CM170" s="227"/>
      <c r="CN170" s="227"/>
      <c r="CO170" s="227"/>
      <c r="CP170" s="227"/>
      <c r="CQ170" s="227"/>
      <c r="CR170" s="227"/>
      <c r="CS170" s="227"/>
      <c r="CT170" s="227"/>
      <c r="CU170" s="227"/>
      <c r="CV170" s="227"/>
      <c r="CW170" s="227"/>
      <c r="CX170" s="227"/>
      <c r="CY170" s="227"/>
      <c r="CZ170" s="227"/>
      <c r="DA170" s="227"/>
      <c r="DB170" s="227"/>
      <c r="DC170" s="227"/>
      <c r="DD170" s="227"/>
      <c r="DE170" s="227"/>
      <c r="DF170" s="227"/>
      <c r="DG170" s="227"/>
      <c r="DH170" s="227"/>
      <c r="DI170" s="227"/>
      <c r="DJ170" s="227"/>
      <c r="DK170" s="227"/>
      <c r="DL170" s="227"/>
      <c r="DM170" s="227"/>
      <c r="DN170" s="227"/>
      <c r="DO170" s="227"/>
      <c r="DP170" s="227"/>
      <c r="DQ170" s="227"/>
      <c r="DR170" s="227"/>
      <c r="DS170" s="227"/>
      <c r="DT170" s="227"/>
      <c r="DU170" s="227"/>
      <c r="DV170" s="227"/>
      <c r="DW170" s="227"/>
      <c r="DX170" s="227"/>
      <c r="DY170" s="227"/>
      <c r="DZ170" s="227"/>
      <c r="EA170" s="227"/>
      <c r="EB170" s="227"/>
      <c r="EC170" s="227"/>
      <c r="ED170" s="227"/>
      <c r="EE170" s="227"/>
      <c r="EF170" s="227"/>
      <c r="EG170" s="227"/>
      <c r="EH170" s="227"/>
      <c r="EI170" s="227"/>
      <c r="EJ170" s="227"/>
      <c r="EK170" s="227"/>
      <c r="EL170" s="227"/>
      <c r="EM170" s="227"/>
      <c r="EN170" s="227"/>
      <c r="EO170" s="227"/>
      <c r="EP170" s="227"/>
      <c r="EQ170" s="227"/>
      <c r="ER170" s="227"/>
      <c r="ES170" s="227"/>
      <c r="ET170" s="227"/>
      <c r="EU170" s="227"/>
      <c r="EV170" s="227"/>
      <c r="EW170" s="227"/>
      <c r="EX170" s="227"/>
      <c r="EY170" s="227"/>
      <c r="EZ170" s="227"/>
      <c r="FA170" s="227"/>
      <c r="FB170" s="227"/>
      <c r="FC170" s="227"/>
      <c r="FD170" s="227"/>
      <c r="FE170" s="227"/>
      <c r="FF170" s="227"/>
      <c r="FG170" s="227"/>
      <c r="FH170" s="227"/>
      <c r="FI170" s="227"/>
      <c r="FJ170" s="227"/>
      <c r="FK170" s="227"/>
      <c r="FL170" s="227"/>
      <c r="FM170" s="227"/>
      <c r="FN170" s="227"/>
      <c r="FO170" s="227"/>
      <c r="FP170" s="227"/>
      <c r="FQ170" s="227"/>
      <c r="FR170" s="227"/>
      <c r="FS170" s="227"/>
      <c r="FT170" s="227"/>
      <c r="FU170" s="227"/>
      <c r="FV170" s="227"/>
      <c r="FW170" s="227"/>
      <c r="FX170" s="227"/>
      <c r="FY170" s="227"/>
      <c r="FZ170" s="227"/>
      <c r="GA170" s="227"/>
      <c r="GB170" s="227"/>
      <c r="GC170" s="227"/>
      <c r="GD170" s="227"/>
      <c r="GE170" s="227"/>
      <c r="GF170" s="227"/>
      <c r="GG170" s="227"/>
      <c r="GH170" s="227"/>
      <c r="GI170" s="227"/>
      <c r="GJ170" s="227"/>
      <c r="GK170" s="227"/>
      <c r="GL170" s="227"/>
      <c r="GM170" s="227"/>
      <c r="GN170" s="227"/>
      <c r="GO170" s="227"/>
      <c r="GP170" s="227"/>
      <c r="GQ170" s="227"/>
      <c r="GR170" s="227"/>
      <c r="GS170" s="227"/>
      <c r="GT170" s="227"/>
      <c r="GU170" s="227"/>
      <c r="GV170" s="227"/>
      <c r="GW170" s="227"/>
      <c r="GX170" s="227"/>
      <c r="GY170" s="227"/>
      <c r="GZ170" s="227"/>
      <c r="HA170" s="227"/>
      <c r="HB170" s="227"/>
      <c r="HC170" s="227"/>
      <c r="HD170" s="227"/>
      <c r="HE170" s="227"/>
      <c r="HF170" s="227"/>
      <c r="HG170" s="227"/>
      <c r="HH170" s="227"/>
      <c r="HI170" s="227"/>
      <c r="HJ170" s="227"/>
      <c r="HK170" s="227"/>
      <c r="HL170" s="227"/>
      <c r="HM170" s="227"/>
      <c r="HN170" s="227"/>
      <c r="HO170" s="227"/>
      <c r="HP170" s="227"/>
      <c r="HQ170" s="227"/>
      <c r="HR170" s="227"/>
      <c r="HS170" s="227"/>
      <c r="HT170" s="227"/>
      <c r="HU170" s="227"/>
      <c r="HV170" s="227"/>
      <c r="HW170" s="227"/>
      <c r="HX170" s="227"/>
      <c r="HY170" s="227"/>
      <c r="HZ170" s="227"/>
      <c r="IA170" s="227"/>
      <c r="IB170" s="227"/>
      <c r="IC170" s="227"/>
      <c r="ID170" s="227"/>
      <c r="IE170" s="227"/>
      <c r="IF170" s="227"/>
      <c r="IG170" s="227"/>
      <c r="IH170" s="227"/>
      <c r="II170" s="227"/>
      <c r="IJ170" s="227"/>
      <c r="IK170" s="227"/>
      <c r="IL170" s="227"/>
      <c r="IM170" s="227"/>
      <c r="IN170" s="227"/>
      <c r="IO170" s="227"/>
      <c r="IP170" s="227"/>
      <c r="IQ170" s="227"/>
      <c r="IR170" s="227"/>
      <c r="IS170" s="227"/>
      <c r="IT170" s="227"/>
      <c r="IU170" s="227"/>
      <c r="IV170" s="227"/>
      <c r="IW170" s="227"/>
    </row>
    <row r="171" customFormat="false" ht="12.75" hidden="false" customHeight="false" outlineLevel="0" collapsed="false">
      <c r="A171" s="38" t="s">
        <v>144</v>
      </c>
      <c r="B171" s="225" t="s">
        <v>269</v>
      </c>
      <c r="C171" s="104" t="s">
        <v>443</v>
      </c>
      <c r="D171" s="105" t="n">
        <v>36739</v>
      </c>
      <c r="E171" s="105" t="n">
        <v>36769</v>
      </c>
      <c r="F171" s="38" t="s">
        <v>444</v>
      </c>
      <c r="G171" s="38" t="s">
        <v>445</v>
      </c>
      <c r="H171" s="225" t="s">
        <v>154</v>
      </c>
      <c r="I171" s="106" t="n">
        <f aca="false">0.93/I$1</f>
        <v>0.03</v>
      </c>
      <c r="J171" s="107"/>
      <c r="K171" s="107"/>
      <c r="L171" s="107"/>
      <c r="M171" s="107"/>
      <c r="N171" s="107"/>
      <c r="O171" s="107"/>
      <c r="P171" s="226" t="s">
        <v>460</v>
      </c>
      <c r="Q171" s="104" t="n">
        <v>390</v>
      </c>
      <c r="R171" s="38" t="s">
        <v>461</v>
      </c>
      <c r="S171" s="110" t="n">
        <f aca="false">I171*$I$1*Q171</f>
        <v>362.7</v>
      </c>
      <c r="T171" s="110"/>
      <c r="U171" s="112" t="n">
        <v>347814</v>
      </c>
      <c r="V171" s="112"/>
      <c r="W171" s="227"/>
      <c r="X171" s="227"/>
      <c r="Y171" s="227"/>
      <c r="Z171" s="227"/>
      <c r="AA171" s="227"/>
      <c r="AB171" s="227"/>
      <c r="AC171" s="227"/>
      <c r="AD171" s="227"/>
      <c r="AE171" s="227"/>
      <c r="AF171" s="227"/>
      <c r="AG171" s="227"/>
      <c r="AH171" s="227"/>
      <c r="AI171" s="227"/>
      <c r="AJ171" s="227"/>
      <c r="AK171" s="227"/>
      <c r="AL171" s="227"/>
      <c r="AM171" s="227"/>
      <c r="AN171" s="227"/>
      <c r="AO171" s="227"/>
      <c r="AP171" s="227"/>
      <c r="AQ171" s="227"/>
      <c r="AR171" s="227"/>
      <c r="AS171" s="227"/>
      <c r="AT171" s="227"/>
      <c r="AU171" s="227"/>
      <c r="AV171" s="227"/>
      <c r="AW171" s="227"/>
      <c r="AX171" s="227"/>
      <c r="AY171" s="227"/>
      <c r="AZ171" s="227"/>
      <c r="BA171" s="227"/>
      <c r="BB171" s="227"/>
      <c r="BC171" s="227"/>
      <c r="BD171" s="227"/>
      <c r="BE171" s="227"/>
      <c r="BF171" s="227"/>
      <c r="BG171" s="227"/>
      <c r="BH171" s="227"/>
      <c r="BI171" s="227"/>
      <c r="BJ171" s="227"/>
      <c r="BK171" s="227"/>
      <c r="BL171" s="227"/>
      <c r="BM171" s="227"/>
      <c r="BN171" s="227"/>
      <c r="BO171" s="227"/>
      <c r="BP171" s="227"/>
      <c r="BQ171" s="227"/>
      <c r="BR171" s="227"/>
      <c r="BS171" s="227"/>
      <c r="BT171" s="227"/>
      <c r="BU171" s="227"/>
      <c r="BV171" s="227"/>
      <c r="BW171" s="227"/>
      <c r="BX171" s="227"/>
      <c r="BY171" s="227"/>
      <c r="BZ171" s="227"/>
      <c r="CA171" s="227"/>
      <c r="CB171" s="227"/>
      <c r="CC171" s="227"/>
      <c r="CD171" s="227"/>
      <c r="CE171" s="227"/>
      <c r="CF171" s="227"/>
      <c r="CG171" s="227"/>
      <c r="CH171" s="227"/>
      <c r="CI171" s="227"/>
      <c r="CJ171" s="227"/>
      <c r="CK171" s="227"/>
      <c r="CL171" s="227"/>
      <c r="CM171" s="227"/>
      <c r="CN171" s="227"/>
      <c r="CO171" s="227"/>
      <c r="CP171" s="227"/>
      <c r="CQ171" s="227"/>
      <c r="CR171" s="227"/>
      <c r="CS171" s="227"/>
      <c r="CT171" s="227"/>
      <c r="CU171" s="227"/>
      <c r="CV171" s="227"/>
      <c r="CW171" s="227"/>
      <c r="CX171" s="227"/>
      <c r="CY171" s="227"/>
      <c r="CZ171" s="227"/>
      <c r="DA171" s="227"/>
      <c r="DB171" s="227"/>
      <c r="DC171" s="227"/>
      <c r="DD171" s="227"/>
      <c r="DE171" s="227"/>
      <c r="DF171" s="227"/>
      <c r="DG171" s="227"/>
      <c r="DH171" s="227"/>
      <c r="DI171" s="227"/>
      <c r="DJ171" s="227"/>
      <c r="DK171" s="227"/>
      <c r="DL171" s="227"/>
      <c r="DM171" s="227"/>
      <c r="DN171" s="227"/>
      <c r="DO171" s="227"/>
      <c r="DP171" s="227"/>
      <c r="DQ171" s="227"/>
      <c r="DR171" s="227"/>
      <c r="DS171" s="227"/>
      <c r="DT171" s="227"/>
      <c r="DU171" s="227"/>
      <c r="DV171" s="227"/>
      <c r="DW171" s="227"/>
      <c r="DX171" s="227"/>
      <c r="DY171" s="227"/>
      <c r="DZ171" s="227"/>
      <c r="EA171" s="227"/>
      <c r="EB171" s="227"/>
      <c r="EC171" s="227"/>
      <c r="ED171" s="227"/>
      <c r="EE171" s="227"/>
      <c r="EF171" s="227"/>
      <c r="EG171" s="227"/>
      <c r="EH171" s="227"/>
      <c r="EI171" s="227"/>
      <c r="EJ171" s="227"/>
      <c r="EK171" s="227"/>
      <c r="EL171" s="227"/>
      <c r="EM171" s="227"/>
      <c r="EN171" s="227"/>
      <c r="EO171" s="227"/>
      <c r="EP171" s="227"/>
      <c r="EQ171" s="227"/>
      <c r="ER171" s="227"/>
      <c r="ES171" s="227"/>
      <c r="ET171" s="227"/>
      <c r="EU171" s="227"/>
      <c r="EV171" s="227"/>
      <c r="EW171" s="227"/>
      <c r="EX171" s="227"/>
      <c r="EY171" s="227"/>
      <c r="EZ171" s="227"/>
      <c r="FA171" s="227"/>
      <c r="FB171" s="227"/>
      <c r="FC171" s="227"/>
      <c r="FD171" s="227"/>
      <c r="FE171" s="227"/>
      <c r="FF171" s="227"/>
      <c r="FG171" s="227"/>
      <c r="FH171" s="227"/>
      <c r="FI171" s="227"/>
      <c r="FJ171" s="227"/>
      <c r="FK171" s="227"/>
      <c r="FL171" s="227"/>
      <c r="FM171" s="227"/>
      <c r="FN171" s="227"/>
      <c r="FO171" s="227"/>
      <c r="FP171" s="227"/>
      <c r="FQ171" s="227"/>
      <c r="FR171" s="227"/>
      <c r="FS171" s="227"/>
      <c r="FT171" s="227"/>
      <c r="FU171" s="227"/>
      <c r="FV171" s="227"/>
      <c r="FW171" s="227"/>
      <c r="FX171" s="227"/>
      <c r="FY171" s="227"/>
      <c r="FZ171" s="227"/>
      <c r="GA171" s="227"/>
      <c r="GB171" s="227"/>
      <c r="GC171" s="227"/>
      <c r="GD171" s="227"/>
      <c r="GE171" s="227"/>
      <c r="GF171" s="227"/>
      <c r="GG171" s="227"/>
      <c r="GH171" s="227"/>
      <c r="GI171" s="227"/>
      <c r="GJ171" s="227"/>
      <c r="GK171" s="227"/>
      <c r="GL171" s="227"/>
      <c r="GM171" s="227"/>
      <c r="GN171" s="227"/>
      <c r="GO171" s="227"/>
      <c r="GP171" s="227"/>
      <c r="GQ171" s="227"/>
      <c r="GR171" s="227"/>
      <c r="GS171" s="227"/>
      <c r="GT171" s="227"/>
      <c r="GU171" s="227"/>
      <c r="GV171" s="227"/>
      <c r="GW171" s="227"/>
      <c r="GX171" s="227"/>
      <c r="GY171" s="227"/>
      <c r="GZ171" s="227"/>
      <c r="HA171" s="227"/>
      <c r="HB171" s="227"/>
      <c r="HC171" s="227"/>
      <c r="HD171" s="227"/>
      <c r="HE171" s="227"/>
      <c r="HF171" s="227"/>
      <c r="HG171" s="227"/>
      <c r="HH171" s="227"/>
      <c r="HI171" s="227"/>
      <c r="HJ171" s="227"/>
      <c r="HK171" s="227"/>
      <c r="HL171" s="227"/>
      <c r="HM171" s="227"/>
      <c r="HN171" s="227"/>
      <c r="HO171" s="227"/>
      <c r="HP171" s="227"/>
      <c r="HQ171" s="227"/>
      <c r="HR171" s="227"/>
      <c r="HS171" s="227"/>
      <c r="HT171" s="227"/>
      <c r="HU171" s="227"/>
      <c r="HV171" s="227"/>
      <c r="HW171" s="227"/>
      <c r="HX171" s="227"/>
      <c r="HY171" s="227"/>
      <c r="HZ171" s="227"/>
      <c r="IA171" s="227"/>
      <c r="IB171" s="227"/>
      <c r="IC171" s="227"/>
      <c r="ID171" s="227"/>
      <c r="IE171" s="227"/>
      <c r="IF171" s="227"/>
      <c r="IG171" s="227"/>
      <c r="IH171" s="227"/>
      <c r="II171" s="227"/>
      <c r="IJ171" s="227"/>
      <c r="IK171" s="227"/>
      <c r="IL171" s="227"/>
      <c r="IM171" s="227"/>
      <c r="IN171" s="227"/>
      <c r="IO171" s="227"/>
      <c r="IP171" s="227"/>
      <c r="IQ171" s="227"/>
      <c r="IR171" s="227"/>
      <c r="IS171" s="227"/>
      <c r="IT171" s="227"/>
      <c r="IU171" s="227"/>
      <c r="IV171" s="227"/>
      <c r="IW171" s="227"/>
    </row>
    <row r="172" customFormat="false" ht="12.75" hidden="false" customHeight="false" outlineLevel="0" collapsed="false">
      <c r="A172" s="38" t="s">
        <v>144</v>
      </c>
      <c r="B172" s="225" t="s">
        <v>269</v>
      </c>
      <c r="C172" s="104" t="s">
        <v>443</v>
      </c>
      <c r="D172" s="105" t="n">
        <v>36739</v>
      </c>
      <c r="E172" s="105" t="n">
        <v>36769</v>
      </c>
      <c r="F172" s="38" t="s">
        <v>444</v>
      </c>
      <c r="G172" s="38" t="s">
        <v>445</v>
      </c>
      <c r="H172" s="225" t="s">
        <v>154</v>
      </c>
      <c r="I172" s="106" t="n">
        <f aca="false">0.93/I$1</f>
        <v>0.03</v>
      </c>
      <c r="J172" s="107"/>
      <c r="K172" s="107"/>
      <c r="L172" s="107"/>
      <c r="M172" s="107"/>
      <c r="N172" s="107"/>
      <c r="O172" s="107"/>
      <c r="P172" s="226" t="s">
        <v>462</v>
      </c>
      <c r="Q172" s="104" t="n">
        <v>550</v>
      </c>
      <c r="R172" s="38" t="s">
        <v>463</v>
      </c>
      <c r="S172" s="110" t="n">
        <f aca="false">I172*$I$1*Q172</f>
        <v>511.5</v>
      </c>
      <c r="T172" s="110"/>
      <c r="U172" s="112" t="n">
        <v>347837</v>
      </c>
      <c r="V172" s="112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  <c r="AK172" s="227"/>
      <c r="AL172" s="227"/>
      <c r="AM172" s="227"/>
      <c r="AN172" s="227"/>
      <c r="AO172" s="227"/>
      <c r="AP172" s="227"/>
      <c r="AQ172" s="227"/>
      <c r="AR172" s="227"/>
      <c r="AS172" s="227"/>
      <c r="AT172" s="227"/>
      <c r="AU172" s="227"/>
      <c r="AV172" s="227"/>
      <c r="AW172" s="227"/>
      <c r="AX172" s="227"/>
      <c r="AY172" s="227"/>
      <c r="AZ172" s="227"/>
      <c r="BA172" s="227"/>
      <c r="BB172" s="227"/>
      <c r="BC172" s="227"/>
      <c r="BD172" s="227"/>
      <c r="BE172" s="227"/>
      <c r="BF172" s="227"/>
      <c r="BG172" s="227"/>
      <c r="BH172" s="227"/>
      <c r="BI172" s="227"/>
      <c r="BJ172" s="227"/>
      <c r="BK172" s="227"/>
      <c r="BL172" s="227"/>
      <c r="BM172" s="227"/>
      <c r="BN172" s="227"/>
      <c r="BO172" s="227"/>
      <c r="BP172" s="227"/>
      <c r="BQ172" s="227"/>
      <c r="BR172" s="227"/>
      <c r="BS172" s="227"/>
      <c r="BT172" s="227"/>
      <c r="BU172" s="227"/>
      <c r="BV172" s="227"/>
      <c r="BW172" s="227"/>
      <c r="BX172" s="227"/>
      <c r="BY172" s="227"/>
      <c r="BZ172" s="227"/>
      <c r="CA172" s="227"/>
      <c r="CB172" s="227"/>
      <c r="CC172" s="227"/>
      <c r="CD172" s="227"/>
      <c r="CE172" s="227"/>
      <c r="CF172" s="227"/>
      <c r="CG172" s="227"/>
      <c r="CH172" s="227"/>
      <c r="CI172" s="227"/>
      <c r="CJ172" s="227"/>
      <c r="CK172" s="227"/>
      <c r="CL172" s="227"/>
      <c r="CM172" s="227"/>
      <c r="CN172" s="227"/>
      <c r="CO172" s="227"/>
      <c r="CP172" s="227"/>
      <c r="CQ172" s="227"/>
      <c r="CR172" s="227"/>
      <c r="CS172" s="227"/>
      <c r="CT172" s="227"/>
      <c r="CU172" s="227"/>
      <c r="CV172" s="227"/>
      <c r="CW172" s="227"/>
      <c r="CX172" s="227"/>
      <c r="CY172" s="227"/>
      <c r="CZ172" s="227"/>
      <c r="DA172" s="227"/>
      <c r="DB172" s="227"/>
      <c r="DC172" s="227"/>
      <c r="DD172" s="227"/>
      <c r="DE172" s="227"/>
      <c r="DF172" s="227"/>
      <c r="DG172" s="227"/>
      <c r="DH172" s="227"/>
      <c r="DI172" s="227"/>
      <c r="DJ172" s="227"/>
      <c r="DK172" s="227"/>
      <c r="DL172" s="227"/>
      <c r="DM172" s="227"/>
      <c r="DN172" s="227"/>
      <c r="DO172" s="227"/>
      <c r="DP172" s="227"/>
      <c r="DQ172" s="227"/>
      <c r="DR172" s="227"/>
      <c r="DS172" s="227"/>
      <c r="DT172" s="227"/>
      <c r="DU172" s="227"/>
      <c r="DV172" s="227"/>
      <c r="DW172" s="227"/>
      <c r="DX172" s="227"/>
      <c r="DY172" s="227"/>
      <c r="DZ172" s="227"/>
      <c r="EA172" s="227"/>
      <c r="EB172" s="227"/>
      <c r="EC172" s="227"/>
      <c r="ED172" s="227"/>
      <c r="EE172" s="227"/>
      <c r="EF172" s="227"/>
      <c r="EG172" s="227"/>
      <c r="EH172" s="227"/>
      <c r="EI172" s="227"/>
      <c r="EJ172" s="227"/>
      <c r="EK172" s="227"/>
      <c r="EL172" s="227"/>
      <c r="EM172" s="227"/>
      <c r="EN172" s="227"/>
      <c r="EO172" s="227"/>
      <c r="EP172" s="227"/>
      <c r="EQ172" s="227"/>
      <c r="ER172" s="227"/>
      <c r="ES172" s="227"/>
      <c r="ET172" s="227"/>
      <c r="EU172" s="227"/>
      <c r="EV172" s="227"/>
      <c r="EW172" s="227"/>
      <c r="EX172" s="227"/>
      <c r="EY172" s="227"/>
      <c r="EZ172" s="227"/>
      <c r="FA172" s="227"/>
      <c r="FB172" s="227"/>
      <c r="FC172" s="227"/>
      <c r="FD172" s="227"/>
      <c r="FE172" s="227"/>
      <c r="FF172" s="227"/>
      <c r="FG172" s="227"/>
      <c r="FH172" s="227"/>
      <c r="FI172" s="227"/>
      <c r="FJ172" s="227"/>
      <c r="FK172" s="227"/>
      <c r="FL172" s="227"/>
      <c r="FM172" s="227"/>
      <c r="FN172" s="227"/>
      <c r="FO172" s="227"/>
      <c r="FP172" s="227"/>
      <c r="FQ172" s="227"/>
      <c r="FR172" s="227"/>
      <c r="FS172" s="227"/>
      <c r="FT172" s="227"/>
      <c r="FU172" s="227"/>
      <c r="FV172" s="227"/>
      <c r="FW172" s="227"/>
      <c r="FX172" s="227"/>
      <c r="FY172" s="227"/>
      <c r="FZ172" s="227"/>
      <c r="GA172" s="227"/>
      <c r="GB172" s="227"/>
      <c r="GC172" s="227"/>
      <c r="GD172" s="227"/>
      <c r="GE172" s="227"/>
      <c r="GF172" s="227"/>
      <c r="GG172" s="227"/>
      <c r="GH172" s="227"/>
      <c r="GI172" s="227"/>
      <c r="GJ172" s="227"/>
      <c r="GK172" s="227"/>
      <c r="GL172" s="227"/>
      <c r="GM172" s="227"/>
      <c r="GN172" s="227"/>
      <c r="GO172" s="227"/>
      <c r="GP172" s="227"/>
      <c r="GQ172" s="227"/>
      <c r="GR172" s="227"/>
      <c r="GS172" s="227"/>
      <c r="GT172" s="227"/>
      <c r="GU172" s="227"/>
      <c r="GV172" s="227"/>
      <c r="GW172" s="227"/>
      <c r="GX172" s="227"/>
      <c r="GY172" s="227"/>
      <c r="GZ172" s="227"/>
      <c r="HA172" s="227"/>
      <c r="HB172" s="227"/>
      <c r="HC172" s="227"/>
      <c r="HD172" s="227"/>
      <c r="HE172" s="227"/>
      <c r="HF172" s="227"/>
      <c r="HG172" s="227"/>
      <c r="HH172" s="227"/>
      <c r="HI172" s="227"/>
      <c r="HJ172" s="227"/>
      <c r="HK172" s="227"/>
      <c r="HL172" s="227"/>
      <c r="HM172" s="227"/>
      <c r="HN172" s="227"/>
      <c r="HO172" s="227"/>
      <c r="HP172" s="227"/>
      <c r="HQ172" s="227"/>
      <c r="HR172" s="227"/>
      <c r="HS172" s="227"/>
      <c r="HT172" s="227"/>
      <c r="HU172" s="227"/>
      <c r="HV172" s="227"/>
      <c r="HW172" s="227"/>
      <c r="HX172" s="227"/>
      <c r="HY172" s="227"/>
      <c r="HZ172" s="227"/>
      <c r="IA172" s="227"/>
      <c r="IB172" s="227"/>
      <c r="IC172" s="227"/>
      <c r="ID172" s="227"/>
      <c r="IE172" s="227"/>
      <c r="IF172" s="227"/>
      <c r="IG172" s="227"/>
      <c r="IH172" s="227"/>
      <c r="II172" s="227"/>
      <c r="IJ172" s="227"/>
      <c r="IK172" s="227"/>
      <c r="IL172" s="227"/>
      <c r="IM172" s="227"/>
      <c r="IN172" s="227"/>
      <c r="IO172" s="227"/>
      <c r="IP172" s="227"/>
      <c r="IQ172" s="227"/>
      <c r="IR172" s="227"/>
      <c r="IS172" s="227"/>
      <c r="IT172" s="227"/>
      <c r="IU172" s="227"/>
      <c r="IV172" s="227"/>
      <c r="IW172" s="227"/>
    </row>
    <row r="173" customFormat="false" ht="12.75" hidden="false" customHeight="false" outlineLevel="0" collapsed="false">
      <c r="A173" s="38" t="s">
        <v>144</v>
      </c>
      <c r="B173" s="225" t="s">
        <v>269</v>
      </c>
      <c r="C173" s="104" t="s">
        <v>443</v>
      </c>
      <c r="D173" s="105" t="n">
        <v>36739</v>
      </c>
      <c r="E173" s="105" t="n">
        <v>36769</v>
      </c>
      <c r="F173" s="38" t="s">
        <v>444</v>
      </c>
      <c r="G173" s="38" t="s">
        <v>445</v>
      </c>
      <c r="H173" s="225" t="s">
        <v>154</v>
      </c>
      <c r="I173" s="106" t="n">
        <f aca="false">0.93/I$1</f>
        <v>0.03</v>
      </c>
      <c r="J173" s="107"/>
      <c r="K173" s="107"/>
      <c r="L173" s="107"/>
      <c r="M173" s="107"/>
      <c r="N173" s="107"/>
      <c r="O173" s="107"/>
      <c r="P173" s="226" t="s">
        <v>464</v>
      </c>
      <c r="Q173" s="104" t="n">
        <v>623</v>
      </c>
      <c r="R173" s="38" t="s">
        <v>465</v>
      </c>
      <c r="S173" s="110" t="n">
        <f aca="false">I173*$I$1*Q173</f>
        <v>579.39</v>
      </c>
      <c r="T173" s="110"/>
      <c r="U173" s="112" t="n">
        <v>347846</v>
      </c>
      <c r="V173" s="112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227"/>
      <c r="BB173" s="227"/>
      <c r="BC173" s="227"/>
      <c r="BD173" s="227"/>
      <c r="BE173" s="227"/>
      <c r="BF173" s="227"/>
      <c r="BG173" s="227"/>
      <c r="BH173" s="227"/>
      <c r="BI173" s="227"/>
      <c r="BJ173" s="227"/>
      <c r="BK173" s="227"/>
      <c r="BL173" s="227"/>
      <c r="BM173" s="227"/>
      <c r="BN173" s="227"/>
      <c r="BO173" s="227"/>
      <c r="BP173" s="227"/>
      <c r="BQ173" s="227"/>
      <c r="BR173" s="227"/>
      <c r="BS173" s="227"/>
      <c r="BT173" s="227"/>
      <c r="BU173" s="227"/>
      <c r="BV173" s="227"/>
      <c r="BW173" s="227"/>
      <c r="BX173" s="227"/>
      <c r="BY173" s="227"/>
      <c r="BZ173" s="227"/>
      <c r="CA173" s="227"/>
      <c r="CB173" s="227"/>
      <c r="CC173" s="227"/>
      <c r="CD173" s="227"/>
      <c r="CE173" s="227"/>
      <c r="CF173" s="227"/>
      <c r="CG173" s="227"/>
      <c r="CH173" s="227"/>
      <c r="CI173" s="227"/>
      <c r="CJ173" s="227"/>
      <c r="CK173" s="227"/>
      <c r="CL173" s="227"/>
      <c r="CM173" s="227"/>
      <c r="CN173" s="227"/>
      <c r="CO173" s="227"/>
      <c r="CP173" s="227"/>
      <c r="CQ173" s="227"/>
      <c r="CR173" s="227"/>
      <c r="CS173" s="227"/>
      <c r="CT173" s="227"/>
      <c r="CU173" s="227"/>
      <c r="CV173" s="227"/>
      <c r="CW173" s="227"/>
      <c r="CX173" s="227"/>
      <c r="CY173" s="227"/>
      <c r="CZ173" s="227"/>
      <c r="DA173" s="227"/>
      <c r="DB173" s="227"/>
      <c r="DC173" s="227"/>
      <c r="DD173" s="227"/>
      <c r="DE173" s="227"/>
      <c r="DF173" s="227"/>
      <c r="DG173" s="227"/>
      <c r="DH173" s="227"/>
      <c r="DI173" s="227"/>
      <c r="DJ173" s="227"/>
      <c r="DK173" s="227"/>
      <c r="DL173" s="227"/>
      <c r="DM173" s="227"/>
      <c r="DN173" s="227"/>
      <c r="DO173" s="227"/>
      <c r="DP173" s="227"/>
      <c r="DQ173" s="227"/>
      <c r="DR173" s="227"/>
      <c r="DS173" s="227"/>
      <c r="DT173" s="227"/>
      <c r="DU173" s="227"/>
      <c r="DV173" s="227"/>
      <c r="DW173" s="227"/>
      <c r="DX173" s="227"/>
      <c r="DY173" s="227"/>
      <c r="DZ173" s="227"/>
      <c r="EA173" s="227"/>
      <c r="EB173" s="227"/>
      <c r="EC173" s="227"/>
      <c r="ED173" s="227"/>
      <c r="EE173" s="227"/>
      <c r="EF173" s="227"/>
      <c r="EG173" s="227"/>
      <c r="EH173" s="227"/>
      <c r="EI173" s="227"/>
      <c r="EJ173" s="227"/>
      <c r="EK173" s="227"/>
      <c r="EL173" s="227"/>
      <c r="EM173" s="227"/>
      <c r="EN173" s="227"/>
      <c r="EO173" s="227"/>
      <c r="EP173" s="227"/>
      <c r="EQ173" s="227"/>
      <c r="ER173" s="227"/>
      <c r="ES173" s="227"/>
      <c r="ET173" s="227"/>
      <c r="EU173" s="227"/>
      <c r="EV173" s="227"/>
      <c r="EW173" s="227"/>
      <c r="EX173" s="227"/>
      <c r="EY173" s="227"/>
      <c r="EZ173" s="227"/>
      <c r="FA173" s="227"/>
      <c r="FB173" s="227"/>
      <c r="FC173" s="227"/>
      <c r="FD173" s="227"/>
      <c r="FE173" s="227"/>
      <c r="FF173" s="227"/>
      <c r="FG173" s="227"/>
      <c r="FH173" s="227"/>
      <c r="FI173" s="227"/>
      <c r="FJ173" s="227"/>
      <c r="FK173" s="227"/>
      <c r="FL173" s="227"/>
      <c r="FM173" s="227"/>
      <c r="FN173" s="227"/>
      <c r="FO173" s="227"/>
      <c r="FP173" s="227"/>
      <c r="FQ173" s="227"/>
      <c r="FR173" s="227"/>
      <c r="FS173" s="227"/>
      <c r="FT173" s="227"/>
      <c r="FU173" s="227"/>
      <c r="FV173" s="227"/>
      <c r="FW173" s="227"/>
      <c r="FX173" s="227"/>
      <c r="FY173" s="227"/>
      <c r="FZ173" s="227"/>
      <c r="GA173" s="227"/>
      <c r="GB173" s="227"/>
      <c r="GC173" s="227"/>
      <c r="GD173" s="227"/>
      <c r="GE173" s="227"/>
      <c r="GF173" s="227"/>
      <c r="GG173" s="227"/>
      <c r="GH173" s="227"/>
      <c r="GI173" s="227"/>
      <c r="GJ173" s="227"/>
      <c r="GK173" s="227"/>
      <c r="GL173" s="227"/>
      <c r="GM173" s="227"/>
      <c r="GN173" s="227"/>
      <c r="GO173" s="227"/>
      <c r="GP173" s="227"/>
      <c r="GQ173" s="227"/>
      <c r="GR173" s="227"/>
      <c r="GS173" s="227"/>
      <c r="GT173" s="227"/>
      <c r="GU173" s="227"/>
      <c r="GV173" s="227"/>
      <c r="GW173" s="227"/>
      <c r="GX173" s="227"/>
      <c r="GY173" s="227"/>
      <c r="GZ173" s="227"/>
      <c r="HA173" s="227"/>
      <c r="HB173" s="227"/>
      <c r="HC173" s="227"/>
      <c r="HD173" s="227"/>
      <c r="HE173" s="227"/>
      <c r="HF173" s="227"/>
      <c r="HG173" s="227"/>
      <c r="HH173" s="227"/>
      <c r="HI173" s="227"/>
      <c r="HJ173" s="227"/>
      <c r="HK173" s="227"/>
      <c r="HL173" s="227"/>
      <c r="HM173" s="227"/>
      <c r="HN173" s="227"/>
      <c r="HO173" s="227"/>
      <c r="HP173" s="227"/>
      <c r="HQ173" s="227"/>
      <c r="HR173" s="227"/>
      <c r="HS173" s="227"/>
      <c r="HT173" s="227"/>
      <c r="HU173" s="227"/>
      <c r="HV173" s="227"/>
      <c r="HW173" s="227"/>
      <c r="HX173" s="227"/>
      <c r="HY173" s="227"/>
      <c r="HZ173" s="227"/>
      <c r="IA173" s="227"/>
      <c r="IB173" s="227"/>
      <c r="IC173" s="227"/>
      <c r="ID173" s="227"/>
      <c r="IE173" s="227"/>
      <c r="IF173" s="227"/>
      <c r="IG173" s="227"/>
      <c r="IH173" s="227"/>
      <c r="II173" s="227"/>
      <c r="IJ173" s="227"/>
      <c r="IK173" s="227"/>
      <c r="IL173" s="227"/>
      <c r="IM173" s="227"/>
      <c r="IN173" s="227"/>
      <c r="IO173" s="227"/>
      <c r="IP173" s="227"/>
      <c r="IQ173" s="227"/>
      <c r="IR173" s="227"/>
      <c r="IS173" s="227"/>
      <c r="IT173" s="227"/>
      <c r="IU173" s="227"/>
      <c r="IV173" s="227"/>
      <c r="IW173" s="227"/>
    </row>
    <row r="174" customFormat="false" ht="12.75" hidden="false" customHeight="false" outlineLevel="0" collapsed="false">
      <c r="A174" s="38" t="s">
        <v>144</v>
      </c>
      <c r="B174" s="225" t="s">
        <v>269</v>
      </c>
      <c r="C174" s="104" t="s">
        <v>443</v>
      </c>
      <c r="D174" s="105" t="n">
        <v>36739</v>
      </c>
      <c r="E174" s="105" t="n">
        <v>36769</v>
      </c>
      <c r="F174" s="38" t="s">
        <v>444</v>
      </c>
      <c r="G174" s="38" t="s">
        <v>445</v>
      </c>
      <c r="H174" s="225" t="s">
        <v>154</v>
      </c>
      <c r="I174" s="106" t="n">
        <f aca="false">0.93/I$1</f>
        <v>0.03</v>
      </c>
      <c r="J174" s="107"/>
      <c r="K174" s="107"/>
      <c r="L174" s="107"/>
      <c r="M174" s="107"/>
      <c r="N174" s="107"/>
      <c r="O174" s="107"/>
      <c r="P174" s="226" t="s">
        <v>466</v>
      </c>
      <c r="Q174" s="104" t="n">
        <v>2186</v>
      </c>
      <c r="R174" s="38" t="s">
        <v>467</v>
      </c>
      <c r="S174" s="110" t="n">
        <f aca="false">I174*$I$1*Q174</f>
        <v>2032.98</v>
      </c>
      <c r="T174" s="110"/>
      <c r="U174" s="112" t="n">
        <v>347866</v>
      </c>
      <c r="V174" s="112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27"/>
      <c r="AG174" s="227"/>
      <c r="AH174" s="227"/>
      <c r="AI174" s="227"/>
      <c r="AJ174" s="227"/>
      <c r="AK174" s="227"/>
      <c r="AL174" s="227"/>
      <c r="AM174" s="227"/>
      <c r="AN174" s="227"/>
      <c r="AO174" s="227"/>
      <c r="AP174" s="227"/>
      <c r="AQ174" s="227"/>
      <c r="AR174" s="227"/>
      <c r="AS174" s="227"/>
      <c r="AT174" s="227"/>
      <c r="AU174" s="227"/>
      <c r="AV174" s="227"/>
      <c r="AW174" s="227"/>
      <c r="AX174" s="227"/>
      <c r="AY174" s="227"/>
      <c r="AZ174" s="227"/>
      <c r="BA174" s="227"/>
      <c r="BB174" s="227"/>
      <c r="BC174" s="227"/>
      <c r="BD174" s="227"/>
      <c r="BE174" s="227"/>
      <c r="BF174" s="227"/>
      <c r="BG174" s="227"/>
      <c r="BH174" s="227"/>
      <c r="BI174" s="227"/>
      <c r="BJ174" s="227"/>
      <c r="BK174" s="227"/>
      <c r="BL174" s="227"/>
      <c r="BM174" s="227"/>
      <c r="BN174" s="227"/>
      <c r="BO174" s="227"/>
      <c r="BP174" s="227"/>
      <c r="BQ174" s="227"/>
      <c r="BR174" s="227"/>
      <c r="BS174" s="227"/>
      <c r="BT174" s="227"/>
      <c r="BU174" s="227"/>
      <c r="BV174" s="227"/>
      <c r="BW174" s="227"/>
      <c r="BX174" s="227"/>
      <c r="BY174" s="227"/>
      <c r="BZ174" s="227"/>
      <c r="CA174" s="227"/>
      <c r="CB174" s="227"/>
      <c r="CC174" s="227"/>
      <c r="CD174" s="227"/>
      <c r="CE174" s="227"/>
      <c r="CF174" s="227"/>
      <c r="CG174" s="227"/>
      <c r="CH174" s="227"/>
      <c r="CI174" s="227"/>
      <c r="CJ174" s="227"/>
      <c r="CK174" s="227"/>
      <c r="CL174" s="227"/>
      <c r="CM174" s="227"/>
      <c r="CN174" s="227"/>
      <c r="CO174" s="227"/>
      <c r="CP174" s="227"/>
      <c r="CQ174" s="227"/>
      <c r="CR174" s="227"/>
      <c r="CS174" s="227"/>
      <c r="CT174" s="227"/>
      <c r="CU174" s="227"/>
      <c r="CV174" s="227"/>
      <c r="CW174" s="227"/>
      <c r="CX174" s="227"/>
      <c r="CY174" s="227"/>
      <c r="CZ174" s="227"/>
      <c r="DA174" s="227"/>
      <c r="DB174" s="227"/>
      <c r="DC174" s="227"/>
      <c r="DD174" s="227"/>
      <c r="DE174" s="227"/>
      <c r="DF174" s="227"/>
      <c r="DG174" s="227"/>
      <c r="DH174" s="227"/>
      <c r="DI174" s="227"/>
      <c r="DJ174" s="227"/>
      <c r="DK174" s="227"/>
      <c r="DL174" s="227"/>
      <c r="DM174" s="227"/>
      <c r="DN174" s="227"/>
      <c r="DO174" s="227"/>
      <c r="DP174" s="227"/>
      <c r="DQ174" s="227"/>
      <c r="DR174" s="227"/>
      <c r="DS174" s="227"/>
      <c r="DT174" s="227"/>
      <c r="DU174" s="227"/>
      <c r="DV174" s="227"/>
      <c r="DW174" s="227"/>
      <c r="DX174" s="227"/>
      <c r="DY174" s="227"/>
      <c r="DZ174" s="227"/>
      <c r="EA174" s="227"/>
      <c r="EB174" s="227"/>
      <c r="EC174" s="227"/>
      <c r="ED174" s="227"/>
      <c r="EE174" s="227"/>
      <c r="EF174" s="227"/>
      <c r="EG174" s="227"/>
      <c r="EH174" s="227"/>
      <c r="EI174" s="227"/>
      <c r="EJ174" s="227"/>
      <c r="EK174" s="227"/>
      <c r="EL174" s="227"/>
      <c r="EM174" s="227"/>
      <c r="EN174" s="227"/>
      <c r="EO174" s="227"/>
      <c r="EP174" s="227"/>
      <c r="EQ174" s="227"/>
      <c r="ER174" s="227"/>
      <c r="ES174" s="227"/>
      <c r="ET174" s="227"/>
      <c r="EU174" s="227"/>
      <c r="EV174" s="227"/>
      <c r="EW174" s="227"/>
      <c r="EX174" s="227"/>
      <c r="EY174" s="227"/>
      <c r="EZ174" s="227"/>
      <c r="FA174" s="227"/>
      <c r="FB174" s="227"/>
      <c r="FC174" s="227"/>
      <c r="FD174" s="227"/>
      <c r="FE174" s="227"/>
      <c r="FF174" s="227"/>
      <c r="FG174" s="227"/>
      <c r="FH174" s="227"/>
      <c r="FI174" s="227"/>
      <c r="FJ174" s="227"/>
      <c r="FK174" s="227"/>
      <c r="FL174" s="227"/>
      <c r="FM174" s="227"/>
      <c r="FN174" s="227"/>
      <c r="FO174" s="227"/>
      <c r="FP174" s="227"/>
      <c r="FQ174" s="227"/>
      <c r="FR174" s="227"/>
      <c r="FS174" s="227"/>
      <c r="FT174" s="227"/>
      <c r="FU174" s="227"/>
      <c r="FV174" s="227"/>
      <c r="FW174" s="227"/>
      <c r="FX174" s="227"/>
      <c r="FY174" s="227"/>
      <c r="FZ174" s="227"/>
      <c r="GA174" s="227"/>
      <c r="GB174" s="227"/>
      <c r="GC174" s="227"/>
      <c r="GD174" s="227"/>
      <c r="GE174" s="227"/>
      <c r="GF174" s="227"/>
      <c r="GG174" s="227"/>
      <c r="GH174" s="227"/>
      <c r="GI174" s="227"/>
      <c r="GJ174" s="227"/>
      <c r="GK174" s="227"/>
      <c r="GL174" s="227"/>
      <c r="GM174" s="227"/>
      <c r="GN174" s="227"/>
      <c r="GO174" s="227"/>
      <c r="GP174" s="227"/>
      <c r="GQ174" s="227"/>
      <c r="GR174" s="227"/>
      <c r="GS174" s="227"/>
      <c r="GT174" s="227"/>
      <c r="GU174" s="227"/>
      <c r="GV174" s="227"/>
      <c r="GW174" s="227"/>
      <c r="GX174" s="227"/>
      <c r="GY174" s="227"/>
      <c r="GZ174" s="227"/>
      <c r="HA174" s="227"/>
      <c r="HB174" s="227"/>
      <c r="HC174" s="227"/>
      <c r="HD174" s="227"/>
      <c r="HE174" s="227"/>
      <c r="HF174" s="227"/>
      <c r="HG174" s="227"/>
      <c r="HH174" s="227"/>
      <c r="HI174" s="227"/>
      <c r="HJ174" s="227"/>
      <c r="HK174" s="227"/>
      <c r="HL174" s="227"/>
      <c r="HM174" s="227"/>
      <c r="HN174" s="227"/>
      <c r="HO174" s="227"/>
      <c r="HP174" s="227"/>
      <c r="HQ174" s="227"/>
      <c r="HR174" s="227"/>
      <c r="HS174" s="227"/>
      <c r="HT174" s="227"/>
      <c r="HU174" s="227"/>
      <c r="HV174" s="227"/>
      <c r="HW174" s="227"/>
      <c r="HX174" s="227"/>
      <c r="HY174" s="227"/>
      <c r="HZ174" s="227"/>
      <c r="IA174" s="227"/>
      <c r="IB174" s="227"/>
      <c r="IC174" s="227"/>
      <c r="ID174" s="227"/>
      <c r="IE174" s="227"/>
      <c r="IF174" s="227"/>
      <c r="IG174" s="227"/>
      <c r="IH174" s="227"/>
      <c r="II174" s="227"/>
      <c r="IJ174" s="227"/>
      <c r="IK174" s="227"/>
      <c r="IL174" s="227"/>
      <c r="IM174" s="227"/>
      <c r="IN174" s="227"/>
      <c r="IO174" s="227"/>
      <c r="IP174" s="227"/>
      <c r="IQ174" s="227"/>
      <c r="IR174" s="227"/>
      <c r="IS174" s="227"/>
      <c r="IT174" s="227"/>
      <c r="IU174" s="227"/>
      <c r="IV174" s="227"/>
      <c r="IW174" s="227"/>
    </row>
    <row r="175" customFormat="false" ht="12.75" hidden="false" customHeight="false" outlineLevel="0" collapsed="false">
      <c r="A175" s="38" t="s">
        <v>144</v>
      </c>
      <c r="B175" s="225" t="s">
        <v>269</v>
      </c>
      <c r="C175" s="104" t="s">
        <v>443</v>
      </c>
      <c r="D175" s="105" t="n">
        <v>36739</v>
      </c>
      <c r="E175" s="105" t="n">
        <v>36769</v>
      </c>
      <c r="F175" s="38" t="s">
        <v>444</v>
      </c>
      <c r="G175" s="38" t="s">
        <v>445</v>
      </c>
      <c r="H175" s="225" t="s">
        <v>154</v>
      </c>
      <c r="I175" s="106" t="n">
        <f aca="false">0.93/I$1</f>
        <v>0.03</v>
      </c>
      <c r="J175" s="107"/>
      <c r="K175" s="107"/>
      <c r="L175" s="107"/>
      <c r="M175" s="107"/>
      <c r="N175" s="107"/>
      <c r="O175" s="107"/>
      <c r="P175" s="226" t="s">
        <v>468</v>
      </c>
      <c r="Q175" s="104" t="n">
        <v>600</v>
      </c>
      <c r="R175" s="38" t="s">
        <v>469</v>
      </c>
      <c r="S175" s="110" t="n">
        <f aca="false">I175*$I$1*Q175</f>
        <v>558</v>
      </c>
      <c r="T175" s="110"/>
      <c r="U175" s="112" t="n">
        <v>347990</v>
      </c>
      <c r="V175" s="112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7"/>
      <c r="AH175" s="227"/>
      <c r="AI175" s="227"/>
      <c r="AJ175" s="227"/>
      <c r="AK175" s="227"/>
      <c r="AL175" s="227"/>
      <c r="AM175" s="227"/>
      <c r="AN175" s="227"/>
      <c r="AO175" s="227"/>
      <c r="AP175" s="227"/>
      <c r="AQ175" s="227"/>
      <c r="AR175" s="227"/>
      <c r="AS175" s="227"/>
      <c r="AT175" s="227"/>
      <c r="AU175" s="227"/>
      <c r="AV175" s="227"/>
      <c r="AW175" s="227"/>
      <c r="AX175" s="227"/>
      <c r="AY175" s="227"/>
      <c r="AZ175" s="227"/>
      <c r="BA175" s="227"/>
      <c r="BB175" s="227"/>
      <c r="BC175" s="227"/>
      <c r="BD175" s="227"/>
      <c r="BE175" s="227"/>
      <c r="BF175" s="227"/>
      <c r="BG175" s="227"/>
      <c r="BH175" s="227"/>
      <c r="BI175" s="227"/>
      <c r="BJ175" s="227"/>
      <c r="BK175" s="227"/>
      <c r="BL175" s="227"/>
      <c r="BM175" s="227"/>
      <c r="BN175" s="227"/>
      <c r="BO175" s="227"/>
      <c r="BP175" s="227"/>
      <c r="BQ175" s="227"/>
      <c r="BR175" s="227"/>
      <c r="BS175" s="227"/>
      <c r="BT175" s="227"/>
      <c r="BU175" s="227"/>
      <c r="BV175" s="227"/>
      <c r="BW175" s="227"/>
      <c r="BX175" s="227"/>
      <c r="BY175" s="227"/>
      <c r="BZ175" s="227"/>
      <c r="CA175" s="227"/>
      <c r="CB175" s="227"/>
      <c r="CC175" s="227"/>
      <c r="CD175" s="227"/>
      <c r="CE175" s="227"/>
      <c r="CF175" s="227"/>
      <c r="CG175" s="227"/>
      <c r="CH175" s="227"/>
      <c r="CI175" s="227"/>
      <c r="CJ175" s="227"/>
      <c r="CK175" s="227"/>
      <c r="CL175" s="227"/>
      <c r="CM175" s="227"/>
      <c r="CN175" s="227"/>
      <c r="CO175" s="227"/>
      <c r="CP175" s="227"/>
      <c r="CQ175" s="227"/>
      <c r="CR175" s="227"/>
      <c r="CS175" s="227"/>
      <c r="CT175" s="227"/>
      <c r="CU175" s="227"/>
      <c r="CV175" s="227"/>
      <c r="CW175" s="227"/>
      <c r="CX175" s="227"/>
      <c r="CY175" s="227"/>
      <c r="CZ175" s="227"/>
      <c r="DA175" s="227"/>
      <c r="DB175" s="227"/>
      <c r="DC175" s="227"/>
      <c r="DD175" s="227"/>
      <c r="DE175" s="227"/>
      <c r="DF175" s="227"/>
      <c r="DG175" s="227"/>
      <c r="DH175" s="227"/>
      <c r="DI175" s="227"/>
      <c r="DJ175" s="227"/>
      <c r="DK175" s="227"/>
      <c r="DL175" s="227"/>
      <c r="DM175" s="227"/>
      <c r="DN175" s="227"/>
      <c r="DO175" s="227"/>
      <c r="DP175" s="227"/>
      <c r="DQ175" s="227"/>
      <c r="DR175" s="227"/>
      <c r="DS175" s="227"/>
      <c r="DT175" s="227"/>
      <c r="DU175" s="227"/>
      <c r="DV175" s="227"/>
      <c r="DW175" s="227"/>
      <c r="DX175" s="227"/>
      <c r="DY175" s="227"/>
      <c r="DZ175" s="227"/>
      <c r="EA175" s="227"/>
      <c r="EB175" s="227"/>
      <c r="EC175" s="227"/>
      <c r="ED175" s="227"/>
      <c r="EE175" s="227"/>
      <c r="EF175" s="227"/>
      <c r="EG175" s="227"/>
      <c r="EH175" s="227"/>
      <c r="EI175" s="227"/>
      <c r="EJ175" s="227"/>
      <c r="EK175" s="227"/>
      <c r="EL175" s="227"/>
      <c r="EM175" s="227"/>
      <c r="EN175" s="227"/>
      <c r="EO175" s="227"/>
      <c r="EP175" s="227"/>
      <c r="EQ175" s="227"/>
      <c r="ER175" s="227"/>
      <c r="ES175" s="227"/>
      <c r="ET175" s="227"/>
      <c r="EU175" s="227"/>
      <c r="EV175" s="227"/>
      <c r="EW175" s="227"/>
      <c r="EX175" s="227"/>
      <c r="EY175" s="227"/>
      <c r="EZ175" s="227"/>
      <c r="FA175" s="227"/>
      <c r="FB175" s="227"/>
      <c r="FC175" s="227"/>
      <c r="FD175" s="227"/>
      <c r="FE175" s="227"/>
      <c r="FF175" s="227"/>
      <c r="FG175" s="227"/>
      <c r="FH175" s="227"/>
      <c r="FI175" s="227"/>
      <c r="FJ175" s="227"/>
      <c r="FK175" s="227"/>
      <c r="FL175" s="227"/>
      <c r="FM175" s="227"/>
      <c r="FN175" s="227"/>
      <c r="FO175" s="227"/>
      <c r="FP175" s="227"/>
      <c r="FQ175" s="227"/>
      <c r="FR175" s="227"/>
      <c r="FS175" s="227"/>
      <c r="FT175" s="227"/>
      <c r="FU175" s="227"/>
      <c r="FV175" s="227"/>
      <c r="FW175" s="227"/>
      <c r="FX175" s="227"/>
      <c r="FY175" s="227"/>
      <c r="FZ175" s="227"/>
      <c r="GA175" s="227"/>
      <c r="GB175" s="227"/>
      <c r="GC175" s="227"/>
      <c r="GD175" s="227"/>
      <c r="GE175" s="227"/>
      <c r="GF175" s="227"/>
      <c r="GG175" s="227"/>
      <c r="GH175" s="227"/>
      <c r="GI175" s="227"/>
      <c r="GJ175" s="227"/>
      <c r="GK175" s="227"/>
      <c r="GL175" s="227"/>
      <c r="GM175" s="227"/>
      <c r="GN175" s="227"/>
      <c r="GO175" s="227"/>
      <c r="GP175" s="227"/>
      <c r="GQ175" s="227"/>
      <c r="GR175" s="227"/>
      <c r="GS175" s="227"/>
      <c r="GT175" s="227"/>
      <c r="GU175" s="227"/>
      <c r="GV175" s="227"/>
      <c r="GW175" s="227"/>
      <c r="GX175" s="227"/>
      <c r="GY175" s="227"/>
      <c r="GZ175" s="227"/>
      <c r="HA175" s="227"/>
      <c r="HB175" s="227"/>
      <c r="HC175" s="227"/>
      <c r="HD175" s="227"/>
      <c r="HE175" s="227"/>
      <c r="HF175" s="227"/>
      <c r="HG175" s="227"/>
      <c r="HH175" s="227"/>
      <c r="HI175" s="227"/>
      <c r="HJ175" s="227"/>
      <c r="HK175" s="227"/>
      <c r="HL175" s="227"/>
      <c r="HM175" s="227"/>
      <c r="HN175" s="227"/>
      <c r="HO175" s="227"/>
      <c r="HP175" s="227"/>
      <c r="HQ175" s="227"/>
      <c r="HR175" s="227"/>
      <c r="HS175" s="227"/>
      <c r="HT175" s="227"/>
      <c r="HU175" s="227"/>
      <c r="HV175" s="227"/>
      <c r="HW175" s="227"/>
      <c r="HX175" s="227"/>
      <c r="HY175" s="227"/>
      <c r="HZ175" s="227"/>
      <c r="IA175" s="227"/>
      <c r="IB175" s="227"/>
      <c r="IC175" s="227"/>
      <c r="ID175" s="227"/>
      <c r="IE175" s="227"/>
      <c r="IF175" s="227"/>
      <c r="IG175" s="227"/>
      <c r="IH175" s="227"/>
      <c r="II175" s="227"/>
      <c r="IJ175" s="227"/>
      <c r="IK175" s="227"/>
      <c r="IL175" s="227"/>
      <c r="IM175" s="227"/>
      <c r="IN175" s="227"/>
      <c r="IO175" s="227"/>
      <c r="IP175" s="227"/>
      <c r="IQ175" s="227"/>
      <c r="IR175" s="227"/>
      <c r="IS175" s="227"/>
      <c r="IT175" s="227"/>
      <c r="IU175" s="227"/>
      <c r="IV175" s="227"/>
      <c r="IW175" s="227"/>
    </row>
    <row r="176" customFormat="false" ht="12.75" hidden="false" customHeight="false" outlineLevel="0" collapsed="false">
      <c r="A176" s="38" t="s">
        <v>144</v>
      </c>
      <c r="B176" s="225" t="s">
        <v>269</v>
      </c>
      <c r="C176" s="104" t="s">
        <v>443</v>
      </c>
      <c r="D176" s="105" t="n">
        <v>36739</v>
      </c>
      <c r="E176" s="105" t="n">
        <v>36769</v>
      </c>
      <c r="F176" s="38" t="s">
        <v>444</v>
      </c>
      <c r="G176" s="38" t="s">
        <v>445</v>
      </c>
      <c r="H176" s="225" t="s">
        <v>154</v>
      </c>
      <c r="I176" s="106" t="n">
        <f aca="false">0.93/I$1</f>
        <v>0.03</v>
      </c>
      <c r="J176" s="107"/>
      <c r="K176" s="107"/>
      <c r="L176" s="107"/>
      <c r="M176" s="107"/>
      <c r="N176" s="107"/>
      <c r="O176" s="107"/>
      <c r="P176" s="226" t="s">
        <v>470</v>
      </c>
      <c r="Q176" s="104" t="n">
        <v>1391</v>
      </c>
      <c r="R176" s="38" t="s">
        <v>471</v>
      </c>
      <c r="S176" s="110" t="n">
        <f aca="false">I176*$I$1*Q176</f>
        <v>1293.63</v>
      </c>
      <c r="T176" s="110"/>
      <c r="U176" s="112" t="n">
        <v>348010</v>
      </c>
      <c r="V176" s="112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227"/>
      <c r="AH176" s="227"/>
      <c r="AI176" s="227"/>
      <c r="AJ176" s="227"/>
      <c r="AK176" s="227"/>
      <c r="AL176" s="227"/>
      <c r="AM176" s="227"/>
      <c r="AN176" s="227"/>
      <c r="AO176" s="227"/>
      <c r="AP176" s="227"/>
      <c r="AQ176" s="227"/>
      <c r="AR176" s="227"/>
      <c r="AS176" s="227"/>
      <c r="AT176" s="227"/>
      <c r="AU176" s="227"/>
      <c r="AV176" s="227"/>
      <c r="AW176" s="227"/>
      <c r="AX176" s="227"/>
      <c r="AY176" s="227"/>
      <c r="AZ176" s="227"/>
      <c r="BA176" s="227"/>
      <c r="BB176" s="227"/>
      <c r="BC176" s="227"/>
      <c r="BD176" s="227"/>
      <c r="BE176" s="227"/>
      <c r="BF176" s="227"/>
      <c r="BG176" s="227"/>
      <c r="BH176" s="227"/>
      <c r="BI176" s="227"/>
      <c r="BJ176" s="227"/>
      <c r="BK176" s="227"/>
      <c r="BL176" s="227"/>
      <c r="BM176" s="227"/>
      <c r="BN176" s="227"/>
      <c r="BO176" s="227"/>
      <c r="BP176" s="227"/>
      <c r="BQ176" s="227"/>
      <c r="BR176" s="227"/>
      <c r="BS176" s="227"/>
      <c r="BT176" s="227"/>
      <c r="BU176" s="227"/>
      <c r="BV176" s="227"/>
      <c r="BW176" s="227"/>
      <c r="BX176" s="227"/>
      <c r="BY176" s="227"/>
      <c r="BZ176" s="227"/>
      <c r="CA176" s="227"/>
      <c r="CB176" s="227"/>
      <c r="CC176" s="227"/>
      <c r="CD176" s="227"/>
      <c r="CE176" s="227"/>
      <c r="CF176" s="227"/>
      <c r="CG176" s="227"/>
      <c r="CH176" s="227"/>
      <c r="CI176" s="227"/>
      <c r="CJ176" s="227"/>
      <c r="CK176" s="227"/>
      <c r="CL176" s="227"/>
      <c r="CM176" s="227"/>
      <c r="CN176" s="227"/>
      <c r="CO176" s="227"/>
      <c r="CP176" s="227"/>
      <c r="CQ176" s="227"/>
      <c r="CR176" s="227"/>
      <c r="CS176" s="227"/>
      <c r="CT176" s="227"/>
      <c r="CU176" s="227"/>
      <c r="CV176" s="227"/>
      <c r="CW176" s="227"/>
      <c r="CX176" s="227"/>
      <c r="CY176" s="227"/>
      <c r="CZ176" s="227"/>
      <c r="DA176" s="227"/>
      <c r="DB176" s="227"/>
      <c r="DC176" s="227"/>
      <c r="DD176" s="227"/>
      <c r="DE176" s="227"/>
      <c r="DF176" s="227"/>
      <c r="DG176" s="227"/>
      <c r="DH176" s="227"/>
      <c r="DI176" s="227"/>
      <c r="DJ176" s="227"/>
      <c r="DK176" s="227"/>
      <c r="DL176" s="227"/>
      <c r="DM176" s="227"/>
      <c r="DN176" s="227"/>
      <c r="DO176" s="227"/>
      <c r="DP176" s="227"/>
      <c r="DQ176" s="227"/>
      <c r="DR176" s="227"/>
      <c r="DS176" s="227"/>
      <c r="DT176" s="227"/>
      <c r="DU176" s="227"/>
      <c r="DV176" s="227"/>
      <c r="DW176" s="227"/>
      <c r="DX176" s="227"/>
      <c r="DY176" s="227"/>
      <c r="DZ176" s="227"/>
      <c r="EA176" s="227"/>
      <c r="EB176" s="227"/>
      <c r="EC176" s="227"/>
      <c r="ED176" s="227"/>
      <c r="EE176" s="227"/>
      <c r="EF176" s="227"/>
      <c r="EG176" s="227"/>
      <c r="EH176" s="227"/>
      <c r="EI176" s="227"/>
      <c r="EJ176" s="227"/>
      <c r="EK176" s="227"/>
      <c r="EL176" s="227"/>
      <c r="EM176" s="227"/>
      <c r="EN176" s="227"/>
      <c r="EO176" s="227"/>
      <c r="EP176" s="227"/>
      <c r="EQ176" s="227"/>
      <c r="ER176" s="227"/>
      <c r="ES176" s="227"/>
      <c r="ET176" s="227"/>
      <c r="EU176" s="227"/>
      <c r="EV176" s="227"/>
      <c r="EW176" s="227"/>
      <c r="EX176" s="227"/>
      <c r="EY176" s="227"/>
      <c r="EZ176" s="227"/>
      <c r="FA176" s="227"/>
      <c r="FB176" s="227"/>
      <c r="FC176" s="227"/>
      <c r="FD176" s="227"/>
      <c r="FE176" s="227"/>
      <c r="FF176" s="227"/>
      <c r="FG176" s="227"/>
      <c r="FH176" s="227"/>
      <c r="FI176" s="227"/>
      <c r="FJ176" s="227"/>
      <c r="FK176" s="227"/>
      <c r="FL176" s="227"/>
      <c r="FM176" s="227"/>
      <c r="FN176" s="227"/>
      <c r="FO176" s="227"/>
      <c r="FP176" s="227"/>
      <c r="FQ176" s="227"/>
      <c r="FR176" s="227"/>
      <c r="FS176" s="227"/>
      <c r="FT176" s="227"/>
      <c r="FU176" s="227"/>
      <c r="FV176" s="227"/>
      <c r="FW176" s="227"/>
      <c r="FX176" s="227"/>
      <c r="FY176" s="227"/>
      <c r="FZ176" s="227"/>
      <c r="GA176" s="227"/>
      <c r="GB176" s="227"/>
      <c r="GC176" s="227"/>
      <c r="GD176" s="227"/>
      <c r="GE176" s="227"/>
      <c r="GF176" s="227"/>
      <c r="GG176" s="227"/>
      <c r="GH176" s="227"/>
      <c r="GI176" s="227"/>
      <c r="GJ176" s="227"/>
      <c r="GK176" s="227"/>
      <c r="GL176" s="227"/>
      <c r="GM176" s="227"/>
      <c r="GN176" s="227"/>
      <c r="GO176" s="227"/>
      <c r="GP176" s="227"/>
      <c r="GQ176" s="227"/>
      <c r="GR176" s="227"/>
      <c r="GS176" s="227"/>
      <c r="GT176" s="227"/>
      <c r="GU176" s="227"/>
      <c r="GV176" s="227"/>
      <c r="GW176" s="227"/>
      <c r="GX176" s="227"/>
      <c r="GY176" s="227"/>
      <c r="GZ176" s="227"/>
      <c r="HA176" s="227"/>
      <c r="HB176" s="227"/>
      <c r="HC176" s="227"/>
      <c r="HD176" s="227"/>
      <c r="HE176" s="227"/>
      <c r="HF176" s="227"/>
      <c r="HG176" s="227"/>
      <c r="HH176" s="227"/>
      <c r="HI176" s="227"/>
      <c r="HJ176" s="227"/>
      <c r="HK176" s="227"/>
      <c r="HL176" s="227"/>
      <c r="HM176" s="227"/>
      <c r="HN176" s="227"/>
      <c r="HO176" s="227"/>
      <c r="HP176" s="227"/>
      <c r="HQ176" s="227"/>
      <c r="HR176" s="227"/>
      <c r="HS176" s="227"/>
      <c r="HT176" s="227"/>
      <c r="HU176" s="227"/>
      <c r="HV176" s="227"/>
      <c r="HW176" s="227"/>
      <c r="HX176" s="227"/>
      <c r="HY176" s="227"/>
      <c r="HZ176" s="227"/>
      <c r="IA176" s="227"/>
      <c r="IB176" s="227"/>
      <c r="IC176" s="227"/>
      <c r="ID176" s="227"/>
      <c r="IE176" s="227"/>
      <c r="IF176" s="227"/>
      <c r="IG176" s="227"/>
      <c r="IH176" s="227"/>
      <c r="II176" s="227"/>
      <c r="IJ176" s="227"/>
      <c r="IK176" s="227"/>
      <c r="IL176" s="227"/>
      <c r="IM176" s="227"/>
      <c r="IN176" s="227"/>
      <c r="IO176" s="227"/>
      <c r="IP176" s="227"/>
      <c r="IQ176" s="227"/>
      <c r="IR176" s="227"/>
      <c r="IS176" s="227"/>
      <c r="IT176" s="227"/>
      <c r="IU176" s="227"/>
      <c r="IV176" s="227"/>
      <c r="IW176" s="227"/>
    </row>
    <row r="177" customFormat="false" ht="12.75" hidden="false" customHeight="false" outlineLevel="0" collapsed="false">
      <c r="N177" s="27"/>
      <c r="P177" s="1"/>
      <c r="Q177" s="1"/>
      <c r="S177" s="165"/>
      <c r="W177" s="27"/>
    </row>
    <row r="178" customFormat="false" ht="12.75" hidden="false" customHeight="false" outlineLevel="0" collapsed="false">
      <c r="A178" s="85"/>
      <c r="B178" s="69"/>
      <c r="C178" s="69"/>
      <c r="D178" s="86"/>
      <c r="E178" s="86"/>
      <c r="F178" s="85"/>
      <c r="G178" s="85"/>
      <c r="H178" s="69"/>
      <c r="I178" s="88"/>
      <c r="J178" s="68"/>
      <c r="K178" s="68"/>
      <c r="L178" s="68"/>
      <c r="M178" s="68"/>
      <c r="N178" s="89"/>
      <c r="O178" s="68"/>
      <c r="P178" s="161"/>
      <c r="Q178" s="69" t="n">
        <f aca="false">SUM(Q149:Q177)</f>
        <v>131233</v>
      </c>
      <c r="R178" s="85" t="s">
        <v>164</v>
      </c>
      <c r="S178" s="35" t="n">
        <f aca="false">SUM(S149:S177)</f>
        <v>426389.858632258</v>
      </c>
      <c r="T178" s="35"/>
      <c r="U178" s="36"/>
      <c r="V178" s="37"/>
      <c r="W178" s="37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  <c r="AH178" s="162"/>
      <c r="AI178" s="162"/>
      <c r="AJ178" s="162"/>
      <c r="AK178" s="162"/>
      <c r="AL178" s="162"/>
      <c r="AM178" s="162"/>
      <c r="AN178" s="162"/>
      <c r="AO178" s="162"/>
      <c r="AP178" s="162"/>
      <c r="AQ178" s="162"/>
      <c r="AR178" s="162"/>
      <c r="AS178" s="162"/>
      <c r="AT178" s="162"/>
      <c r="AU178" s="162"/>
      <c r="AV178" s="162"/>
      <c r="AW178" s="162"/>
      <c r="AX178" s="162"/>
      <c r="AY178" s="162"/>
      <c r="AZ178" s="162"/>
      <c r="BA178" s="162"/>
      <c r="BB178" s="162"/>
      <c r="BC178" s="162"/>
      <c r="BD178" s="162"/>
      <c r="BE178" s="162"/>
      <c r="BF178" s="162"/>
      <c r="BG178" s="162"/>
      <c r="BH178" s="162"/>
      <c r="BI178" s="162"/>
      <c r="BJ178" s="162"/>
      <c r="BK178" s="162"/>
      <c r="BL178" s="162"/>
      <c r="BM178" s="162"/>
      <c r="BN178" s="162"/>
      <c r="BO178" s="162"/>
      <c r="BP178" s="162"/>
      <c r="BQ178" s="162"/>
      <c r="BR178" s="162"/>
      <c r="BS178" s="162"/>
      <c r="BT178" s="162"/>
      <c r="BU178" s="162"/>
      <c r="BV178" s="162"/>
      <c r="BW178" s="162"/>
      <c r="BX178" s="162"/>
      <c r="BY178" s="162"/>
      <c r="BZ178" s="162"/>
      <c r="CA178" s="162"/>
      <c r="CB178" s="162"/>
      <c r="CC178" s="162"/>
      <c r="CD178" s="162"/>
      <c r="CE178" s="162"/>
      <c r="CF178" s="162"/>
      <c r="CG178" s="162"/>
      <c r="CH178" s="162"/>
      <c r="CI178" s="162"/>
      <c r="CJ178" s="162"/>
      <c r="CK178" s="162"/>
      <c r="CL178" s="162"/>
      <c r="CM178" s="162"/>
      <c r="CN178" s="162"/>
      <c r="CO178" s="162"/>
      <c r="CP178" s="162"/>
      <c r="CQ178" s="162"/>
      <c r="CR178" s="162"/>
      <c r="CS178" s="162"/>
      <c r="CT178" s="162"/>
      <c r="CU178" s="162"/>
      <c r="CV178" s="162"/>
      <c r="CW178" s="162"/>
      <c r="CX178" s="162"/>
      <c r="CY178" s="162"/>
      <c r="CZ178" s="162"/>
      <c r="DA178" s="162"/>
      <c r="DB178" s="162"/>
      <c r="DC178" s="162"/>
      <c r="DD178" s="162"/>
      <c r="DE178" s="162"/>
      <c r="DF178" s="162"/>
      <c r="DG178" s="162"/>
      <c r="DH178" s="162"/>
      <c r="DI178" s="162"/>
      <c r="DJ178" s="162"/>
      <c r="DK178" s="162"/>
      <c r="DL178" s="162"/>
      <c r="DM178" s="162"/>
      <c r="DN178" s="162"/>
      <c r="DO178" s="162"/>
      <c r="DP178" s="162"/>
      <c r="DQ178" s="162"/>
      <c r="DR178" s="162"/>
      <c r="DS178" s="162"/>
      <c r="DT178" s="162"/>
      <c r="DU178" s="162"/>
      <c r="DV178" s="162"/>
      <c r="DW178" s="162"/>
      <c r="DX178" s="162"/>
      <c r="DY178" s="162"/>
      <c r="DZ178" s="162"/>
      <c r="EA178" s="162"/>
      <c r="EB178" s="162"/>
      <c r="EC178" s="162"/>
      <c r="ED178" s="162"/>
      <c r="EE178" s="162"/>
      <c r="EF178" s="162"/>
      <c r="EG178" s="162"/>
      <c r="EH178" s="162"/>
      <c r="EI178" s="162"/>
      <c r="EJ178" s="162"/>
      <c r="EK178" s="162"/>
      <c r="EL178" s="162"/>
      <c r="EM178" s="162"/>
      <c r="EN178" s="162"/>
      <c r="EO178" s="162"/>
      <c r="EP178" s="162"/>
      <c r="EQ178" s="162"/>
      <c r="ER178" s="162"/>
      <c r="ES178" s="162"/>
      <c r="ET178" s="162"/>
      <c r="EU178" s="162"/>
      <c r="EV178" s="162"/>
      <c r="EW178" s="162"/>
      <c r="EX178" s="162"/>
      <c r="EY178" s="162"/>
      <c r="EZ178" s="162"/>
      <c r="FA178" s="162"/>
      <c r="FB178" s="162"/>
      <c r="FC178" s="162"/>
      <c r="FD178" s="162"/>
      <c r="FE178" s="162"/>
      <c r="FF178" s="162"/>
      <c r="FG178" s="162"/>
      <c r="FH178" s="162"/>
      <c r="FI178" s="162"/>
      <c r="FJ178" s="162"/>
      <c r="FK178" s="162"/>
      <c r="FL178" s="162"/>
      <c r="FM178" s="162"/>
      <c r="FN178" s="162"/>
      <c r="FO178" s="162"/>
      <c r="FP178" s="162"/>
      <c r="FQ178" s="162"/>
      <c r="FR178" s="162"/>
      <c r="FS178" s="162"/>
      <c r="FT178" s="162"/>
      <c r="FU178" s="162"/>
      <c r="FV178" s="162"/>
      <c r="FW178" s="162"/>
      <c r="FX178" s="162"/>
      <c r="FY178" s="162"/>
      <c r="FZ178" s="162"/>
      <c r="GA178" s="162"/>
      <c r="GB178" s="162"/>
      <c r="GC178" s="162"/>
      <c r="GD178" s="162"/>
      <c r="GE178" s="162"/>
      <c r="GF178" s="162"/>
      <c r="GG178" s="162"/>
      <c r="GH178" s="162"/>
      <c r="GI178" s="162"/>
      <c r="GJ178" s="162"/>
      <c r="GK178" s="162"/>
      <c r="GL178" s="162"/>
      <c r="GM178" s="162"/>
      <c r="GN178" s="162"/>
      <c r="GO178" s="162"/>
      <c r="GP178" s="162"/>
      <c r="GQ178" s="162"/>
      <c r="GR178" s="162"/>
      <c r="GS178" s="162"/>
      <c r="GT178" s="162"/>
      <c r="GU178" s="162"/>
      <c r="GV178" s="162"/>
      <c r="GW178" s="162"/>
      <c r="GX178" s="162"/>
      <c r="GY178" s="162"/>
      <c r="GZ178" s="162"/>
      <c r="HA178" s="162"/>
      <c r="HB178" s="162"/>
      <c r="HC178" s="162"/>
      <c r="HD178" s="162"/>
      <c r="HE178" s="162"/>
      <c r="HF178" s="162"/>
      <c r="HG178" s="162"/>
      <c r="HH178" s="162"/>
      <c r="HI178" s="162"/>
      <c r="HJ178" s="162"/>
      <c r="HK178" s="162"/>
      <c r="HL178" s="162"/>
      <c r="HM178" s="162"/>
      <c r="HN178" s="162"/>
      <c r="HO178" s="162"/>
      <c r="HP178" s="162"/>
      <c r="HQ178" s="162"/>
      <c r="HR178" s="162"/>
      <c r="HS178" s="162"/>
      <c r="HT178" s="162"/>
      <c r="HU178" s="162"/>
      <c r="HV178" s="162"/>
      <c r="HW178" s="162"/>
      <c r="HX178" s="162"/>
      <c r="HY178" s="162"/>
      <c r="HZ178" s="162"/>
      <c r="IA178" s="162"/>
      <c r="IB178" s="162"/>
      <c r="IC178" s="162"/>
      <c r="ID178" s="162"/>
      <c r="IE178" s="162"/>
      <c r="IF178" s="162"/>
      <c r="IG178" s="162"/>
      <c r="IH178" s="162"/>
      <c r="II178" s="162"/>
      <c r="IJ178" s="162"/>
      <c r="IK178" s="162"/>
      <c r="IL178" s="162"/>
      <c r="IM178" s="162"/>
      <c r="IN178" s="162"/>
      <c r="IO178" s="162"/>
      <c r="IP178" s="162"/>
      <c r="IQ178" s="162"/>
      <c r="IR178" s="162"/>
      <c r="IS178" s="162"/>
      <c r="IT178" s="162"/>
      <c r="IU178" s="162"/>
      <c r="IV178" s="162"/>
      <c r="IW178" s="162"/>
    </row>
    <row r="179" customFormat="false" ht="12.75" hidden="false" customHeight="false" outlineLevel="0" collapsed="false">
      <c r="A179" s="15"/>
      <c r="B179" s="16"/>
      <c r="C179" s="16"/>
      <c r="D179" s="17"/>
      <c r="E179" s="17"/>
      <c r="F179" s="15"/>
      <c r="G179" s="15"/>
      <c r="H179" s="16"/>
      <c r="I179" s="19"/>
      <c r="J179" s="20"/>
      <c r="K179" s="20"/>
      <c r="L179" s="20"/>
      <c r="M179" s="20"/>
      <c r="N179" s="25"/>
      <c r="O179" s="20"/>
      <c r="P179" s="22"/>
      <c r="Q179" s="71"/>
      <c r="R179" s="85" t="s">
        <v>165</v>
      </c>
      <c r="S179" s="35" t="n">
        <f aca="false">SUM(S164:S176)</f>
        <v>15810</v>
      </c>
      <c r="T179" s="23"/>
      <c r="U179" s="26"/>
      <c r="V179" s="24"/>
      <c r="W179" s="24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3.5" hidden="false" customHeight="false" outlineLevel="0" collapsed="false">
      <c r="A180" s="15"/>
      <c r="B180" s="16"/>
      <c r="C180" s="16"/>
      <c r="D180" s="17"/>
      <c r="E180" s="17"/>
      <c r="F180" s="15"/>
      <c r="G180" s="15"/>
      <c r="H180" s="16"/>
      <c r="I180" s="19"/>
      <c r="J180" s="20"/>
      <c r="K180" s="20"/>
      <c r="L180" s="20"/>
      <c r="M180" s="20"/>
      <c r="N180" s="25"/>
      <c r="O180" s="20"/>
      <c r="P180" s="22"/>
      <c r="Q180" s="71"/>
      <c r="R180" s="85" t="s">
        <v>166</v>
      </c>
      <c r="S180" s="223" t="n">
        <f aca="false">+S178-S179</f>
        <v>410579.858632258</v>
      </c>
      <c r="T180" s="23"/>
      <c r="U180" s="26"/>
      <c r="V180" s="24"/>
      <c r="W180" s="24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3.5" hidden="false" customHeight="false" outlineLevel="0" collapsed="false">
      <c r="A181" s="15"/>
      <c r="B181" s="16"/>
      <c r="C181" s="16"/>
      <c r="D181" s="17"/>
      <c r="E181" s="17"/>
      <c r="F181" s="15"/>
      <c r="G181" s="15"/>
      <c r="H181" s="16"/>
      <c r="I181" s="19"/>
      <c r="J181" s="20"/>
      <c r="K181" s="20"/>
      <c r="L181" s="20"/>
      <c r="M181" s="20"/>
      <c r="N181" s="25"/>
      <c r="O181" s="20"/>
      <c r="P181" s="22"/>
      <c r="Q181" s="16"/>
      <c r="R181" s="15"/>
      <c r="S181" s="23"/>
      <c r="T181" s="23"/>
      <c r="U181" s="26"/>
      <c r="V181" s="24"/>
      <c r="W181" s="24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A182" s="141" t="s">
        <v>108</v>
      </c>
      <c r="B182" s="142" t="s">
        <v>109</v>
      </c>
      <c r="C182" s="142" t="s">
        <v>110</v>
      </c>
      <c r="D182" s="143" t="s">
        <v>111</v>
      </c>
      <c r="E182" s="143"/>
      <c r="F182" s="141" t="s">
        <v>112</v>
      </c>
      <c r="G182" s="141" t="s">
        <v>113</v>
      </c>
      <c r="H182" s="142" t="s">
        <v>221</v>
      </c>
      <c r="I182" s="144" t="s">
        <v>115</v>
      </c>
      <c r="J182" s="142" t="s">
        <v>116</v>
      </c>
      <c r="K182" s="142" t="s">
        <v>117</v>
      </c>
      <c r="L182" s="142" t="s">
        <v>118</v>
      </c>
      <c r="M182" s="142" t="s">
        <v>119</v>
      </c>
      <c r="N182" s="145" t="s">
        <v>120</v>
      </c>
      <c r="O182" s="142" t="s">
        <v>121</v>
      </c>
      <c r="P182" s="146" t="s">
        <v>147</v>
      </c>
      <c r="Q182" s="142" t="s">
        <v>123</v>
      </c>
      <c r="R182" s="141" t="s">
        <v>124</v>
      </c>
      <c r="S182" s="99" t="s">
        <v>125</v>
      </c>
      <c r="T182" s="99" t="s">
        <v>126</v>
      </c>
      <c r="U182" s="147" t="s">
        <v>148</v>
      </c>
      <c r="V182" s="102"/>
      <c r="W182" s="102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  <c r="BI182" s="148"/>
      <c r="BJ182" s="148"/>
      <c r="BK182" s="148"/>
      <c r="BL182" s="148"/>
      <c r="BM182" s="148"/>
      <c r="BN182" s="148"/>
      <c r="BO182" s="148"/>
      <c r="BP182" s="148"/>
      <c r="BQ182" s="148"/>
      <c r="BR182" s="148"/>
      <c r="BS182" s="148"/>
      <c r="BT182" s="148"/>
      <c r="BU182" s="148"/>
      <c r="BV182" s="148"/>
      <c r="BW182" s="148"/>
      <c r="BX182" s="148"/>
      <c r="BY182" s="148"/>
      <c r="BZ182" s="148"/>
      <c r="CA182" s="148"/>
      <c r="CB182" s="148"/>
      <c r="CC182" s="148"/>
      <c r="CD182" s="148"/>
      <c r="CE182" s="148"/>
      <c r="CF182" s="148"/>
      <c r="CG182" s="148"/>
      <c r="CH182" s="148"/>
      <c r="CI182" s="148"/>
      <c r="CJ182" s="148"/>
      <c r="CK182" s="148"/>
      <c r="CL182" s="148"/>
      <c r="CM182" s="148"/>
      <c r="CN182" s="148"/>
      <c r="CO182" s="148"/>
      <c r="CP182" s="148"/>
      <c r="CQ182" s="148"/>
      <c r="CR182" s="148"/>
      <c r="CS182" s="148"/>
      <c r="CT182" s="148"/>
      <c r="CU182" s="148"/>
      <c r="CV182" s="148"/>
      <c r="CW182" s="148"/>
      <c r="CX182" s="148"/>
      <c r="CY182" s="148"/>
      <c r="CZ182" s="148"/>
      <c r="DA182" s="148"/>
      <c r="DB182" s="148"/>
      <c r="DC182" s="148"/>
      <c r="DD182" s="148"/>
      <c r="DE182" s="148"/>
      <c r="DF182" s="148"/>
      <c r="DG182" s="148"/>
      <c r="DH182" s="148"/>
      <c r="DI182" s="148"/>
      <c r="DJ182" s="148"/>
      <c r="DK182" s="148"/>
      <c r="DL182" s="148"/>
      <c r="DM182" s="148"/>
      <c r="DN182" s="148"/>
      <c r="DO182" s="148"/>
      <c r="DP182" s="148"/>
      <c r="DQ182" s="148"/>
      <c r="DR182" s="148"/>
      <c r="DS182" s="148"/>
      <c r="DT182" s="148"/>
      <c r="DU182" s="148"/>
      <c r="DV182" s="148"/>
      <c r="DW182" s="148"/>
      <c r="DX182" s="148"/>
      <c r="DY182" s="148"/>
      <c r="DZ182" s="148"/>
      <c r="EA182" s="148"/>
      <c r="EB182" s="148"/>
      <c r="EC182" s="148"/>
      <c r="ED182" s="148"/>
      <c r="EE182" s="148"/>
      <c r="EF182" s="148"/>
      <c r="EG182" s="148"/>
      <c r="EH182" s="148"/>
      <c r="EI182" s="148"/>
      <c r="EJ182" s="148"/>
      <c r="EK182" s="148"/>
      <c r="EL182" s="148"/>
      <c r="EM182" s="148"/>
      <c r="EN182" s="148"/>
      <c r="EO182" s="148"/>
      <c r="EP182" s="148"/>
      <c r="EQ182" s="148"/>
      <c r="ER182" s="148"/>
      <c r="ES182" s="148"/>
      <c r="ET182" s="148"/>
      <c r="EU182" s="148"/>
      <c r="EV182" s="148"/>
      <c r="EW182" s="148"/>
      <c r="EX182" s="148"/>
      <c r="EY182" s="148"/>
      <c r="EZ182" s="148"/>
      <c r="FA182" s="148"/>
      <c r="FB182" s="148"/>
      <c r="FC182" s="148"/>
      <c r="FD182" s="148"/>
      <c r="FE182" s="148"/>
      <c r="FF182" s="148"/>
      <c r="FG182" s="148"/>
      <c r="FH182" s="148"/>
      <c r="FI182" s="148"/>
      <c r="FJ182" s="148"/>
      <c r="FK182" s="148"/>
      <c r="FL182" s="148"/>
      <c r="FM182" s="148"/>
      <c r="FN182" s="148"/>
      <c r="FO182" s="148"/>
      <c r="FP182" s="148"/>
      <c r="FQ182" s="148"/>
      <c r="FR182" s="148"/>
      <c r="FS182" s="148"/>
      <c r="FT182" s="148"/>
      <c r="FU182" s="148"/>
      <c r="FV182" s="148"/>
      <c r="FW182" s="148"/>
      <c r="FX182" s="148"/>
      <c r="FY182" s="148"/>
      <c r="FZ182" s="148"/>
      <c r="GA182" s="148"/>
      <c r="GB182" s="148"/>
      <c r="GC182" s="148"/>
      <c r="GD182" s="148"/>
      <c r="GE182" s="148"/>
      <c r="GF182" s="148"/>
      <c r="GG182" s="148"/>
      <c r="GH182" s="148"/>
      <c r="GI182" s="148"/>
      <c r="GJ182" s="148"/>
      <c r="GK182" s="148"/>
      <c r="GL182" s="148"/>
      <c r="GM182" s="148"/>
      <c r="GN182" s="148"/>
      <c r="GO182" s="148"/>
      <c r="GP182" s="148"/>
      <c r="GQ182" s="148"/>
      <c r="GR182" s="148"/>
      <c r="GS182" s="148"/>
      <c r="GT182" s="148"/>
      <c r="GU182" s="148"/>
      <c r="GV182" s="148"/>
      <c r="GW182" s="148"/>
      <c r="GX182" s="148"/>
      <c r="GY182" s="148"/>
      <c r="GZ182" s="148"/>
      <c r="HA182" s="148"/>
      <c r="HB182" s="148"/>
      <c r="HC182" s="148"/>
      <c r="HD182" s="148"/>
      <c r="HE182" s="148"/>
      <c r="HF182" s="148"/>
      <c r="HG182" s="148"/>
      <c r="HH182" s="148"/>
      <c r="HI182" s="148"/>
      <c r="HJ182" s="148"/>
      <c r="HK182" s="148"/>
      <c r="HL182" s="148"/>
      <c r="HM182" s="148"/>
      <c r="HN182" s="148"/>
      <c r="HO182" s="148"/>
      <c r="HP182" s="148"/>
      <c r="HQ182" s="148"/>
      <c r="HR182" s="148"/>
      <c r="HS182" s="148"/>
      <c r="HT182" s="148"/>
      <c r="HU182" s="148"/>
      <c r="HV182" s="148"/>
      <c r="HW182" s="148"/>
      <c r="HX182" s="148"/>
      <c r="HY182" s="148"/>
      <c r="HZ182" s="148"/>
      <c r="IA182" s="148"/>
      <c r="IB182" s="148"/>
      <c r="IC182" s="148"/>
      <c r="ID182" s="148"/>
      <c r="IE182" s="148"/>
      <c r="IF182" s="148"/>
      <c r="IG182" s="148"/>
      <c r="IH182" s="148"/>
      <c r="II182" s="148"/>
      <c r="IJ182" s="148"/>
      <c r="IK182" s="148"/>
      <c r="IL182" s="148"/>
      <c r="IM182" s="148"/>
      <c r="IN182" s="148"/>
      <c r="IO182" s="148"/>
      <c r="IP182" s="148"/>
      <c r="IQ182" s="148"/>
      <c r="IR182" s="148"/>
      <c r="IS182" s="148"/>
      <c r="IT182" s="148"/>
      <c r="IU182" s="148"/>
      <c r="IV182" s="148"/>
      <c r="IW182" s="148"/>
    </row>
    <row r="183" customFormat="false" ht="12.75" hidden="false" customHeight="false" outlineLevel="0" collapsed="false">
      <c r="A183" s="15" t="s">
        <v>149</v>
      </c>
      <c r="B183" s="16" t="s">
        <v>472</v>
      </c>
      <c r="C183" s="16" t="s">
        <v>473</v>
      </c>
      <c r="D183" s="17"/>
      <c r="E183" s="17" t="n">
        <v>36891</v>
      </c>
      <c r="F183" s="15"/>
      <c r="G183" s="15"/>
      <c r="H183" s="16" t="s">
        <v>35</v>
      </c>
      <c r="I183" s="19" t="n">
        <f aca="false">4.28/I$1</f>
        <v>0.138064516129032</v>
      </c>
      <c r="J183" s="20"/>
      <c r="K183" s="68"/>
      <c r="L183" s="20"/>
      <c r="M183" s="20"/>
      <c r="N183" s="25"/>
      <c r="O183" s="20"/>
      <c r="P183" s="22" t="n">
        <v>714638</v>
      </c>
      <c r="Q183" s="16" t="n">
        <v>40000</v>
      </c>
      <c r="R183" s="16"/>
      <c r="S183" s="23" t="n">
        <f aca="false">I183*I$1*Q183</f>
        <v>171200</v>
      </c>
      <c r="T183" s="23"/>
      <c r="U183" s="26" t="n">
        <v>227871</v>
      </c>
      <c r="V183" s="24"/>
      <c r="W183" s="24"/>
    </row>
    <row r="184" customFormat="false" ht="12.75" hidden="false" customHeight="false" outlineLevel="0" collapsed="false">
      <c r="A184" s="15" t="s">
        <v>149</v>
      </c>
      <c r="B184" s="16" t="s">
        <v>472</v>
      </c>
      <c r="C184" s="16" t="s">
        <v>129</v>
      </c>
      <c r="D184" s="17"/>
      <c r="E184" s="17"/>
      <c r="F184" s="15"/>
      <c r="G184" s="15"/>
      <c r="H184" s="16"/>
      <c r="I184" s="19" t="n">
        <f aca="false">4.28/I$1</f>
        <v>0.138064516129032</v>
      </c>
      <c r="J184" s="20"/>
      <c r="K184" s="68"/>
      <c r="L184" s="20"/>
      <c r="M184" s="20"/>
      <c r="N184" s="25"/>
      <c r="O184" s="20"/>
      <c r="P184" s="22" t="n">
        <v>712131</v>
      </c>
      <c r="Q184" s="16" t="n">
        <v>3850</v>
      </c>
      <c r="R184" s="16"/>
      <c r="S184" s="23" t="n">
        <f aca="false">I184*I$1*Q184</f>
        <v>16478</v>
      </c>
      <c r="T184" s="23"/>
      <c r="U184" s="26" t="n">
        <v>234462</v>
      </c>
      <c r="V184" s="24"/>
      <c r="W184" s="24"/>
    </row>
    <row r="185" customFormat="false" ht="12.75" hidden="false" customHeight="false" outlineLevel="0" collapsed="false">
      <c r="A185" s="15"/>
      <c r="B185" s="16"/>
      <c r="C185" s="16"/>
      <c r="D185" s="17"/>
      <c r="E185" s="17"/>
      <c r="F185" s="15"/>
      <c r="G185" s="15"/>
      <c r="H185" s="16"/>
      <c r="I185" s="19"/>
      <c r="J185" s="20"/>
      <c r="K185" s="68"/>
      <c r="L185" s="20"/>
      <c r="M185" s="20"/>
      <c r="N185" s="25"/>
      <c r="O185" s="20"/>
      <c r="P185" s="22"/>
      <c r="Q185" s="34"/>
      <c r="R185" s="16"/>
      <c r="S185" s="151"/>
      <c r="T185" s="23"/>
      <c r="U185" s="26"/>
      <c r="V185" s="24"/>
      <c r="W185" s="24"/>
    </row>
    <row r="186" customFormat="false" ht="12.75" hidden="false" customHeight="false" outlineLevel="0" collapsed="false">
      <c r="A186" s="85"/>
      <c r="B186" s="69"/>
      <c r="C186" s="69"/>
      <c r="D186" s="86"/>
      <c r="E186" s="86"/>
      <c r="F186" s="85"/>
      <c r="G186" s="85"/>
      <c r="H186" s="69"/>
      <c r="I186" s="88"/>
      <c r="J186" s="68"/>
      <c r="K186" s="68"/>
      <c r="L186" s="68"/>
      <c r="M186" s="68"/>
      <c r="N186" s="89"/>
      <c r="O186" s="68"/>
      <c r="P186" s="161"/>
      <c r="Q186" s="69" t="n">
        <f aca="false">SUM(Q183:Q185)</f>
        <v>43850</v>
      </c>
      <c r="R186" s="85" t="s">
        <v>164</v>
      </c>
      <c r="S186" s="35" t="n">
        <f aca="false">SUM(S183:S185)</f>
        <v>187678</v>
      </c>
      <c r="T186" s="35"/>
      <c r="U186" s="36"/>
      <c r="V186" s="37"/>
      <c r="W186" s="37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2"/>
      <c r="BN186" s="162"/>
      <c r="BO186" s="162"/>
      <c r="BP186" s="162"/>
      <c r="BQ186" s="162"/>
      <c r="BR186" s="162"/>
      <c r="BS186" s="162"/>
      <c r="BT186" s="162"/>
      <c r="BU186" s="162"/>
      <c r="BV186" s="162"/>
      <c r="BW186" s="162"/>
      <c r="BX186" s="162"/>
      <c r="BY186" s="162"/>
      <c r="BZ186" s="162"/>
      <c r="CA186" s="162"/>
      <c r="CB186" s="162"/>
      <c r="CC186" s="162"/>
      <c r="CD186" s="162"/>
      <c r="CE186" s="162"/>
      <c r="CF186" s="162"/>
      <c r="CG186" s="162"/>
      <c r="CH186" s="162"/>
      <c r="CI186" s="162"/>
      <c r="CJ186" s="162"/>
      <c r="CK186" s="162"/>
      <c r="CL186" s="162"/>
      <c r="CM186" s="162"/>
      <c r="CN186" s="162"/>
      <c r="CO186" s="162"/>
      <c r="CP186" s="162"/>
      <c r="CQ186" s="162"/>
      <c r="CR186" s="162"/>
      <c r="CS186" s="162"/>
      <c r="CT186" s="162"/>
      <c r="CU186" s="162"/>
      <c r="CV186" s="162"/>
      <c r="CW186" s="162"/>
      <c r="CX186" s="162"/>
      <c r="CY186" s="162"/>
      <c r="CZ186" s="162"/>
      <c r="DA186" s="162"/>
      <c r="DB186" s="162"/>
      <c r="DC186" s="162"/>
      <c r="DD186" s="162"/>
      <c r="DE186" s="162"/>
      <c r="DF186" s="162"/>
      <c r="DG186" s="162"/>
      <c r="DH186" s="162"/>
      <c r="DI186" s="162"/>
      <c r="DJ186" s="162"/>
      <c r="DK186" s="162"/>
      <c r="DL186" s="162"/>
      <c r="DM186" s="162"/>
      <c r="DN186" s="162"/>
      <c r="DO186" s="162"/>
      <c r="DP186" s="162"/>
      <c r="DQ186" s="162"/>
      <c r="DR186" s="162"/>
      <c r="DS186" s="162"/>
      <c r="DT186" s="162"/>
      <c r="DU186" s="162"/>
      <c r="DV186" s="162"/>
      <c r="DW186" s="162"/>
      <c r="DX186" s="162"/>
      <c r="DY186" s="162"/>
      <c r="DZ186" s="162"/>
      <c r="EA186" s="162"/>
      <c r="EB186" s="162"/>
      <c r="EC186" s="162"/>
      <c r="ED186" s="162"/>
      <c r="EE186" s="162"/>
      <c r="EF186" s="162"/>
      <c r="EG186" s="162"/>
      <c r="EH186" s="162"/>
      <c r="EI186" s="162"/>
      <c r="EJ186" s="162"/>
      <c r="EK186" s="162"/>
      <c r="EL186" s="162"/>
      <c r="EM186" s="162"/>
      <c r="EN186" s="162"/>
      <c r="EO186" s="162"/>
      <c r="EP186" s="162"/>
      <c r="EQ186" s="162"/>
      <c r="ER186" s="162"/>
      <c r="ES186" s="162"/>
      <c r="ET186" s="162"/>
      <c r="EU186" s="162"/>
      <c r="EV186" s="162"/>
      <c r="EW186" s="162"/>
      <c r="EX186" s="162"/>
      <c r="EY186" s="162"/>
      <c r="EZ186" s="162"/>
      <c r="FA186" s="162"/>
      <c r="FB186" s="162"/>
      <c r="FC186" s="162"/>
      <c r="FD186" s="162"/>
      <c r="FE186" s="162"/>
      <c r="FF186" s="162"/>
      <c r="FG186" s="162"/>
      <c r="FH186" s="162"/>
      <c r="FI186" s="162"/>
      <c r="FJ186" s="162"/>
      <c r="FK186" s="162"/>
      <c r="FL186" s="162"/>
      <c r="FM186" s="162"/>
      <c r="FN186" s="162"/>
      <c r="FO186" s="162"/>
      <c r="FP186" s="162"/>
      <c r="FQ186" s="162"/>
      <c r="FR186" s="162"/>
      <c r="FS186" s="162"/>
      <c r="FT186" s="162"/>
      <c r="FU186" s="162"/>
      <c r="FV186" s="162"/>
      <c r="FW186" s="162"/>
      <c r="FX186" s="162"/>
      <c r="FY186" s="162"/>
      <c r="FZ186" s="162"/>
      <c r="GA186" s="162"/>
      <c r="GB186" s="162"/>
      <c r="GC186" s="162"/>
      <c r="GD186" s="162"/>
      <c r="GE186" s="162"/>
      <c r="GF186" s="162"/>
      <c r="GG186" s="162"/>
      <c r="GH186" s="162"/>
      <c r="GI186" s="162"/>
      <c r="GJ186" s="162"/>
      <c r="GK186" s="162"/>
      <c r="GL186" s="162"/>
      <c r="GM186" s="162"/>
      <c r="GN186" s="162"/>
      <c r="GO186" s="162"/>
      <c r="GP186" s="162"/>
      <c r="GQ186" s="162"/>
      <c r="GR186" s="162"/>
      <c r="GS186" s="162"/>
      <c r="GT186" s="162"/>
      <c r="GU186" s="162"/>
      <c r="GV186" s="162"/>
      <c r="GW186" s="162"/>
      <c r="GX186" s="162"/>
      <c r="GY186" s="162"/>
      <c r="GZ186" s="162"/>
      <c r="HA186" s="162"/>
      <c r="HB186" s="162"/>
      <c r="HC186" s="162"/>
      <c r="HD186" s="162"/>
      <c r="HE186" s="162"/>
      <c r="HF186" s="162"/>
      <c r="HG186" s="162"/>
      <c r="HH186" s="162"/>
      <c r="HI186" s="162"/>
      <c r="HJ186" s="162"/>
      <c r="HK186" s="162"/>
      <c r="HL186" s="162"/>
      <c r="HM186" s="162"/>
      <c r="HN186" s="162"/>
      <c r="HO186" s="162"/>
      <c r="HP186" s="162"/>
      <c r="HQ186" s="162"/>
      <c r="HR186" s="162"/>
      <c r="HS186" s="162"/>
      <c r="HT186" s="162"/>
      <c r="HU186" s="162"/>
      <c r="HV186" s="162"/>
      <c r="HW186" s="162"/>
      <c r="HX186" s="162"/>
      <c r="HY186" s="162"/>
      <c r="HZ186" s="162"/>
      <c r="IA186" s="162"/>
      <c r="IB186" s="162"/>
      <c r="IC186" s="162"/>
      <c r="ID186" s="162"/>
      <c r="IE186" s="162"/>
      <c r="IF186" s="162"/>
      <c r="IG186" s="162"/>
      <c r="IH186" s="162"/>
      <c r="II186" s="162"/>
      <c r="IJ186" s="162"/>
      <c r="IK186" s="162"/>
      <c r="IL186" s="162"/>
      <c r="IM186" s="162"/>
      <c r="IN186" s="162"/>
      <c r="IO186" s="162"/>
      <c r="IP186" s="162"/>
      <c r="IQ186" s="162"/>
      <c r="IR186" s="162"/>
      <c r="IS186" s="162"/>
      <c r="IT186" s="162"/>
      <c r="IU186" s="162"/>
      <c r="IV186" s="162"/>
      <c r="IW186" s="162"/>
    </row>
    <row r="187" customFormat="false" ht="12.75" hidden="false" customHeight="false" outlineLevel="0" collapsed="false">
      <c r="A187" s="15"/>
      <c r="B187" s="16"/>
      <c r="C187" s="16"/>
      <c r="D187" s="17"/>
      <c r="E187" s="17"/>
      <c r="F187" s="15"/>
      <c r="G187" s="15"/>
      <c r="H187" s="16"/>
      <c r="I187" s="19"/>
      <c r="J187" s="20"/>
      <c r="K187" s="20"/>
      <c r="L187" s="20"/>
      <c r="M187" s="20"/>
      <c r="N187" s="25"/>
      <c r="O187" s="20"/>
      <c r="P187" s="22"/>
      <c r="Q187" s="71"/>
      <c r="R187" s="85" t="s">
        <v>165</v>
      </c>
      <c r="S187" s="35" t="n">
        <v>0</v>
      </c>
      <c r="T187" s="23"/>
      <c r="U187" s="26"/>
      <c r="V187" s="24"/>
      <c r="W187" s="24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3.5" hidden="false" customHeight="false" outlineLevel="0" collapsed="false">
      <c r="A188" s="15"/>
      <c r="B188" s="16"/>
      <c r="C188" s="16"/>
      <c r="D188" s="17"/>
      <c r="E188" s="17"/>
      <c r="F188" s="15"/>
      <c r="G188" s="15"/>
      <c r="H188" s="16"/>
      <c r="I188" s="19"/>
      <c r="J188" s="20"/>
      <c r="K188" s="20"/>
      <c r="L188" s="20"/>
      <c r="M188" s="20"/>
      <c r="N188" s="25"/>
      <c r="O188" s="20"/>
      <c r="P188" s="22"/>
      <c r="Q188" s="71"/>
      <c r="R188" s="85" t="s">
        <v>166</v>
      </c>
      <c r="S188" s="223" t="n">
        <f aca="false">+S186-S187</f>
        <v>187678</v>
      </c>
      <c r="T188" s="23"/>
      <c r="U188" s="26"/>
      <c r="V188" s="24"/>
      <c r="W188" s="24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3.5" hidden="false" customHeight="false" outlineLevel="0" collapsed="false">
      <c r="A189" s="15"/>
      <c r="B189" s="16"/>
      <c r="C189" s="16"/>
      <c r="D189" s="17"/>
      <c r="E189" s="17"/>
      <c r="F189" s="15"/>
      <c r="G189" s="15"/>
      <c r="H189" s="16"/>
      <c r="I189" s="19"/>
      <c r="J189" s="20"/>
      <c r="K189" s="68"/>
      <c r="L189" s="20"/>
      <c r="M189" s="20"/>
      <c r="N189" s="25"/>
      <c r="O189" s="20"/>
      <c r="P189" s="161"/>
      <c r="Q189" s="71"/>
      <c r="R189" s="69"/>
      <c r="S189" s="166"/>
      <c r="T189" s="35"/>
      <c r="U189" s="26"/>
      <c r="V189" s="24"/>
      <c r="W189" s="24"/>
    </row>
    <row r="190" customFormat="false" ht="12.75" hidden="false" customHeight="false" outlineLevel="0" collapsed="false">
      <c r="A190" s="15"/>
      <c r="B190" s="16"/>
      <c r="C190" s="16"/>
      <c r="D190" s="17"/>
      <c r="E190" s="17"/>
      <c r="F190" s="15"/>
      <c r="G190" s="15"/>
      <c r="H190" s="16"/>
      <c r="I190" s="19"/>
      <c r="J190" s="20"/>
      <c r="K190" s="68"/>
      <c r="L190" s="20"/>
      <c r="M190" s="20"/>
      <c r="N190" s="167"/>
      <c r="O190" s="20"/>
      <c r="P190" s="161"/>
      <c r="Q190" s="69"/>
      <c r="R190" s="69"/>
      <c r="S190" s="162"/>
      <c r="T190" s="73"/>
      <c r="V190" s="168"/>
      <c r="W190" s="168"/>
    </row>
    <row r="191" customFormat="false" ht="12.75" hidden="false" customHeight="false" outlineLevel="0" collapsed="false">
      <c r="A191" s="15"/>
      <c r="B191" s="16"/>
      <c r="C191" s="16"/>
      <c r="D191" s="17" t="s">
        <v>1</v>
      </c>
      <c r="E191" s="17"/>
      <c r="F191" s="15"/>
      <c r="G191" s="15"/>
      <c r="H191" s="16"/>
      <c r="I191" s="19"/>
      <c r="J191" s="20"/>
      <c r="K191" s="68"/>
      <c r="L191" s="20"/>
      <c r="M191" s="20"/>
      <c r="N191" s="25"/>
      <c r="O191" s="20"/>
      <c r="P191" s="161"/>
      <c r="Q191" s="45"/>
      <c r="R191" s="169"/>
      <c r="S191" s="170"/>
      <c r="T191" s="35"/>
      <c r="U191" s="36"/>
      <c r="V191" s="37"/>
      <c r="W191" s="37"/>
    </row>
    <row r="192" customFormat="false" ht="12.75" hidden="false" customHeight="false" outlineLevel="0" collapsed="false">
      <c r="A192" s="28"/>
      <c r="B192" s="16"/>
      <c r="C192" s="16"/>
      <c r="D192" s="17"/>
      <c r="E192" s="17"/>
      <c r="F192" s="15"/>
      <c r="G192" s="15"/>
      <c r="H192" s="16"/>
      <c r="I192" s="19"/>
      <c r="J192" s="20"/>
      <c r="K192" s="20"/>
      <c r="L192" s="20"/>
      <c r="M192" s="20"/>
      <c r="N192" s="25"/>
      <c r="O192" s="20"/>
      <c r="P192" s="161"/>
      <c r="Q192" s="71"/>
      <c r="R192" s="35"/>
      <c r="S192" s="231"/>
      <c r="T192" s="35"/>
      <c r="U192" s="36"/>
      <c r="V192" s="37"/>
      <c r="W192" s="37"/>
    </row>
    <row r="193" customFormat="false" ht="12.75" hidden="false" customHeight="false" outlineLevel="0" collapsed="false">
      <c r="A193" s="28"/>
      <c r="B193" s="16"/>
      <c r="C193" s="16"/>
      <c r="D193" s="17"/>
      <c r="E193" s="17"/>
      <c r="F193" s="15"/>
      <c r="G193" s="15"/>
      <c r="H193" s="16"/>
      <c r="I193" s="20"/>
      <c r="J193" s="20"/>
      <c r="K193" s="20"/>
      <c r="L193" s="20"/>
      <c r="M193" s="20"/>
      <c r="N193" s="25"/>
      <c r="O193" s="20"/>
      <c r="P193" s="161"/>
      <c r="Q193" s="71"/>
      <c r="R193" s="35"/>
      <c r="S193" s="231"/>
      <c r="T193" s="35"/>
      <c r="U193" s="36"/>
      <c r="V193" s="37"/>
      <c r="W193" s="37"/>
    </row>
    <row r="194" customFormat="false" ht="12.75" hidden="false" customHeight="false" outlineLevel="0" collapsed="false">
      <c r="A194" s="28"/>
      <c r="B194" s="16"/>
      <c r="C194" s="16"/>
      <c r="D194" s="17"/>
      <c r="E194" s="17"/>
      <c r="F194" s="15"/>
      <c r="G194" s="15"/>
      <c r="H194" s="16"/>
      <c r="I194" s="19"/>
      <c r="J194" s="20"/>
      <c r="K194" s="20"/>
      <c r="L194" s="20"/>
      <c r="M194" s="20"/>
      <c r="N194" s="25"/>
      <c r="O194" s="20"/>
      <c r="P194" s="161"/>
      <c r="Q194" s="71"/>
      <c r="R194" s="35"/>
      <c r="S194" s="35"/>
      <c r="T194" s="35"/>
      <c r="U194" s="36"/>
      <c r="V194" s="37"/>
      <c r="W194" s="37"/>
    </row>
    <row r="195" customFormat="false" ht="12.75" hidden="false" customHeight="false" outlineLevel="0" collapsed="false">
      <c r="A195" s="28"/>
      <c r="B195" s="16"/>
      <c r="C195" s="16"/>
      <c r="D195" s="17"/>
      <c r="E195" s="17"/>
      <c r="F195" s="15"/>
      <c r="G195" s="15"/>
      <c r="H195" s="16"/>
      <c r="I195" s="20"/>
      <c r="J195" s="20"/>
      <c r="K195" s="20"/>
      <c r="L195" s="20"/>
      <c r="M195" s="20"/>
      <c r="N195" s="25"/>
      <c r="O195" s="20"/>
      <c r="P195" s="161"/>
      <c r="Q195" s="71"/>
      <c r="R195" s="35"/>
      <c r="S195" s="35"/>
      <c r="T195" s="35"/>
      <c r="U195" s="36"/>
      <c r="V195" s="37"/>
      <c r="W195" s="37"/>
    </row>
    <row r="196" customFormat="false" ht="12.75" hidden="false" customHeight="false" outlineLevel="0" collapsed="false">
      <c r="A196" s="28"/>
      <c r="B196" s="16"/>
      <c r="C196" s="16"/>
      <c r="D196" s="17"/>
      <c r="E196" s="17"/>
      <c r="F196" s="15"/>
      <c r="G196" s="15"/>
      <c r="H196" s="16"/>
      <c r="I196" s="19"/>
      <c r="J196" s="20"/>
      <c r="K196" s="20"/>
      <c r="L196" s="20"/>
      <c r="M196" s="20"/>
      <c r="N196" s="25"/>
      <c r="O196" s="20"/>
      <c r="P196" s="161"/>
      <c r="Q196" s="71"/>
      <c r="R196" s="35"/>
      <c r="S196" s="35"/>
      <c r="T196" s="35"/>
      <c r="U196" s="36"/>
      <c r="V196" s="37"/>
      <c r="W196" s="37"/>
    </row>
    <row r="197" customFormat="false" ht="12.75" hidden="false" customHeight="false" outlineLevel="0" collapsed="false">
      <c r="A197" s="28"/>
      <c r="B197" s="16"/>
      <c r="C197" s="16"/>
      <c r="D197" s="17"/>
      <c r="E197" s="17"/>
      <c r="F197" s="15"/>
      <c r="G197" s="15"/>
      <c r="H197" s="16"/>
      <c r="I197" s="20"/>
      <c r="J197" s="20"/>
      <c r="K197" s="20"/>
      <c r="L197" s="20"/>
      <c r="M197" s="20"/>
      <c r="N197" s="25"/>
      <c r="O197" s="20"/>
      <c r="P197" s="161"/>
      <c r="Q197" s="71"/>
      <c r="R197" s="35"/>
      <c r="S197" s="35"/>
      <c r="T197" s="35"/>
      <c r="U197" s="36"/>
      <c r="V197" s="37"/>
      <c r="W197" s="37"/>
    </row>
    <row r="198" customFormat="false" ht="12.75" hidden="false" customHeight="false" outlineLevel="0" collapsed="false">
      <c r="A198" s="28"/>
      <c r="B198" s="16"/>
      <c r="C198" s="16"/>
      <c r="D198" s="17"/>
      <c r="E198" s="17"/>
      <c r="F198" s="15"/>
      <c r="G198" s="15"/>
      <c r="H198" s="16"/>
      <c r="I198" s="20"/>
      <c r="J198" s="20"/>
      <c r="K198" s="20"/>
      <c r="L198" s="20"/>
      <c r="M198" s="20"/>
      <c r="N198" s="25"/>
      <c r="O198" s="20"/>
      <c r="P198" s="161"/>
      <c r="Q198" s="71"/>
      <c r="R198" s="35"/>
      <c r="S198" s="35"/>
      <c r="T198" s="35"/>
      <c r="U198" s="36"/>
      <c r="V198" s="69"/>
      <c r="W198" s="37"/>
    </row>
    <row r="199" customFormat="false" ht="12.75" hidden="false" customHeight="false" outlineLevel="0" collapsed="false">
      <c r="A199" s="28"/>
      <c r="B199" s="16"/>
      <c r="C199" s="16"/>
      <c r="D199" s="17"/>
      <c r="E199" s="17"/>
      <c r="F199" s="15"/>
      <c r="G199" s="15"/>
      <c r="H199" s="16"/>
      <c r="I199" s="20"/>
      <c r="J199" s="20"/>
      <c r="K199" s="20"/>
      <c r="L199" s="20"/>
      <c r="M199" s="20"/>
      <c r="N199" s="25"/>
      <c r="O199" s="20"/>
      <c r="P199" s="161"/>
      <c r="Q199" s="71"/>
      <c r="R199" s="35"/>
      <c r="S199" s="35"/>
      <c r="T199" s="35"/>
      <c r="U199" s="36"/>
      <c r="V199" s="37"/>
      <c r="W199" s="37"/>
    </row>
    <row r="200" customFormat="false" ht="12.75" hidden="false" customHeight="false" outlineLevel="0" collapsed="false">
      <c r="A200" s="28"/>
      <c r="B200" s="16"/>
      <c r="C200" s="16"/>
      <c r="D200" s="17"/>
      <c r="E200" s="17"/>
      <c r="F200" s="15"/>
      <c r="G200" s="15"/>
      <c r="H200" s="16"/>
      <c r="I200" s="20"/>
      <c r="J200" s="20"/>
      <c r="K200" s="20"/>
      <c r="L200" s="20"/>
      <c r="M200" s="20"/>
      <c r="N200" s="25"/>
      <c r="O200" s="20"/>
      <c r="P200" s="161"/>
      <c r="Q200" s="71"/>
      <c r="R200" s="35"/>
      <c r="S200" s="35"/>
      <c r="T200" s="35"/>
      <c r="U200" s="36"/>
      <c r="V200" s="37"/>
      <c r="W200" s="37"/>
    </row>
    <row r="201" customFormat="false" ht="12.75" hidden="false" customHeight="false" outlineLevel="0" collapsed="false">
      <c r="A201" s="28"/>
      <c r="B201" s="16"/>
      <c r="C201" s="16"/>
      <c r="D201" s="17"/>
      <c r="E201" s="17"/>
      <c r="F201" s="15"/>
      <c r="G201" s="15"/>
      <c r="H201" s="16"/>
      <c r="I201" s="19"/>
      <c r="J201" s="20"/>
      <c r="K201" s="20"/>
      <c r="L201" s="20"/>
      <c r="M201" s="20"/>
      <c r="N201" s="25"/>
      <c r="O201" s="20"/>
      <c r="P201" s="161"/>
      <c r="Q201" s="71"/>
      <c r="R201" s="69"/>
      <c r="S201" s="35"/>
      <c r="T201" s="35"/>
      <c r="U201" s="36"/>
      <c r="V201" s="37"/>
      <c r="W201" s="37"/>
    </row>
    <row r="202" customFormat="false" ht="12.75" hidden="false" customHeight="false" outlineLevel="0" collapsed="false">
      <c r="A202" s="28"/>
      <c r="B202" s="16"/>
      <c r="C202" s="16"/>
      <c r="D202" s="17"/>
      <c r="E202" s="17"/>
      <c r="F202" s="15"/>
      <c r="G202" s="15"/>
      <c r="H202" s="16"/>
      <c r="I202" s="19"/>
      <c r="J202" s="20"/>
      <c r="K202" s="20"/>
      <c r="L202" s="20"/>
      <c r="M202" s="20"/>
      <c r="N202" s="25"/>
      <c r="O202" s="20"/>
      <c r="P202" s="161"/>
      <c r="Q202" s="71"/>
      <c r="R202" s="69"/>
      <c r="S202" s="35"/>
      <c r="T202" s="35"/>
      <c r="U202" s="36"/>
      <c r="V202" s="37"/>
      <c r="W202" s="37"/>
    </row>
    <row r="203" customFormat="false" ht="12.75" hidden="false" customHeight="false" outlineLevel="0" collapsed="false">
      <c r="P203" s="73"/>
      <c r="Q203" s="73"/>
      <c r="R203" s="73"/>
      <c r="S203" s="162"/>
      <c r="T203" s="73"/>
      <c r="U203" s="72"/>
      <c r="V203" s="72"/>
    </row>
    <row r="204" customFormat="false" ht="12.75" hidden="false" customHeight="false" outlineLevel="0" collapsed="false">
      <c r="P204" s="73"/>
      <c r="Q204" s="73"/>
      <c r="R204" s="73"/>
      <c r="S204" s="162"/>
      <c r="T204" s="73"/>
      <c r="U204" s="72"/>
      <c r="V204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false" hidden="false" outlineLevel="0" max="3" min="2" style="1" width="9.14"/>
    <col collapsed="false" customWidth="true" hidden="false" outlineLevel="0" max="5" min="4" style="1" width="9.85"/>
    <col collapsed="false" customWidth="true" hidden="false" outlineLevel="0" max="6" min="6" style="1" width="12.42"/>
    <col collapsed="false" customWidth="false" hidden="false" outlineLevel="0" max="7" min="7" style="1" width="9.14"/>
    <col collapsed="false" customWidth="true" hidden="false" outlineLevel="0" max="8" min="8" style="1" width="10.28"/>
    <col collapsed="false" customWidth="true" hidden="false" outlineLevel="0" max="9" min="9" style="1" width="7.7"/>
    <col collapsed="false" customWidth="true" hidden="false" outlineLevel="0" max="10" min="10" style="1" width="13.99"/>
    <col collapsed="false" customWidth="true" hidden="false" outlineLevel="0" max="11" min="11" style="1" width="8.14"/>
    <col collapsed="false" customWidth="true" hidden="false" outlineLevel="0" max="12" min="12" style="1" width="9.99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32" t="s">
        <v>1</v>
      </c>
      <c r="B1" s="232"/>
    </row>
    <row r="2" customFormat="false" ht="12.75" hidden="false" customHeight="false" outlineLevel="0" collapsed="false">
      <c r="B2" s="232"/>
    </row>
    <row r="3" customFormat="false" ht="12.75" hidden="false" customHeight="false" outlineLevel="0" collapsed="false">
      <c r="A3" s="233" t="s">
        <v>474</v>
      </c>
      <c r="B3" s="234"/>
      <c r="C3" s="234"/>
      <c r="D3" s="234"/>
      <c r="E3" s="234"/>
      <c r="F3" s="234"/>
      <c r="G3" s="234"/>
      <c r="H3" s="235"/>
      <c r="J3" s="236" t="s">
        <v>475</v>
      </c>
      <c r="K3" s="237" t="n">
        <f aca="false">+Rates!W17</f>
        <v>0.127416610779422</v>
      </c>
      <c r="Z3" s="1" t="n">
        <v>2.8</v>
      </c>
      <c r="AC3" s="1" t="n">
        <v>3.03</v>
      </c>
    </row>
    <row r="4" customFormat="false" ht="12.75" hidden="false" customHeight="false" outlineLevel="0" collapsed="false">
      <c r="A4" s="238"/>
      <c r="B4" s="239" t="n">
        <v>1</v>
      </c>
      <c r="C4" s="239" t="n">
        <v>2</v>
      </c>
      <c r="D4" s="239" t="n">
        <v>3</v>
      </c>
      <c r="E4" s="239" t="n">
        <v>4</v>
      </c>
      <c r="F4" s="239" t="s">
        <v>476</v>
      </c>
      <c r="G4" s="239" t="n">
        <v>5</v>
      </c>
      <c r="H4" s="240" t="n">
        <v>6</v>
      </c>
      <c r="J4" s="241" t="s">
        <v>477</v>
      </c>
      <c r="K4" s="242" t="n">
        <f aca="false">(E62/(1-0.02184))-Rates!W3</f>
        <v>0.104716610779422</v>
      </c>
    </row>
    <row r="5" customFormat="false" ht="12.75" hidden="false" customHeight="false" outlineLevel="0" collapsed="false">
      <c r="A5" s="243" t="n">
        <v>1</v>
      </c>
      <c r="B5" s="244" t="n">
        <f aca="false">+Rates!B17</f>
        <v>0.0368311590566982</v>
      </c>
      <c r="C5" s="244" t="n">
        <f aca="false">+Rates!B22</f>
        <v>0.0597452263332994</v>
      </c>
      <c r="D5" s="244" t="n">
        <f aca="false">+Rates!B27</f>
        <v>0.0823008304638442</v>
      </c>
      <c r="E5" s="244"/>
      <c r="F5" s="244"/>
      <c r="G5" s="244" t="n">
        <f aca="false">+Rates!B37</f>
        <v>0.261292256846081</v>
      </c>
      <c r="H5" s="245" t="n">
        <f aca="false">+Rates!B42</f>
        <v>0.306614449031439</v>
      </c>
      <c r="J5" s="239"/>
    </row>
    <row r="6" customFormat="false" ht="12.75" hidden="false" customHeight="false" outlineLevel="0" collapsed="false">
      <c r="A6" s="243" t="n">
        <v>2</v>
      </c>
      <c r="B6" s="244"/>
      <c r="C6" s="244"/>
      <c r="D6" s="244" t="n">
        <f aca="false">+Rates!B52</f>
        <v>0.0488423958017965</v>
      </c>
      <c r="E6" s="244"/>
      <c r="F6" s="244"/>
      <c r="G6" s="244" t="n">
        <f aca="false">+Rates!B62</f>
        <v>0.247753188375497</v>
      </c>
      <c r="H6" s="245" t="n">
        <f aca="false">+Rates!B67</f>
        <v>0.293841615692892</v>
      </c>
      <c r="J6" s="236" t="s">
        <v>478</v>
      </c>
      <c r="K6" s="246" t="n">
        <f aca="false">+Rates!Z17</f>
        <v>0.155860253786329</v>
      </c>
    </row>
    <row r="7" customFormat="false" ht="12.75" hidden="false" customHeight="false" outlineLevel="0" collapsed="false">
      <c r="A7" s="243" t="n">
        <v>3</v>
      </c>
      <c r="B7" s="244"/>
      <c r="C7" s="244"/>
      <c r="D7" s="244" t="n">
        <f aca="false">+Rates!B72</f>
        <v>0.0433812154696127</v>
      </c>
      <c r="E7" s="244" t="n">
        <f aca="false">+Rates!B77</f>
        <v>0.146930005120327</v>
      </c>
      <c r="F7" s="244"/>
      <c r="G7" s="244" t="n">
        <f aca="false">+Rates!B82</f>
        <v>0.232832168123179</v>
      </c>
      <c r="H7" s="245" t="n">
        <f aca="false">+Rates!B87</f>
        <v>0.28081570109152</v>
      </c>
      <c r="J7" s="241" t="s">
        <v>479</v>
      </c>
      <c r="K7" s="242" t="n">
        <f aca="false">(E61/(1-0.0228))-Rates!Z3</f>
        <v>0.109660253786329</v>
      </c>
    </row>
    <row r="8" customFormat="false" ht="12.75" hidden="false" customHeight="false" outlineLevel="0" collapsed="false">
      <c r="A8" s="243" t="n">
        <v>4</v>
      </c>
      <c r="B8" s="244"/>
      <c r="C8" s="244"/>
      <c r="D8" s="244"/>
      <c r="E8" s="244" t="n">
        <f aca="false">+Rates!B92</f>
        <v>0.117465443425077</v>
      </c>
      <c r="F8" s="244"/>
      <c r="G8" s="244"/>
      <c r="H8" s="245" t="n">
        <f aca="false">+Rates!B102</f>
        <v>0.244051707928549</v>
      </c>
      <c r="J8" s="232"/>
      <c r="K8" s="247"/>
    </row>
    <row r="9" customFormat="false" ht="12.75" hidden="false" customHeight="false" outlineLevel="0" collapsed="false">
      <c r="A9" s="248" t="s">
        <v>476</v>
      </c>
      <c r="B9" s="244"/>
      <c r="C9" s="244"/>
      <c r="D9" s="244"/>
      <c r="E9" s="244"/>
      <c r="F9" s="244" t="n">
        <f aca="false">+Rates!B107</f>
        <v>0.0294843979478924</v>
      </c>
      <c r="G9" s="244"/>
      <c r="H9" s="245"/>
      <c r="K9" s="249"/>
    </row>
    <row r="10" customFormat="false" ht="12.75" hidden="false" customHeight="false" outlineLevel="0" collapsed="false">
      <c r="A10" s="243" t="n">
        <v>5</v>
      </c>
      <c r="B10" s="244"/>
      <c r="C10" s="244"/>
      <c r="D10" s="244"/>
      <c r="E10" s="244"/>
      <c r="F10" s="244"/>
      <c r="G10" s="244" t="n">
        <f aca="false">+Rates!B112</f>
        <v>0.101327317964862</v>
      </c>
      <c r="H10" s="245"/>
      <c r="K10" s="247"/>
    </row>
    <row r="11" customFormat="false" ht="12.75" hidden="false" customHeight="false" outlineLevel="0" collapsed="false">
      <c r="A11" s="243" t="n">
        <v>6</v>
      </c>
      <c r="B11" s="162"/>
      <c r="C11" s="162"/>
      <c r="D11" s="162"/>
      <c r="E11" s="162"/>
      <c r="F11" s="162"/>
      <c r="G11" s="162"/>
      <c r="H11" s="245" t="n">
        <f aca="false">+Rates!B122</f>
        <v>0.0644650665590964</v>
      </c>
      <c r="J11" s="233" t="s">
        <v>480</v>
      </c>
      <c r="K11" s="250"/>
    </row>
    <row r="12" customFormat="false" ht="12.75" hidden="false" customHeight="false" outlineLevel="0" collapsed="false">
      <c r="A12" s="251"/>
      <c r="B12" s="252" t="s">
        <v>481</v>
      </c>
      <c r="C12" s="252"/>
      <c r="D12" s="252"/>
      <c r="E12" s="252"/>
      <c r="F12" s="252"/>
      <c r="G12" s="252"/>
      <c r="H12" s="253"/>
      <c r="J12" s="254" t="s">
        <v>482</v>
      </c>
      <c r="K12" s="255" t="n">
        <f aca="false">SUM(Rates!AI17)-0.0072</f>
        <v>0.0151384769539082</v>
      </c>
    </row>
    <row r="13" customFormat="false" ht="12.75" hidden="false" customHeight="false" outlineLevel="0" collapsed="false">
      <c r="A13" s="256" t="s">
        <v>483</v>
      </c>
      <c r="B13" s="257" t="s">
        <v>484</v>
      </c>
      <c r="C13" s="258" t="s">
        <v>485</v>
      </c>
      <c r="D13" s="258" t="s">
        <v>486</v>
      </c>
      <c r="E13" s="258" t="s">
        <v>487</v>
      </c>
      <c r="F13" s="259"/>
      <c r="G13" s="259"/>
      <c r="H13" s="260"/>
      <c r="J13" s="254" t="s">
        <v>488</v>
      </c>
      <c r="K13" s="261" t="n">
        <f aca="false">SUM(Rates!H127)</f>
        <v>0.0730891418057519</v>
      </c>
    </row>
    <row r="14" customFormat="false" ht="13.5" hidden="false" customHeight="false" outlineLevel="0" collapsed="false">
      <c r="A14" s="262" t="s">
        <v>489</v>
      </c>
      <c r="B14" s="263" t="n">
        <f aca="false">SUM(Rates!B69+Rates!B71)</f>
        <v>0.0242812154696127</v>
      </c>
      <c r="C14" s="263" t="n">
        <f aca="false">SUM(Rates!K22+Rates!B69+Rates!B71)</f>
        <v>0.159529465495272</v>
      </c>
      <c r="D14" s="263" t="n">
        <f aca="false">SUM(Rates!B69+Rates!B71+Rates!K47)</f>
        <v>0.127441792490716</v>
      </c>
      <c r="E14" s="263" t="n">
        <f aca="false">0.0522+B14</f>
        <v>0.0764812154696127</v>
      </c>
      <c r="F14" s="264" t="s">
        <v>490</v>
      </c>
      <c r="G14" s="264"/>
      <c r="H14" s="265"/>
      <c r="J14" s="238" t="s">
        <v>491</v>
      </c>
      <c r="K14" s="266" t="n">
        <f aca="false">SUM(K12:K13)</f>
        <v>0.0882276187596602</v>
      </c>
    </row>
    <row r="15" customFormat="false" ht="13.5" hidden="false" customHeight="false" outlineLevel="0" collapsed="false">
      <c r="A15" s="267"/>
      <c r="J15" s="238"/>
      <c r="K15" s="255"/>
    </row>
    <row r="16" customFormat="false" ht="12.75" hidden="false" customHeight="false" outlineLevel="0" collapsed="false">
      <c r="A16" s="268" t="s">
        <v>492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69"/>
    </row>
    <row r="17" customFormat="false" ht="12.75" hidden="false" customHeight="false" outlineLevel="0" collapsed="false">
      <c r="A17" s="270"/>
      <c r="B17" s="162"/>
      <c r="C17" s="239" t="s">
        <v>493</v>
      </c>
      <c r="D17" s="162"/>
      <c r="E17" s="162"/>
      <c r="F17" s="162"/>
      <c r="G17" s="162"/>
      <c r="H17" s="162"/>
      <c r="I17" s="162"/>
      <c r="J17" s="162"/>
      <c r="K17" s="271"/>
    </row>
    <row r="18" customFormat="false" ht="12.75" hidden="false" customHeight="false" outlineLevel="0" collapsed="false">
      <c r="A18" s="270"/>
      <c r="B18" s="162"/>
      <c r="C18" s="239" t="s">
        <v>494</v>
      </c>
      <c r="D18" s="162" t="s">
        <v>495</v>
      </c>
      <c r="E18" s="162"/>
      <c r="F18" s="162"/>
      <c r="G18" s="162"/>
      <c r="H18" s="162"/>
      <c r="I18" s="162"/>
      <c r="J18" s="162"/>
      <c r="K18" s="271"/>
    </row>
    <row r="19" customFormat="false" ht="12.75" hidden="false" customHeight="false" outlineLevel="0" collapsed="false">
      <c r="A19" s="243"/>
      <c r="B19" s="239" t="s">
        <v>496</v>
      </c>
      <c r="C19" s="239" t="s">
        <v>497</v>
      </c>
      <c r="D19" s="239" t="s">
        <v>498</v>
      </c>
      <c r="E19" s="239" t="s">
        <v>499</v>
      </c>
      <c r="F19" s="239" t="s">
        <v>500</v>
      </c>
      <c r="G19" s="162" t="s">
        <v>501</v>
      </c>
      <c r="H19" s="239" t="s">
        <v>502</v>
      </c>
      <c r="I19" s="239" t="s">
        <v>259</v>
      </c>
      <c r="J19" s="247" t="s">
        <v>258</v>
      </c>
      <c r="K19" s="272" t="s">
        <v>257</v>
      </c>
    </row>
    <row r="20" customFormat="false" ht="12.75" hidden="false" customHeight="false" outlineLevel="0" collapsed="false">
      <c r="A20" s="248" t="s">
        <v>503</v>
      </c>
      <c r="B20" s="244" t="n">
        <f aca="false">+Rates!H22-0.0225+B28+B29</f>
        <v>0.242377474065435</v>
      </c>
      <c r="C20" s="244" t="n">
        <f aca="false">+Rates!H22-0.0072</f>
        <v>0.201144895448955</v>
      </c>
      <c r="D20" s="244" t="n">
        <f aca="false">+C20-0.0072</f>
        <v>0.193944895448955</v>
      </c>
      <c r="E20" s="244" t="n">
        <f aca="false">+D20-0.0225</f>
        <v>0.171444895448955</v>
      </c>
      <c r="F20" s="244" t="n">
        <f aca="false">+D20+0.0072</f>
        <v>0.201144895448955</v>
      </c>
      <c r="G20" s="244" t="n">
        <f aca="false">+Rates!H27</f>
        <v>0.300428146908026</v>
      </c>
      <c r="H20" s="244" t="n">
        <f aca="false">+Rates!H32</f>
        <v>0.332468407750632</v>
      </c>
      <c r="I20" s="244" t="n">
        <f aca="false">+Rates!H37</f>
        <v>0.390881528662421</v>
      </c>
      <c r="J20" s="249" t="n">
        <f aca="false">+Rates!H42</f>
        <v>0.448040308747856</v>
      </c>
      <c r="K20" s="245" t="n">
        <f aca="false">+Rates!H47</f>
        <v>0.52124342190538</v>
      </c>
    </row>
    <row r="21" customFormat="false" ht="12.75" hidden="false" customHeight="false" outlineLevel="0" collapsed="false">
      <c r="A21" s="248" t="s">
        <v>504</v>
      </c>
      <c r="B21" s="244"/>
      <c r="C21" s="244" t="n">
        <f aca="false">+Rates!H52-0.0072</f>
        <v>0.095548864209995</v>
      </c>
      <c r="D21" s="244"/>
      <c r="E21" s="244"/>
      <c r="F21" s="244" t="n">
        <f aca="false">+C21+0.0072</f>
        <v>0.102748864209995</v>
      </c>
      <c r="G21" s="244"/>
      <c r="H21" s="244"/>
      <c r="I21" s="244"/>
      <c r="J21" s="273"/>
      <c r="K21" s="272"/>
    </row>
    <row r="22" customFormat="false" ht="12.75" hidden="false" customHeight="false" outlineLevel="0" collapsed="false">
      <c r="A22" s="243" t="n">
        <v>1</v>
      </c>
      <c r="B22" s="244" t="n">
        <f aca="false">+Rates!H57-0.0225+B28+B29</f>
        <v>0.19931263965412</v>
      </c>
      <c r="C22" s="244"/>
      <c r="D22" s="244" t="n">
        <f aca="false">+Rates!H57-0.0072</f>
        <v>0.15808006103764</v>
      </c>
      <c r="E22" s="244" t="n">
        <f aca="false">+D22-0.0225</f>
        <v>0.13558006103764</v>
      </c>
      <c r="F22" s="244"/>
      <c r="G22" s="244" t="n">
        <f aca="false">+Rates!H62</f>
        <v>0.255772193957014</v>
      </c>
      <c r="H22" s="244" t="n">
        <f aca="false">+Rates!H67</f>
        <v>0.287044885591892</v>
      </c>
      <c r="I22" s="244" t="n">
        <f aca="false">+Rates!H72</f>
        <v>0.345572487887087</v>
      </c>
      <c r="J22" s="244" t="n">
        <f aca="false">+Rates!H77</f>
        <v>0.401675103690312</v>
      </c>
      <c r="K22" s="245" t="n">
        <f aca="false">+Rates!H82</f>
        <v>0.474511421836494</v>
      </c>
    </row>
    <row r="23" customFormat="false" ht="12.75" hidden="false" customHeight="false" outlineLevel="0" collapsed="false">
      <c r="A23" s="243" t="n">
        <v>2</v>
      </c>
      <c r="B23" s="244"/>
      <c r="C23" s="244"/>
      <c r="D23" s="244"/>
      <c r="E23" s="244"/>
      <c r="F23" s="244"/>
      <c r="G23" s="244"/>
      <c r="H23" s="244"/>
      <c r="I23" s="244"/>
      <c r="J23" s="244" t="n">
        <f aca="false">SUM(Rates!H87)</f>
        <v>0.251254241858535</v>
      </c>
      <c r="K23" s="245"/>
    </row>
    <row r="24" customFormat="false" ht="12.75" hidden="false" customHeight="false" outlineLevel="0" collapsed="false">
      <c r="A24" s="243" t="n">
        <v>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 t="n">
        <f aca="false">+Rates!H97</f>
        <v>0.183731973898858</v>
      </c>
    </row>
    <row r="25" customFormat="false" ht="12.75" hidden="false" customHeight="false" outlineLevel="0" collapsed="false">
      <c r="A25" s="243" t="n">
        <v>5</v>
      </c>
      <c r="B25" s="244"/>
      <c r="C25" s="244"/>
      <c r="D25" s="244"/>
      <c r="E25" s="244"/>
      <c r="F25" s="244"/>
      <c r="G25" s="244"/>
      <c r="H25" s="244"/>
      <c r="I25" s="244" t="n">
        <f aca="false">+Rates!H132</f>
        <v>0.105484979278278</v>
      </c>
      <c r="J25" s="244" t="n">
        <f aca="false">+Rates!H102</f>
        <v>0.107030689062026</v>
      </c>
      <c r="K25" s="245" t="n">
        <f aca="false">+Rates!H112</f>
        <v>0.173839678011004</v>
      </c>
    </row>
    <row r="26" customFormat="false" ht="12.75" hidden="false" customHeight="false" outlineLevel="0" collapsed="false">
      <c r="A26" s="274" t="n">
        <v>6</v>
      </c>
      <c r="B26" s="275"/>
      <c r="C26" s="275"/>
      <c r="D26" s="275"/>
      <c r="E26" s="275"/>
      <c r="F26" s="244"/>
      <c r="G26" s="244"/>
      <c r="H26" s="244"/>
      <c r="I26" s="244"/>
      <c r="J26" s="244"/>
      <c r="K26" s="245" t="n">
        <f aca="false">+Rates!H122</f>
        <v>0.157085836560016</v>
      </c>
    </row>
    <row r="27" customFormat="false" ht="12.75" hidden="false" customHeight="false" outlineLevel="0" collapsed="false">
      <c r="A27" s="247"/>
      <c r="B27" s="244"/>
      <c r="C27" s="244"/>
      <c r="D27" s="244"/>
      <c r="E27" s="244"/>
      <c r="F27" s="276"/>
      <c r="G27" s="244"/>
      <c r="H27" s="244"/>
      <c r="I27" s="244"/>
      <c r="J27" s="244"/>
      <c r="K27" s="245"/>
    </row>
    <row r="28" customFormat="false" ht="12.75" hidden="false" customHeight="false" outlineLevel="0" collapsed="false">
      <c r="A28" s="277" t="s">
        <v>505</v>
      </c>
      <c r="B28" s="237" t="n">
        <f aca="false">0.0009+0.0022+0.0075</f>
        <v>0.0106</v>
      </c>
      <c r="F28" s="278" t="s">
        <v>506</v>
      </c>
      <c r="G28" s="162"/>
      <c r="H28" s="162"/>
      <c r="I28" s="162"/>
      <c r="J28" s="162"/>
      <c r="K28" s="272"/>
    </row>
    <row r="29" customFormat="false" ht="12.75" hidden="false" customHeight="false" outlineLevel="0" collapsed="false">
      <c r="A29" s="262" t="s">
        <v>507</v>
      </c>
      <c r="B29" s="279" t="n">
        <f aca="false">0.0101*(+Rates!H4+Rates!H57-0.0225)</f>
        <v>0.0459325786164802</v>
      </c>
      <c r="F29" s="278" t="s">
        <v>508</v>
      </c>
      <c r="G29" s="162"/>
      <c r="H29" s="162"/>
      <c r="I29" s="280" t="n">
        <f aca="false">+I20-I25</f>
        <v>0.285396549384143</v>
      </c>
      <c r="J29" s="280" t="n">
        <f aca="false">+J20-J25</f>
        <v>0.34100961968583</v>
      </c>
      <c r="K29" s="281" t="n">
        <f aca="false">+K20-K25</f>
        <v>0.347403743894376</v>
      </c>
    </row>
    <row r="30" customFormat="false" ht="12.75" hidden="false" customHeight="false" outlineLevel="0" collapsed="false">
      <c r="A30" s="162"/>
      <c r="B30" s="244"/>
      <c r="F30" s="282" t="s">
        <v>509</v>
      </c>
      <c r="G30" s="264"/>
      <c r="H30" s="264"/>
      <c r="I30" s="283" t="n">
        <f aca="false">+I22-I25</f>
        <v>0.240087508608809</v>
      </c>
      <c r="J30" s="283" t="n">
        <f aca="false">+J22-J25</f>
        <v>0.294644414628286</v>
      </c>
      <c r="K30" s="284" t="n">
        <f aca="false">+K22-K25</f>
        <v>0.30067174382549</v>
      </c>
    </row>
    <row r="31" customFormat="false" ht="12.75" hidden="false" customHeight="false" outlineLevel="0" collapsed="false">
      <c r="A31" s="162"/>
      <c r="B31" s="244"/>
    </row>
    <row r="32" customFormat="false" ht="12.75" hidden="false" customHeight="false" outlineLevel="0" collapsed="false">
      <c r="A32" s="268" t="s">
        <v>510</v>
      </c>
      <c r="B32" s="234"/>
      <c r="C32" s="234"/>
      <c r="D32" s="234"/>
      <c r="E32" s="234"/>
      <c r="F32" s="234"/>
      <c r="G32" s="234"/>
      <c r="H32" s="234"/>
      <c r="I32" s="234"/>
      <c r="J32" s="285"/>
      <c r="K32" s="286"/>
      <c r="L32" s="162"/>
    </row>
    <row r="33" customFormat="false" ht="12.75" hidden="false" customHeight="false" outlineLevel="0" collapsed="false">
      <c r="A33" s="243"/>
      <c r="B33" s="239" t="s">
        <v>485</v>
      </c>
      <c r="C33" s="239" t="s">
        <v>511</v>
      </c>
      <c r="D33" s="239" t="s">
        <v>512</v>
      </c>
      <c r="E33" s="239" t="s">
        <v>513</v>
      </c>
      <c r="F33" s="239" t="s">
        <v>514</v>
      </c>
      <c r="G33" s="239" t="s">
        <v>515</v>
      </c>
      <c r="H33" s="287" t="s">
        <v>516</v>
      </c>
      <c r="I33" s="162"/>
      <c r="J33" s="287" t="s">
        <v>517</v>
      </c>
      <c r="K33" s="288" t="s">
        <v>518</v>
      </c>
      <c r="L33" s="162"/>
    </row>
    <row r="34" customFormat="false" ht="12.75" hidden="false" customHeight="false" outlineLevel="0" collapsed="false">
      <c r="A34" s="248" t="s">
        <v>485</v>
      </c>
      <c r="B34" s="244" t="n">
        <f aca="false">+Rates!K17</f>
        <v>0.134708710801394</v>
      </c>
      <c r="C34" s="244" t="n">
        <f aca="false">+Rates!K27</f>
        <v>0.181864294580058</v>
      </c>
      <c r="D34" s="244" t="n">
        <f aca="false">+Rates!K22</f>
        <v>0.135248250025659</v>
      </c>
      <c r="E34" s="244" t="n">
        <f aca="false">+Rates!K32</f>
        <v>0.339307672742688</v>
      </c>
      <c r="F34" s="244" t="n">
        <f aca="false">+Rates!K37</f>
        <v>0.429896041308089</v>
      </c>
      <c r="G34" s="244" t="n">
        <f aca="false">+Rates!K42</f>
        <v>0.491920515049441</v>
      </c>
      <c r="H34" s="289" t="n">
        <f aca="false">ROUND(+F34*0.6+G34*0.4,3)</f>
        <v>0.455</v>
      </c>
      <c r="I34" s="162"/>
      <c r="J34" s="290" t="n">
        <f aca="false">+Rates!N17</f>
        <v>0.897996041308089</v>
      </c>
      <c r="K34" s="291" t="n">
        <f aca="false">SUM(Rates!N22)</f>
        <v>17.6939798029557</v>
      </c>
      <c r="L34" s="162"/>
    </row>
    <row r="35" customFormat="false" ht="12.75" hidden="false" customHeight="false" outlineLevel="0" collapsed="false">
      <c r="A35" s="248" t="s">
        <v>519</v>
      </c>
      <c r="B35" s="244"/>
      <c r="C35" s="244" t="n">
        <f aca="false">+Rates!K87</f>
        <v>0.136034426229508</v>
      </c>
      <c r="D35" s="292" t="n">
        <f aca="false">+D37</f>
        <v>0.130880327868852</v>
      </c>
      <c r="E35" s="244" t="n">
        <f aca="false">+E37</f>
        <v>0.294249622166247</v>
      </c>
      <c r="F35" s="244" t="n">
        <f aca="false">+F37</f>
        <v>0.385141840647635</v>
      </c>
      <c r="G35" s="244" t="n">
        <f aca="false">+G37</f>
        <v>0.447361699838623</v>
      </c>
      <c r="H35" s="289" t="n">
        <f aca="false">ROUND(+F35*0.6+G35*0.4,3)</f>
        <v>0.41</v>
      </c>
      <c r="I35" s="162"/>
      <c r="J35" s="290" t="n">
        <f aca="false">SUM(Rates!N37)</f>
        <v>0.697141840647635</v>
      </c>
      <c r="K35" s="291" t="n">
        <f aca="false">SUM(Rates!N42)</f>
        <v>0.849061699838623</v>
      </c>
      <c r="L35" s="162"/>
    </row>
    <row r="36" customFormat="false" ht="12.75" hidden="false" customHeight="false" outlineLevel="0" collapsed="false">
      <c r="A36" s="248" t="s">
        <v>486</v>
      </c>
      <c r="B36" s="244"/>
      <c r="C36" s="244" t="n">
        <f aca="false">+Rates!K52</f>
        <v>0.150893423756679</v>
      </c>
      <c r="D36" s="244" t="n">
        <f aca="false">+Rates!K47</f>
        <v>0.103160577021103</v>
      </c>
      <c r="E36" s="244" t="n">
        <f aca="false">+Rates!K57</f>
        <v>0.309257894736842</v>
      </c>
      <c r="F36" s="244" t="n">
        <f aca="false">+Rates!K62</f>
        <v>0.400405982905983</v>
      </c>
      <c r="G36" s="244" t="n">
        <f aca="false">+Rates!K67</f>
        <v>0.462803582604942</v>
      </c>
      <c r="H36" s="289" t="n">
        <f aca="false">ROUND(+F36*0.6+G36*0.4,3)</f>
        <v>0.425</v>
      </c>
      <c r="I36" s="162"/>
      <c r="J36" s="290" t="n">
        <f aca="false">SUM(Rates!N27)</f>
        <v>0.728705982905983</v>
      </c>
      <c r="K36" s="291" t="n">
        <f aca="false">SUM(Rates!N32)</f>
        <v>0.880803582604942</v>
      </c>
      <c r="L36" s="162"/>
    </row>
    <row r="37" customFormat="false" ht="12.75" hidden="false" customHeight="false" outlineLevel="0" collapsed="false">
      <c r="A37" s="248" t="s">
        <v>487</v>
      </c>
      <c r="B37" s="244"/>
      <c r="C37" s="244" t="n">
        <f aca="false">+Rates!K87</f>
        <v>0.136034426229508</v>
      </c>
      <c r="D37" s="244" t="n">
        <f aca="false">+Rates!K77</f>
        <v>0.130880327868852</v>
      </c>
      <c r="E37" s="244" t="n">
        <f aca="false">+Rates!K112</f>
        <v>0.294249622166247</v>
      </c>
      <c r="F37" s="244" t="n">
        <f aca="false">+Rates!K117</f>
        <v>0.385141840647635</v>
      </c>
      <c r="G37" s="244" t="n">
        <f aca="false">+Rates!K122</f>
        <v>0.447361699838623</v>
      </c>
      <c r="H37" s="289" t="n">
        <f aca="false">ROUND(+F37*0.6+G37*0.4,3)</f>
        <v>0.41</v>
      </c>
      <c r="I37" s="162"/>
      <c r="J37" s="290" t="n">
        <f aca="false">SUM(Rates!N37)</f>
        <v>0.697141840647635</v>
      </c>
      <c r="K37" s="291" t="n">
        <f aca="false">SUM(Rates!N42)</f>
        <v>0.849061699838623</v>
      </c>
      <c r="L37" s="162"/>
    </row>
    <row r="38" customFormat="false" ht="12.75" hidden="false" customHeight="false" outlineLevel="0" collapsed="false">
      <c r="A38" s="293" t="s">
        <v>520</v>
      </c>
      <c r="B38" s="162"/>
      <c r="C38" s="162"/>
      <c r="D38" s="162"/>
      <c r="E38" s="294" t="n">
        <f aca="false">+Rates!K127</f>
        <v>0.164548402948403</v>
      </c>
      <c r="F38" s="244" t="n">
        <f aca="false">+Rates!K132</f>
        <v>0.253606564187786</v>
      </c>
      <c r="G38" s="244" t="n">
        <f aca="false">+Rates!K137</f>
        <v>0.314549187205034</v>
      </c>
      <c r="H38" s="244" t="n">
        <f aca="false">ROUND(+F38*0.6+G38*0.4,3)</f>
        <v>0.278</v>
      </c>
      <c r="I38" s="162"/>
      <c r="J38" s="290" t="n">
        <f aca="false">SUM(Rates!N47)</f>
        <v>0.498806564187786</v>
      </c>
      <c r="K38" s="291" t="n">
        <f aca="false">SUM(Rates!N52)</f>
        <v>0.649449187205034</v>
      </c>
    </row>
    <row r="39" customFormat="false" ht="12.75" hidden="false" customHeight="false" outlineLevel="0" collapsed="false">
      <c r="A39" s="293" t="s">
        <v>373</v>
      </c>
      <c r="B39" s="162"/>
      <c r="C39" s="162"/>
      <c r="D39" s="162"/>
      <c r="E39" s="294"/>
      <c r="F39" s="244" t="n">
        <f aca="false">+Rates!K142</f>
        <v>0.203</v>
      </c>
      <c r="G39" s="244" t="n">
        <f aca="false">+Rates!K147</f>
        <v>0.271381887303406</v>
      </c>
      <c r="H39" s="289" t="n">
        <f aca="false">ROUND(+F39*0.6+G39*0.4,3)</f>
        <v>0.23</v>
      </c>
      <c r="I39" s="162"/>
      <c r="J39" s="290"/>
      <c r="K39" s="291" t="n">
        <f aca="false">SUM(Rates!N57)</f>
        <v>0.542181887303406</v>
      </c>
    </row>
    <row r="40" customFormat="false" ht="12.75" hidden="false" customHeight="false" outlineLevel="0" collapsed="false">
      <c r="A40" s="295" t="s">
        <v>358</v>
      </c>
      <c r="B40" s="264"/>
      <c r="C40" s="264"/>
      <c r="D40" s="264"/>
      <c r="E40" s="296"/>
      <c r="F40" s="264"/>
      <c r="G40" s="275" t="n">
        <f aca="false">+Rates!K152</f>
        <v>0.188364065708419</v>
      </c>
      <c r="H40" s="297"/>
      <c r="I40" s="264"/>
      <c r="J40" s="298"/>
      <c r="K40" s="299" t="n">
        <f aca="false">SUM(Rates!N62)</f>
        <v>0.327664065708419</v>
      </c>
    </row>
    <row r="41" customFormat="false" ht="12.75" hidden="false" customHeight="false" outlineLevel="0" collapsed="false">
      <c r="A41" s="300"/>
      <c r="E41" s="294"/>
      <c r="G41" s="244"/>
      <c r="H41" s="301"/>
      <c r="J41" s="290"/>
      <c r="K41" s="290"/>
    </row>
    <row r="42" customFormat="false" ht="12.75" hidden="false" customHeight="false" outlineLevel="0" collapsed="false">
      <c r="F42" s="233" t="s">
        <v>521</v>
      </c>
      <c r="G42" s="234"/>
      <c r="H42" s="234"/>
      <c r="I42" s="234"/>
      <c r="J42" s="235"/>
    </row>
    <row r="43" customFormat="false" ht="12.75" hidden="false" customHeight="false" outlineLevel="0" collapsed="false">
      <c r="A43" s="233" t="s">
        <v>522</v>
      </c>
      <c r="B43" s="302" t="s">
        <v>523</v>
      </c>
      <c r="C43" s="302" t="s">
        <v>524</v>
      </c>
      <c r="D43" s="302" t="s">
        <v>525</v>
      </c>
      <c r="E43" s="302" t="s">
        <v>526</v>
      </c>
      <c r="F43" s="238"/>
      <c r="G43" s="162" t="s">
        <v>527</v>
      </c>
      <c r="H43" s="162" t="s">
        <v>528</v>
      </c>
      <c r="I43" s="239" t="s">
        <v>529</v>
      </c>
      <c r="J43" s="240" t="s">
        <v>530</v>
      </c>
    </row>
    <row r="44" customFormat="false" ht="12.75" hidden="false" customHeight="false" outlineLevel="0" collapsed="false">
      <c r="A44" s="262"/>
      <c r="B44" s="263" t="n">
        <f aca="false">+Rates!Q17</f>
        <v>0.0838517766497459</v>
      </c>
      <c r="C44" s="263" t="n">
        <f aca="false">SUM(Rates!Q22)</f>
        <v>0.0858517766497459</v>
      </c>
      <c r="D44" s="263" t="n">
        <f aca="false">SUM(Rates!Q27)</f>
        <v>0.128218833162743</v>
      </c>
      <c r="E44" s="263" t="n">
        <f aca="false">SUM(Rates!Q32)</f>
        <v>0.150389733059549</v>
      </c>
      <c r="F44" s="254" t="s">
        <v>531</v>
      </c>
      <c r="G44" s="289" t="n">
        <f aca="false">+Rates!AF17</f>
        <v>0.0262777310082179</v>
      </c>
      <c r="H44" s="303" t="n">
        <f aca="false">0.0075+G49</f>
        <v>0.0559565680949505</v>
      </c>
      <c r="I44" s="304" t="n">
        <f aca="false">+Rates!AF35</f>
        <v>0.105613528633914</v>
      </c>
      <c r="J44" s="305" t="n">
        <f aca="false">+Rates!AF23</f>
        <v>0.165070324702014</v>
      </c>
    </row>
    <row r="45" customFormat="false" ht="12.75" hidden="false" customHeight="false" outlineLevel="0" collapsed="false">
      <c r="F45" s="262" t="n">
        <v>1</v>
      </c>
      <c r="G45" s="264"/>
      <c r="H45" s="264"/>
      <c r="I45" s="264"/>
      <c r="J45" s="306" t="n">
        <f aca="false">SUM(Rates!AF29)</f>
        <v>0.162270324702014</v>
      </c>
    </row>
    <row r="46" customFormat="false" ht="12.75" hidden="false" customHeight="false" outlineLevel="0" collapsed="false">
      <c r="I46" s="307"/>
      <c r="J46" s="162"/>
      <c r="K46" s="162"/>
      <c r="L46" s="162"/>
      <c r="M46" s="162"/>
    </row>
    <row r="47" customFormat="false" ht="12.75" hidden="false" customHeight="false" outlineLevel="0" collapsed="false">
      <c r="A47" s="233" t="s">
        <v>532</v>
      </c>
      <c r="B47" s="234"/>
      <c r="C47" s="234"/>
      <c r="D47" s="234"/>
      <c r="E47" s="235"/>
      <c r="F47" s="308" t="s">
        <v>533</v>
      </c>
      <c r="G47" s="235"/>
      <c r="I47" s="233" t="s">
        <v>534</v>
      </c>
      <c r="J47" s="234"/>
      <c r="K47" s="234"/>
      <c r="L47" s="235"/>
      <c r="M47" s="162"/>
    </row>
    <row r="48" customFormat="false" ht="13.5" hidden="false" customHeight="false" outlineLevel="0" collapsed="false">
      <c r="A48" s="243"/>
      <c r="B48" s="239" t="s">
        <v>535</v>
      </c>
      <c r="C48" s="239" t="s">
        <v>536</v>
      </c>
      <c r="D48" s="239" t="s">
        <v>213</v>
      </c>
      <c r="E48" s="240"/>
      <c r="F48" s="309" t="s">
        <v>537</v>
      </c>
      <c r="G48" s="272"/>
      <c r="I48" s="310" t="s">
        <v>538</v>
      </c>
      <c r="J48" s="307" t="s">
        <v>539</v>
      </c>
      <c r="K48" s="311" t="s">
        <v>540</v>
      </c>
      <c r="L48" s="312" t="s">
        <v>541</v>
      </c>
      <c r="M48" s="162"/>
    </row>
    <row r="49" customFormat="false" ht="13.5" hidden="false" customHeight="false" outlineLevel="0" collapsed="false">
      <c r="A49" s="248" t="s">
        <v>535</v>
      </c>
      <c r="B49" s="244" t="n">
        <f aca="false">+Rates!T32</f>
        <v>0.111708707580066</v>
      </c>
      <c r="C49" s="244" t="n">
        <f aca="false">+C50+B49</f>
        <v>0.177717325546403</v>
      </c>
      <c r="D49" s="244" t="n">
        <f aca="false">SUM(Rates!T27,Rates!T37,Rates!T32)</f>
        <v>0.328805574157228</v>
      </c>
      <c r="E49" s="245"/>
      <c r="F49" s="313" t="s">
        <v>542</v>
      </c>
      <c r="G49" s="245" t="n">
        <f aca="false">Rates!AC34</f>
        <v>0.0484565680949505</v>
      </c>
      <c r="H49" s="314"/>
      <c r="I49" s="315" t="n">
        <v>41101</v>
      </c>
      <c r="J49" s="316" t="s">
        <v>543</v>
      </c>
      <c r="K49" s="317" t="n">
        <v>20500</v>
      </c>
      <c r="L49" s="318" t="s">
        <v>544</v>
      </c>
      <c r="M49" s="162"/>
    </row>
    <row r="50" customFormat="false" ht="12.75" hidden="false" customHeight="false" outlineLevel="0" collapsed="false">
      <c r="A50" s="248" t="s">
        <v>536</v>
      </c>
      <c r="B50" s="244"/>
      <c r="C50" s="244" t="n">
        <f aca="false">+Rates!T37</f>
        <v>0.0660086179663367</v>
      </c>
      <c r="D50" s="244" t="n">
        <f aca="false">+Rates!T37+Rates!T27</f>
        <v>0.217096866577162</v>
      </c>
      <c r="E50" s="245"/>
      <c r="F50" s="319"/>
      <c r="G50" s="234"/>
      <c r="I50" s="320" t="n">
        <v>40120</v>
      </c>
      <c r="J50" s="321" t="s">
        <v>545</v>
      </c>
      <c r="K50" s="322" t="n">
        <v>20550</v>
      </c>
      <c r="L50" s="323" t="s">
        <v>546</v>
      </c>
      <c r="M50" s="162"/>
    </row>
    <row r="51" customFormat="false" ht="12.75" hidden="false" customHeight="false" outlineLevel="0" collapsed="false">
      <c r="A51" s="248" t="s">
        <v>547</v>
      </c>
      <c r="B51" s="244"/>
      <c r="C51" s="244"/>
      <c r="D51" s="244" t="n">
        <f aca="false">+Rates!T27</f>
        <v>0.151088248610825</v>
      </c>
      <c r="E51" s="245"/>
      <c r="F51" s="244"/>
      <c r="G51" s="244"/>
      <c r="I51" s="320" t="n">
        <v>40114</v>
      </c>
      <c r="J51" s="321" t="s">
        <v>548</v>
      </c>
      <c r="K51" s="322" t="n">
        <v>21100</v>
      </c>
      <c r="L51" s="323" t="s">
        <v>549</v>
      </c>
      <c r="M51" s="162"/>
    </row>
    <row r="52" customFormat="false" ht="12.75" hidden="false" customHeight="false" outlineLevel="0" collapsed="false">
      <c r="A52" s="324"/>
      <c r="B52" s="275" t="s">
        <v>550</v>
      </c>
      <c r="C52" s="275"/>
      <c r="D52" s="275"/>
      <c r="E52" s="279"/>
      <c r="F52" s="244"/>
      <c r="G52" s="244"/>
      <c r="I52" s="320"/>
      <c r="J52" s="321"/>
      <c r="K52" s="322" t="n">
        <v>20700</v>
      </c>
      <c r="L52" s="323" t="s">
        <v>551</v>
      </c>
      <c r="M52" s="162"/>
    </row>
    <row r="53" customFormat="false" ht="12.75" hidden="false" customHeight="false" outlineLevel="0" collapsed="false">
      <c r="I53" s="320"/>
      <c r="J53" s="321"/>
      <c r="K53" s="322" t="n">
        <v>20100</v>
      </c>
      <c r="L53" s="323" t="s">
        <v>552</v>
      </c>
      <c r="M53" s="162"/>
    </row>
    <row r="54" customFormat="false" ht="13.5" hidden="false" customHeight="false" outlineLevel="0" collapsed="false">
      <c r="F54" s="325"/>
      <c r="I54" s="320"/>
      <c r="J54" s="321"/>
      <c r="K54" s="322" t="n">
        <v>20200</v>
      </c>
      <c r="L54" s="323" t="s">
        <v>553</v>
      </c>
      <c r="M54" s="162"/>
    </row>
    <row r="55" customFormat="false" ht="13.5" hidden="false" customHeight="false" outlineLevel="0" collapsed="false">
      <c r="A55" s="326" t="s">
        <v>554</v>
      </c>
      <c r="B55" s="327"/>
      <c r="C55" s="327"/>
      <c r="D55" s="327"/>
      <c r="E55" s="327"/>
      <c r="F55" s="328" t="n">
        <f aca="false">Rates!A1</f>
        <v>36759</v>
      </c>
      <c r="G55" s="329"/>
      <c r="H55" s="162"/>
      <c r="I55" s="320"/>
      <c r="J55" s="321"/>
      <c r="K55" s="322" t="n">
        <v>21000</v>
      </c>
      <c r="L55" s="323" t="s">
        <v>555</v>
      </c>
      <c r="M55" s="162"/>
    </row>
    <row r="56" customFormat="false" ht="12.75" hidden="false" customHeight="false" outlineLevel="0" collapsed="false">
      <c r="A56" s="301" t="s">
        <v>556</v>
      </c>
      <c r="B56" s="294" t="n">
        <f aca="false">+Rates!B6</f>
        <v>4.365</v>
      </c>
      <c r="D56" s="330" t="s">
        <v>557</v>
      </c>
      <c r="E56" s="294" t="n">
        <f aca="false">Rates!T3</f>
        <v>4.485</v>
      </c>
      <c r="F56" s="331" t="str">
        <f aca="false">Rates!A2</f>
        <v>Gas Daily </v>
      </c>
      <c r="I56" s="332"/>
      <c r="J56" s="333"/>
      <c r="K56" s="334"/>
      <c r="L56" s="335"/>
      <c r="M56" s="162"/>
    </row>
    <row r="57" customFormat="false" ht="13.5" hidden="false" customHeight="false" outlineLevel="0" collapsed="false">
      <c r="A57" s="239" t="s">
        <v>558</v>
      </c>
      <c r="B57" s="336" t="n">
        <f aca="false">+Rates!B5</f>
        <v>4.48</v>
      </c>
      <c r="C57" s="239"/>
      <c r="D57" s="273" t="s">
        <v>559</v>
      </c>
      <c r="E57" s="294" t="n">
        <f aca="false">Rates!T4</f>
        <v>4.545</v>
      </c>
      <c r="F57" s="337" t="str">
        <f aca="false">Rates!B2</f>
        <v>+.13</v>
      </c>
      <c r="I57" s="338"/>
      <c r="J57" s="339"/>
      <c r="K57" s="340"/>
      <c r="L57" s="341"/>
      <c r="M57" s="162"/>
    </row>
    <row r="58" customFormat="false" ht="12.75" hidden="false" customHeight="false" outlineLevel="0" collapsed="false">
      <c r="A58" s="239" t="s">
        <v>560</v>
      </c>
      <c r="B58" s="294" t="n">
        <f aca="false">Rates!B4</f>
        <v>4.73</v>
      </c>
      <c r="C58" s="244"/>
      <c r="D58" s="249" t="s">
        <v>561</v>
      </c>
      <c r="E58" s="294" t="n">
        <f aca="false">+Rates!AF3</f>
        <v>4.48</v>
      </c>
      <c r="I58" s="321"/>
      <c r="J58" s="321"/>
      <c r="K58" s="321"/>
      <c r="L58" s="321"/>
      <c r="M58" s="162"/>
    </row>
    <row r="59" customFormat="false" ht="13.5" hidden="false" customHeight="false" outlineLevel="0" collapsed="false">
      <c r="A59" s="301" t="s">
        <v>562</v>
      </c>
      <c r="B59" s="294" t="n">
        <f aca="false">Rates!B3</f>
        <v>4.485</v>
      </c>
      <c r="C59" s="244"/>
      <c r="D59" s="1" t="s">
        <v>563</v>
      </c>
      <c r="E59" s="294" t="n">
        <f aca="false">+Rates!H4</f>
        <v>4.405</v>
      </c>
      <c r="I59" s="321"/>
      <c r="J59" s="321"/>
      <c r="K59" s="321"/>
      <c r="L59" s="321"/>
      <c r="M59" s="162"/>
    </row>
    <row r="60" customFormat="false" ht="14.25" hidden="false" customHeight="false" outlineLevel="0" collapsed="false">
      <c r="A60" s="301" t="s">
        <v>564</v>
      </c>
      <c r="B60" s="294" t="n">
        <f aca="false">Rates!B7</f>
        <v>4.765</v>
      </c>
      <c r="C60" s="244"/>
      <c r="D60" s="330" t="s">
        <v>565</v>
      </c>
      <c r="E60" s="294" t="n">
        <f aca="false">+Rates!H5</f>
        <v>4.64</v>
      </c>
      <c r="I60" s="342" t="s">
        <v>566</v>
      </c>
      <c r="J60" s="343" t="s">
        <v>567</v>
      </c>
      <c r="K60" s="344" t="n">
        <f aca="false">+Rates!AR35</f>
        <v>0.106332653061224</v>
      </c>
      <c r="L60" s="345" t="s">
        <v>35</v>
      </c>
      <c r="M60" s="162"/>
    </row>
    <row r="61" customFormat="false" ht="13.5" hidden="false" customHeight="false" outlineLevel="0" collapsed="false">
      <c r="A61" s="239" t="s">
        <v>363</v>
      </c>
      <c r="B61" s="294" t="n">
        <f aca="false">Rates!K5</f>
        <v>4.335</v>
      </c>
      <c r="D61" s="249" t="s">
        <v>568</v>
      </c>
      <c r="E61" s="294" t="n">
        <f aca="false">Rates!Z3</f>
        <v>4.7</v>
      </c>
      <c r="I61" s="321"/>
      <c r="J61" s="321"/>
      <c r="K61" s="321"/>
      <c r="L61" s="321"/>
      <c r="M61" s="162"/>
    </row>
    <row r="62" customFormat="false" ht="12.75" hidden="false" customHeight="false" outlineLevel="0" collapsed="false">
      <c r="A62" s="239" t="s">
        <v>569</v>
      </c>
      <c r="B62" s="294" t="n">
        <f aca="false">Rates!K4</f>
        <v>4.43</v>
      </c>
      <c r="D62" s="249" t="s">
        <v>46</v>
      </c>
      <c r="E62" s="294" t="n">
        <f aca="false">Rates!W3</f>
        <v>4.69</v>
      </c>
      <c r="I62" s="321"/>
      <c r="J62" s="321"/>
      <c r="K62" s="321"/>
      <c r="L62" s="321"/>
      <c r="M62" s="162"/>
    </row>
    <row r="63" customFormat="false" ht="12.75" hidden="false" customHeight="false" outlineLevel="0" collapsed="false">
      <c r="A63" s="301" t="s">
        <v>370</v>
      </c>
      <c r="B63" s="294" t="n">
        <f aca="false">Rates!K3</f>
        <v>4.44</v>
      </c>
      <c r="D63" s="330" t="s">
        <v>84</v>
      </c>
      <c r="E63" s="294" t="n">
        <f aca="false">Rates!AI3</f>
        <v>4.61</v>
      </c>
      <c r="I63" s="321"/>
      <c r="J63" s="321"/>
      <c r="K63" s="321"/>
      <c r="L63" s="321"/>
      <c r="M63" s="162"/>
    </row>
    <row r="64" customFormat="false" ht="12.75" hidden="false" customHeight="false" outlineLevel="0" collapsed="false">
      <c r="A64" s="301" t="s">
        <v>520</v>
      </c>
      <c r="B64" s="294" t="n">
        <f aca="false">Rates!K6</f>
        <v>4.545</v>
      </c>
      <c r="E64" s="294"/>
      <c r="I64" s="321"/>
      <c r="J64" s="321"/>
      <c r="K64" s="321"/>
      <c r="L64" s="321"/>
      <c r="M64" s="162"/>
    </row>
    <row r="65" customFormat="false" ht="12.75" hidden="false" customHeight="false" outlineLevel="0" collapsed="false">
      <c r="A65" s="301" t="s">
        <v>358</v>
      </c>
      <c r="B65" s="294" t="n">
        <f aca="false">Rates!K7</f>
        <v>4.775</v>
      </c>
      <c r="D65" s="346" t="s">
        <v>570</v>
      </c>
      <c r="E65" s="347" t="n">
        <f aca="false">Rates!D2</f>
        <v>4.515</v>
      </c>
      <c r="I65" s="321"/>
      <c r="J65" s="321"/>
      <c r="K65" s="321"/>
      <c r="L65" s="321"/>
      <c r="M65" s="162"/>
    </row>
    <row r="66" customFormat="false" ht="12.75" hidden="false" customHeight="false" outlineLevel="0" collapsed="false">
      <c r="I66" s="321"/>
      <c r="J66" s="321"/>
      <c r="K66" s="321"/>
      <c r="L66" s="321"/>
      <c r="M66" s="162"/>
    </row>
    <row r="67" customFormat="false" ht="12.75" hidden="false" customHeight="false" outlineLevel="0" collapsed="false">
      <c r="I67" s="321"/>
      <c r="J67" s="321"/>
      <c r="K67" s="321"/>
      <c r="L67" s="321"/>
      <c r="M67" s="162"/>
    </row>
    <row r="68" customFormat="false" ht="12.75" hidden="false" customHeight="false" outlineLevel="0" collapsed="false">
      <c r="I68" s="321"/>
      <c r="J68" s="321"/>
      <c r="K68" s="321"/>
      <c r="L68" s="321"/>
      <c r="M68" s="162"/>
    </row>
    <row r="69" customFormat="false" ht="12.75" hidden="false" customHeight="false" outlineLevel="0" collapsed="false">
      <c r="I69" s="321"/>
      <c r="J69" s="321"/>
      <c r="K69" s="321"/>
      <c r="L69" s="321"/>
      <c r="M69" s="162"/>
    </row>
    <row r="70" customFormat="false" ht="12.75" hidden="false" customHeight="false" outlineLevel="0" collapsed="false">
      <c r="I70" s="307"/>
      <c r="J70" s="162"/>
      <c r="K70" s="162"/>
      <c r="L70" s="162"/>
      <c r="M70" s="162"/>
    </row>
    <row r="71" customFormat="false" ht="12.75" hidden="false" customHeight="false" outlineLevel="0" collapsed="false">
      <c r="I71" s="162"/>
      <c r="J71" s="307"/>
      <c r="K71" s="162"/>
      <c r="L71" s="307"/>
      <c r="M71" s="162"/>
    </row>
    <row r="72" customFormat="false" ht="12.75" hidden="false" customHeight="false" outlineLevel="0" collapsed="false">
      <c r="I72" s="321"/>
      <c r="J72" s="321"/>
      <c r="K72" s="321"/>
      <c r="L72" s="321"/>
      <c r="M72" s="162"/>
    </row>
    <row r="73" customFormat="false" ht="12.75" hidden="false" customHeight="false" outlineLevel="0" collapsed="false">
      <c r="I73" s="321"/>
      <c r="J73" s="321"/>
      <c r="K73" s="321"/>
      <c r="L73" s="321"/>
      <c r="M73" s="162"/>
    </row>
    <row r="74" customFormat="false" ht="12.75" hidden="false" customHeight="false" outlineLevel="0" collapsed="false">
      <c r="I74" s="321"/>
      <c r="J74" s="321"/>
      <c r="K74" s="321"/>
      <c r="L74" s="321"/>
      <c r="M74" s="162"/>
    </row>
    <row r="75" customFormat="false" ht="12.75" hidden="false" customHeight="false" outlineLevel="0" collapsed="false">
      <c r="I75" s="321"/>
      <c r="J75" s="321"/>
      <c r="K75" s="321"/>
      <c r="L75" s="321"/>
      <c r="M75" s="162"/>
    </row>
    <row r="76" customFormat="false" ht="12.75" hidden="false" customHeight="false" outlineLevel="0" collapsed="false">
      <c r="I76" s="321"/>
      <c r="J76" s="321"/>
      <c r="K76" s="321"/>
      <c r="L76" s="321"/>
      <c r="M76" s="162"/>
    </row>
    <row r="77" customFormat="false" ht="12.75" hidden="false" customHeight="false" outlineLevel="0" collapsed="false">
      <c r="I77" s="321"/>
      <c r="J77" s="321"/>
      <c r="K77" s="321"/>
      <c r="L77" s="321"/>
    </row>
    <row r="78" customFormat="false" ht="12.75" hidden="false" customHeight="false" outlineLevel="0" collapsed="false">
      <c r="I78" s="321"/>
      <c r="J78" s="321"/>
      <c r="K78" s="321"/>
      <c r="L78" s="321"/>
    </row>
    <row r="79" customFormat="false" ht="12.75" hidden="false" customHeight="false" outlineLevel="0" collapsed="false">
      <c r="I79" s="348"/>
      <c r="J79" s="348"/>
      <c r="K79" s="348"/>
      <c r="L79" s="348"/>
    </row>
    <row r="80" customFormat="false" ht="12.75" hidden="false" customHeight="false" outlineLevel="0" collapsed="false">
      <c r="I80" s="348"/>
      <c r="J80" s="348"/>
      <c r="K80" s="348"/>
      <c r="L80" s="348"/>
    </row>
    <row r="81" customFormat="false" ht="12.75" hidden="false" customHeight="false" outlineLevel="0" collapsed="false">
      <c r="I81" s="348"/>
      <c r="J81" s="348"/>
      <c r="K81" s="348"/>
      <c r="L81" s="348"/>
    </row>
    <row r="82" customFormat="false" ht="12.75" hidden="false" customHeight="false" outlineLevel="0" collapsed="false">
      <c r="I82" s="348"/>
      <c r="J82" s="348"/>
      <c r="K82" s="348"/>
      <c r="L82" s="348"/>
    </row>
    <row r="83" customFormat="false" ht="12.75" hidden="false" customHeight="false" outlineLevel="0" collapsed="false">
      <c r="I83" s="348"/>
      <c r="J83" s="348"/>
      <c r="K83" s="348"/>
      <c r="L83" s="3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&amp;C&amp;14August Rates Using Current Cash Prices</oddHeader>
    <oddFooter>&amp;L&amp;D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BM47" activePane="bottomLeft" state="frozen"/>
      <selection pane="topLeft" activeCell="A1" activeCellId="0" sqref="A1"/>
      <selection pane="bottomLeft" activeCell="B4" activeCellId="0" sqref="B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11.85"/>
    <col collapsed="false" customWidth="true" hidden="false" outlineLevel="0" max="2" min="2" style="27" width="10.85"/>
    <col collapsed="false" customWidth="true" hidden="false" outlineLevel="0" max="3" min="3" style="27" width="3.99"/>
    <col collapsed="false" customWidth="true" hidden="false" outlineLevel="0" max="4" min="4" style="27" width="11.85"/>
    <col collapsed="false" customWidth="true" hidden="false" outlineLevel="0" max="5" min="5" style="27" width="11.99"/>
    <col collapsed="false" customWidth="true" hidden="false" outlineLevel="0" max="6" min="6" style="27" width="2.84"/>
    <col collapsed="false" customWidth="true" hidden="false" outlineLevel="0" max="8" min="7" style="227" width="10.85"/>
    <col collapsed="false" customWidth="true" hidden="false" outlineLevel="0" max="9" min="9" style="27" width="2.84"/>
    <col collapsed="false" customWidth="true" hidden="false" outlineLevel="0" max="11" min="10" style="227" width="10.85"/>
    <col collapsed="false" customWidth="true" hidden="false" outlineLevel="0" max="12" min="12" style="27" width="2.84"/>
    <col collapsed="false" customWidth="true" hidden="false" outlineLevel="0" max="14" min="13" style="227" width="10.85"/>
    <col collapsed="false" customWidth="true" hidden="false" outlineLevel="0" max="15" min="15" style="27" width="2.84"/>
    <col collapsed="false" customWidth="true" hidden="false" outlineLevel="0" max="17" min="16" style="349" width="10.85"/>
    <col collapsed="false" customWidth="true" hidden="false" outlineLevel="0" max="18" min="18" style="349" width="2.84"/>
    <col collapsed="false" customWidth="true" hidden="false" outlineLevel="0" max="20" min="19" style="27" width="10.85"/>
    <col collapsed="false" customWidth="true" hidden="false" outlineLevel="0" max="21" min="21" style="27" width="2.84"/>
    <col collapsed="false" customWidth="true" hidden="false" outlineLevel="0" max="23" min="22" style="27" width="10.85"/>
    <col collapsed="false" customWidth="true" hidden="false" outlineLevel="0" max="24" min="24" style="27" width="2.84"/>
    <col collapsed="false" customWidth="true" hidden="false" outlineLevel="0" max="26" min="25" style="27" width="10.85"/>
    <col collapsed="false" customWidth="true" hidden="false" outlineLevel="0" max="27" min="27" style="27" width="3.42"/>
    <col collapsed="false" customWidth="true" hidden="false" outlineLevel="0" max="28" min="28" style="227" width="9.28"/>
    <col collapsed="false" customWidth="false" hidden="false" outlineLevel="0" max="29" min="29" style="227" width="9.14"/>
    <col collapsed="false" customWidth="true" hidden="false" outlineLevel="0" max="30" min="30" style="27" width="3.42"/>
    <col collapsed="false" customWidth="false" hidden="false" outlineLevel="0" max="32" min="31" style="350" width="9.14"/>
    <col collapsed="false" customWidth="true" hidden="false" outlineLevel="0" max="33" min="33" style="27" width="3.42"/>
    <col collapsed="false" customWidth="false" hidden="false" outlineLevel="0" max="35" min="34" style="27" width="9.14"/>
    <col collapsed="false" customWidth="true" hidden="false" outlineLevel="0" max="36" min="36" style="27" width="3.42"/>
    <col collapsed="false" customWidth="false" hidden="false" outlineLevel="0" max="38" min="37" style="27" width="9.14"/>
    <col collapsed="false" customWidth="true" hidden="false" outlineLevel="0" max="39" min="39" style="27" width="3.42"/>
    <col collapsed="false" customWidth="false" hidden="false" outlineLevel="0" max="41" min="40" style="27" width="9.14"/>
    <col collapsed="false" customWidth="true" hidden="false" outlineLevel="0" max="42" min="42" style="27" width="3.42"/>
    <col collapsed="false" customWidth="false" hidden="false" outlineLevel="0" max="257" min="43" style="27" width="9.14"/>
  </cols>
  <sheetData>
    <row r="1" customFormat="false" ht="13.5" hidden="false" customHeight="false" outlineLevel="0" collapsed="false">
      <c r="A1" s="351" t="n">
        <v>36759</v>
      </c>
      <c r="D1" s="352" t="s">
        <v>570</v>
      </c>
      <c r="AK1" s="27" t="s">
        <v>571</v>
      </c>
    </row>
    <row r="2" customFormat="false" ht="13.5" hidden="false" customHeight="false" outlineLevel="0" collapsed="false">
      <c r="A2" s="353" t="s">
        <v>572</v>
      </c>
      <c r="B2" s="354" t="s">
        <v>573</v>
      </c>
      <c r="C2" s="353"/>
      <c r="D2" s="355" t="n">
        <v>4.515</v>
      </c>
      <c r="E2" s="356" t="s">
        <v>574</v>
      </c>
      <c r="F2" s="353"/>
      <c r="G2" s="357" t="s">
        <v>1</v>
      </c>
      <c r="H2" s="357"/>
      <c r="I2" s="357"/>
      <c r="J2" s="358" t="s">
        <v>575</v>
      </c>
      <c r="K2" s="359" t="n">
        <v>4.42</v>
      </c>
      <c r="L2" s="353"/>
      <c r="M2" s="357"/>
      <c r="N2" s="356" t="s">
        <v>574</v>
      </c>
      <c r="O2" s="353"/>
      <c r="P2" s="360"/>
      <c r="Q2" s="361"/>
      <c r="R2" s="360"/>
      <c r="S2" s="353"/>
      <c r="T2" s="362"/>
      <c r="U2" s="353"/>
      <c r="V2" s="353"/>
      <c r="W2" s="362"/>
      <c r="X2" s="353" t="s">
        <v>1</v>
      </c>
      <c r="Y2" s="353" t="s">
        <v>1</v>
      </c>
      <c r="Z2" s="353" t="s">
        <v>1</v>
      </c>
      <c r="AH2" s="363" t="s">
        <v>576</v>
      </c>
      <c r="AL2" s="364" t="s">
        <v>577</v>
      </c>
      <c r="AO2" s="364" t="s">
        <v>577</v>
      </c>
    </row>
    <row r="3" customFormat="false" ht="12.75" hidden="false" customHeight="false" outlineLevel="0" collapsed="false">
      <c r="A3" s="365" t="s">
        <v>578</v>
      </c>
      <c r="B3" s="366" t="n">
        <v>4.485</v>
      </c>
      <c r="C3" s="353"/>
      <c r="D3" s="365" t="s">
        <v>578</v>
      </c>
      <c r="E3" s="367" t="n">
        <f aca="false">+B3</f>
        <v>4.485</v>
      </c>
      <c r="F3" s="353"/>
      <c r="G3" s="368" t="s">
        <v>579</v>
      </c>
      <c r="H3" s="369" t="n">
        <v>4.38</v>
      </c>
      <c r="I3" s="353"/>
      <c r="J3" s="358" t="s">
        <v>580</v>
      </c>
      <c r="K3" s="359" t="n">
        <v>4.44</v>
      </c>
      <c r="L3" s="353"/>
      <c r="M3" s="358" t="s">
        <v>580</v>
      </c>
      <c r="N3" s="367" t="n">
        <f aca="false">+K3</f>
        <v>4.44</v>
      </c>
      <c r="O3" s="353"/>
      <c r="P3" s="370" t="s">
        <v>581</v>
      </c>
      <c r="Q3" s="371" t="n">
        <v>4.495</v>
      </c>
      <c r="R3" s="360" t="s">
        <v>1</v>
      </c>
      <c r="S3" s="365" t="s">
        <v>582</v>
      </c>
      <c r="T3" s="372" t="n">
        <v>4.485</v>
      </c>
      <c r="U3" s="353" t="s">
        <v>1</v>
      </c>
      <c r="V3" s="365" t="s">
        <v>46</v>
      </c>
      <c r="W3" s="372" t="n">
        <v>4.69</v>
      </c>
      <c r="X3" s="353"/>
      <c r="Y3" s="365" t="s">
        <v>583</v>
      </c>
      <c r="Z3" s="372" t="n">
        <v>4.7</v>
      </c>
      <c r="AB3" s="358" t="s">
        <v>358</v>
      </c>
      <c r="AC3" s="373" t="n">
        <f aca="false">K7</f>
        <v>4.775</v>
      </c>
      <c r="AE3" s="374" t="s">
        <v>584</v>
      </c>
      <c r="AF3" s="375" t="n">
        <v>4.48</v>
      </c>
      <c r="AH3" s="365" t="s">
        <v>585</v>
      </c>
      <c r="AI3" s="372" t="n">
        <v>4.61</v>
      </c>
      <c r="AK3" s="365" t="s">
        <v>48</v>
      </c>
      <c r="AL3" s="376" t="n">
        <f aca="false">+Z3</f>
        <v>4.7</v>
      </c>
      <c r="AN3" s="365" t="s">
        <v>586</v>
      </c>
      <c r="AO3" s="376" t="n">
        <f aca="false">+H3</f>
        <v>4.38</v>
      </c>
      <c r="AQ3" s="365" t="s">
        <v>566</v>
      </c>
      <c r="AR3" s="371" t="n">
        <f aca="false">H5+0.095</f>
        <v>4.735</v>
      </c>
    </row>
    <row r="4" customFormat="false" ht="12.75" hidden="false" customHeight="false" outlineLevel="0" collapsed="false">
      <c r="A4" s="365" t="s">
        <v>587</v>
      </c>
      <c r="B4" s="377" t="n">
        <v>4.73</v>
      </c>
      <c r="C4" s="239"/>
      <c r="D4" s="365" t="s">
        <v>587</v>
      </c>
      <c r="E4" s="367" t="n">
        <f aca="false">+B4</f>
        <v>4.73</v>
      </c>
      <c r="F4" s="239"/>
      <c r="G4" s="368" t="s">
        <v>588</v>
      </c>
      <c r="H4" s="378" t="n">
        <v>4.405</v>
      </c>
      <c r="I4" s="353"/>
      <c r="J4" s="358" t="s">
        <v>589</v>
      </c>
      <c r="K4" s="359" t="n">
        <v>4.43</v>
      </c>
      <c r="L4" s="353"/>
      <c r="M4" s="358" t="s">
        <v>589</v>
      </c>
      <c r="N4" s="367" t="n">
        <f aca="false">+K4</f>
        <v>4.43</v>
      </c>
      <c r="O4" s="353"/>
      <c r="P4" s="370"/>
      <c r="Q4" s="371"/>
      <c r="R4" s="360"/>
      <c r="S4" s="365" t="s">
        <v>590</v>
      </c>
      <c r="T4" s="372" t="n">
        <v>4.545</v>
      </c>
      <c r="U4" s="353"/>
      <c r="V4" s="365"/>
      <c r="W4" s="372" t="n">
        <f aca="false">+W17+W3</f>
        <v>4.81741661077942</v>
      </c>
      <c r="X4" s="353"/>
      <c r="Y4" s="353"/>
      <c r="Z4" s="353"/>
      <c r="AB4" s="379" t="s">
        <v>591</v>
      </c>
      <c r="AE4" s="374" t="s">
        <v>592</v>
      </c>
      <c r="AQ4" s="27" t="s">
        <v>240</v>
      </c>
    </row>
    <row r="5" customFormat="false" ht="12.75" hidden="false" customHeight="false" outlineLevel="0" collapsed="false">
      <c r="A5" s="365" t="s">
        <v>593</v>
      </c>
      <c r="B5" s="380" t="n">
        <v>4.48</v>
      </c>
      <c r="C5" s="244"/>
      <c r="D5" s="365" t="s">
        <v>593</v>
      </c>
      <c r="E5" s="367" t="n">
        <v>3.9</v>
      </c>
      <c r="F5" s="244"/>
      <c r="G5" s="368" t="s">
        <v>240</v>
      </c>
      <c r="H5" s="381" t="n">
        <v>4.64</v>
      </c>
      <c r="I5" s="353"/>
      <c r="J5" s="358" t="s">
        <v>594</v>
      </c>
      <c r="K5" s="359" t="n">
        <v>4.335</v>
      </c>
      <c r="L5" s="353"/>
      <c r="M5" s="358" t="s">
        <v>594</v>
      </c>
      <c r="N5" s="367" t="n">
        <f aca="false">+K5</f>
        <v>4.335</v>
      </c>
      <c r="O5" s="353"/>
      <c r="P5" s="370"/>
      <c r="Q5" s="361"/>
      <c r="R5" s="360"/>
      <c r="S5" s="365"/>
      <c r="T5" s="362"/>
      <c r="U5" s="353"/>
      <c r="V5" s="365"/>
      <c r="W5" s="362"/>
      <c r="X5" s="353"/>
      <c r="Y5" s="353"/>
      <c r="Z5" s="382"/>
    </row>
    <row r="6" customFormat="false" ht="12.75" hidden="false" customHeight="false" outlineLevel="0" collapsed="false">
      <c r="A6" s="383" t="s">
        <v>595</v>
      </c>
      <c r="B6" s="380" t="n">
        <v>4.365</v>
      </c>
      <c r="C6" s="244"/>
      <c r="D6" s="383" t="s">
        <v>595</v>
      </c>
      <c r="E6" s="367" t="n">
        <f aca="false">+B6</f>
        <v>4.365</v>
      </c>
      <c r="F6" s="244"/>
      <c r="G6" s="139"/>
      <c r="H6" s="139"/>
      <c r="I6" s="311"/>
      <c r="J6" s="368" t="s">
        <v>596</v>
      </c>
      <c r="K6" s="384" t="n">
        <v>4.545</v>
      </c>
      <c r="L6" s="311"/>
      <c r="M6" s="368" t="s">
        <v>596</v>
      </c>
      <c r="N6" s="367" t="n">
        <f aca="false">+K6</f>
        <v>4.545</v>
      </c>
      <c r="O6" s="311"/>
      <c r="P6" s="385"/>
      <c r="Q6" s="386"/>
      <c r="R6" s="387"/>
      <c r="S6" s="383"/>
      <c r="T6" s="388" t="n">
        <f aca="false">+T4-T3</f>
        <v>0.0599999999999996</v>
      </c>
      <c r="U6" s="311"/>
      <c r="V6" s="383"/>
      <c r="W6" s="388"/>
      <c r="X6" s="311"/>
      <c r="Y6" s="311"/>
      <c r="Z6" s="388"/>
      <c r="AA6" s="162"/>
      <c r="AB6" s="139"/>
      <c r="AC6" s="139"/>
      <c r="AD6" s="162"/>
      <c r="AE6" s="389"/>
      <c r="AF6" s="389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</row>
    <row r="7" customFormat="false" ht="12.75" hidden="false" customHeight="false" outlineLevel="0" collapsed="false">
      <c r="A7" s="390" t="s">
        <v>597</v>
      </c>
      <c r="B7" s="380" t="n">
        <v>4.765</v>
      </c>
      <c r="C7" s="244"/>
      <c r="D7" s="390" t="s">
        <v>597</v>
      </c>
      <c r="E7" s="367" t="n">
        <f aca="false">+B7</f>
        <v>4.765</v>
      </c>
      <c r="F7" s="244"/>
      <c r="G7" s="391"/>
      <c r="H7" s="391"/>
      <c r="I7" s="392"/>
      <c r="J7" s="393" t="s">
        <v>358</v>
      </c>
      <c r="K7" s="394" t="n">
        <v>4.775</v>
      </c>
      <c r="L7" s="392"/>
      <c r="M7" s="393" t="s">
        <v>358</v>
      </c>
      <c r="N7" s="367" t="n">
        <f aca="false">+K7</f>
        <v>4.775</v>
      </c>
      <c r="O7" s="392"/>
      <c r="P7" s="395"/>
      <c r="Q7" s="396"/>
      <c r="R7" s="397"/>
      <c r="S7" s="390"/>
      <c r="T7" s="398"/>
      <c r="U7" s="392"/>
      <c r="V7" s="390"/>
      <c r="W7" s="398"/>
      <c r="X7" s="392"/>
      <c r="Y7" s="392"/>
      <c r="Z7" s="398"/>
      <c r="AA7" s="264"/>
      <c r="AB7" s="399"/>
      <c r="AC7" s="399"/>
      <c r="AD7" s="264"/>
      <c r="AE7" s="400"/>
      <c r="AF7" s="400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  <c r="BY7" s="264"/>
      <c r="BZ7" s="264"/>
      <c r="CA7" s="264"/>
      <c r="CB7" s="264"/>
      <c r="CC7" s="264"/>
      <c r="CD7" s="264"/>
      <c r="CE7" s="264"/>
      <c r="CF7" s="264"/>
      <c r="CG7" s="264"/>
      <c r="CH7" s="264"/>
      <c r="CI7" s="264"/>
      <c r="CJ7" s="264"/>
      <c r="CK7" s="264"/>
      <c r="CL7" s="264"/>
      <c r="CM7" s="264"/>
      <c r="CN7" s="264"/>
      <c r="CO7" s="264"/>
      <c r="CP7" s="264"/>
      <c r="CQ7" s="264"/>
      <c r="CR7" s="264"/>
      <c r="CS7" s="264"/>
      <c r="CT7" s="264"/>
      <c r="CU7" s="264"/>
      <c r="CV7" s="264"/>
      <c r="CW7" s="264"/>
      <c r="CX7" s="264"/>
      <c r="CY7" s="264"/>
      <c r="CZ7" s="264"/>
      <c r="DA7" s="264"/>
      <c r="DB7" s="264"/>
      <c r="DC7" s="264"/>
      <c r="DD7" s="264"/>
      <c r="DE7" s="264"/>
      <c r="DF7" s="264"/>
      <c r="DG7" s="264"/>
      <c r="DH7" s="264"/>
      <c r="DI7" s="264"/>
      <c r="DJ7" s="264"/>
      <c r="DK7" s="264"/>
      <c r="DL7" s="264"/>
      <c r="DM7" s="264"/>
      <c r="DN7" s="264"/>
      <c r="DO7" s="264"/>
      <c r="DP7" s="264"/>
      <c r="DQ7" s="264"/>
      <c r="DR7" s="264"/>
      <c r="DS7" s="264"/>
      <c r="DT7" s="264"/>
      <c r="DU7" s="264"/>
      <c r="DV7" s="264"/>
      <c r="DW7" s="264"/>
      <c r="DX7" s="264"/>
      <c r="DY7" s="264"/>
      <c r="DZ7" s="264"/>
      <c r="EA7" s="264"/>
      <c r="EB7" s="264"/>
      <c r="EC7" s="264"/>
      <c r="ED7" s="264"/>
      <c r="EE7" s="264"/>
      <c r="EF7" s="264"/>
      <c r="EG7" s="264"/>
      <c r="EH7" s="264"/>
      <c r="EI7" s="264"/>
      <c r="EJ7" s="264"/>
      <c r="EK7" s="264"/>
      <c r="EL7" s="264"/>
      <c r="EM7" s="264"/>
      <c r="EN7" s="264"/>
      <c r="EO7" s="264"/>
      <c r="EP7" s="264"/>
      <c r="EQ7" s="264"/>
      <c r="ER7" s="264"/>
      <c r="ES7" s="264"/>
      <c r="ET7" s="264"/>
      <c r="EU7" s="264"/>
      <c r="EV7" s="264"/>
      <c r="EW7" s="264"/>
      <c r="EX7" s="264"/>
      <c r="EY7" s="264"/>
      <c r="EZ7" s="264"/>
      <c r="FA7" s="264"/>
      <c r="FB7" s="264"/>
      <c r="FC7" s="264"/>
      <c r="FD7" s="264"/>
      <c r="FE7" s="264"/>
      <c r="FF7" s="264"/>
      <c r="FG7" s="264"/>
      <c r="FH7" s="264"/>
      <c r="FI7" s="264"/>
      <c r="FJ7" s="264"/>
      <c r="FK7" s="264"/>
      <c r="FL7" s="264"/>
      <c r="FM7" s="264"/>
      <c r="FN7" s="264"/>
      <c r="FO7" s="264"/>
      <c r="FP7" s="264"/>
      <c r="FQ7" s="264"/>
      <c r="FR7" s="264"/>
      <c r="FS7" s="264"/>
      <c r="FT7" s="264"/>
      <c r="FU7" s="264"/>
      <c r="FV7" s="264"/>
      <c r="FW7" s="264"/>
      <c r="FX7" s="264"/>
      <c r="FY7" s="264"/>
      <c r="FZ7" s="264"/>
      <c r="GA7" s="264"/>
      <c r="GB7" s="264"/>
      <c r="GC7" s="264"/>
      <c r="GD7" s="264"/>
      <c r="GE7" s="264"/>
      <c r="GF7" s="264"/>
      <c r="GG7" s="264"/>
      <c r="GH7" s="264"/>
      <c r="GI7" s="264"/>
      <c r="GJ7" s="264"/>
      <c r="GK7" s="264"/>
      <c r="GL7" s="264"/>
      <c r="GM7" s="264"/>
      <c r="GN7" s="264"/>
      <c r="GO7" s="264"/>
      <c r="GP7" s="264"/>
      <c r="GQ7" s="264"/>
      <c r="GR7" s="264"/>
      <c r="GS7" s="264"/>
      <c r="GT7" s="264"/>
      <c r="GU7" s="264"/>
      <c r="GV7" s="264"/>
      <c r="GW7" s="264"/>
      <c r="GX7" s="264"/>
      <c r="GY7" s="264"/>
      <c r="GZ7" s="264"/>
      <c r="HA7" s="264"/>
      <c r="HB7" s="264"/>
      <c r="HC7" s="264"/>
      <c r="HD7" s="264"/>
      <c r="HE7" s="264"/>
      <c r="HF7" s="264"/>
      <c r="HG7" s="264"/>
      <c r="HH7" s="264"/>
      <c r="HI7" s="264"/>
      <c r="HJ7" s="264"/>
      <c r="HK7" s="264"/>
      <c r="HL7" s="264"/>
      <c r="HM7" s="264"/>
      <c r="HN7" s="264"/>
      <c r="HO7" s="264"/>
      <c r="HP7" s="264"/>
      <c r="HQ7" s="264"/>
      <c r="HR7" s="264"/>
      <c r="HS7" s="264"/>
      <c r="HT7" s="264"/>
      <c r="HU7" s="264"/>
      <c r="HV7" s="264"/>
      <c r="HW7" s="264"/>
      <c r="HX7" s="264"/>
      <c r="HY7" s="264"/>
      <c r="HZ7" s="264"/>
      <c r="IA7" s="264"/>
      <c r="IB7" s="264"/>
      <c r="IC7" s="264"/>
      <c r="ID7" s="264"/>
      <c r="IE7" s="264"/>
      <c r="IF7" s="264"/>
      <c r="IG7" s="264"/>
      <c r="IH7" s="264"/>
      <c r="II7" s="264"/>
      <c r="IJ7" s="264"/>
      <c r="IK7" s="264"/>
      <c r="IL7" s="264"/>
      <c r="IM7" s="264"/>
      <c r="IN7" s="264"/>
      <c r="IO7" s="264"/>
      <c r="IP7" s="264"/>
      <c r="IQ7" s="264"/>
      <c r="IR7" s="264"/>
      <c r="IS7" s="264"/>
      <c r="IT7" s="264"/>
      <c r="IU7" s="264"/>
      <c r="IV7" s="264"/>
      <c r="IW7" s="264"/>
    </row>
    <row r="8" customFormat="false" ht="12.75" hidden="false" customHeight="false" outlineLevel="0" collapsed="false">
      <c r="A8" s="365" t="s">
        <v>598</v>
      </c>
      <c r="B8" s="244"/>
      <c r="C8" s="244"/>
      <c r="D8" s="244"/>
      <c r="E8" s="244"/>
      <c r="F8" s="244"/>
      <c r="G8" s="401" t="s">
        <v>599</v>
      </c>
      <c r="H8" s="402"/>
      <c r="I8" s="403"/>
      <c r="J8" s="404" t="s">
        <v>600</v>
      </c>
      <c r="K8" s="405"/>
      <c r="L8" s="353"/>
      <c r="M8" s="368" t="s">
        <v>601</v>
      </c>
      <c r="N8" s="384"/>
      <c r="O8" s="353"/>
      <c r="P8" s="370"/>
      <c r="Q8" s="361"/>
      <c r="R8" s="360"/>
      <c r="S8" s="403" t="s">
        <v>602</v>
      </c>
      <c r="T8" s="362"/>
      <c r="U8" s="353"/>
      <c r="V8" s="365" t="s">
        <v>603</v>
      </c>
      <c r="W8" s="362"/>
      <c r="X8" s="353"/>
      <c r="Y8" s="365" t="s">
        <v>604</v>
      </c>
      <c r="Z8" s="353"/>
      <c r="AB8" s="227" t="s">
        <v>605</v>
      </c>
      <c r="AE8" s="350" t="s">
        <v>606</v>
      </c>
      <c r="AH8" s="27" t="s">
        <v>607</v>
      </c>
      <c r="AK8" s="27" t="s">
        <v>608</v>
      </c>
      <c r="AQ8" s="27" t="s">
        <v>609</v>
      </c>
    </row>
    <row r="9" customFormat="false" ht="12.75" hidden="false" customHeight="false" outlineLevel="0" collapsed="false">
      <c r="A9" s="383" t="s">
        <v>610</v>
      </c>
      <c r="B9" s="244"/>
      <c r="C9" s="244"/>
      <c r="D9" s="244"/>
      <c r="E9" s="244"/>
      <c r="F9" s="244"/>
      <c r="G9" s="402" t="s">
        <v>611</v>
      </c>
      <c r="H9" s="402"/>
      <c r="I9" s="406"/>
      <c r="J9" s="407" t="s">
        <v>612</v>
      </c>
      <c r="K9" s="405"/>
      <c r="L9" s="353"/>
      <c r="M9" s="113" t="s">
        <v>613</v>
      </c>
      <c r="N9" s="384"/>
      <c r="O9" s="353"/>
      <c r="P9" s="408" t="s">
        <v>614</v>
      </c>
      <c r="Q9" s="386"/>
      <c r="R9" s="387"/>
      <c r="S9" s="383" t="s">
        <v>615</v>
      </c>
      <c r="T9" s="388"/>
      <c r="U9" s="311"/>
      <c r="V9" s="383" t="s">
        <v>507</v>
      </c>
      <c r="W9" s="388"/>
      <c r="X9" s="353"/>
      <c r="Y9" s="365" t="s">
        <v>507</v>
      </c>
      <c r="Z9" s="353"/>
      <c r="AB9" s="227" t="s">
        <v>616</v>
      </c>
      <c r="AE9" s="350" t="s">
        <v>617</v>
      </c>
      <c r="AH9" s="27" t="s">
        <v>618</v>
      </c>
      <c r="AK9" s="27" t="s">
        <v>619</v>
      </c>
      <c r="AQ9" s="27" t="s">
        <v>620</v>
      </c>
    </row>
    <row r="10" customFormat="false" ht="12.75" hidden="false" customHeight="false" outlineLevel="0" collapsed="false">
      <c r="A10" s="383"/>
      <c r="B10" s="244"/>
      <c r="C10" s="244"/>
      <c r="D10" s="244"/>
      <c r="E10" s="244"/>
      <c r="F10" s="244"/>
      <c r="G10" s="402" t="s">
        <v>621</v>
      </c>
      <c r="H10" s="402"/>
      <c r="I10" s="406"/>
      <c r="J10" s="409" t="s">
        <v>622</v>
      </c>
      <c r="K10" s="405"/>
      <c r="L10" s="353"/>
      <c r="M10" s="410" t="s">
        <v>622</v>
      </c>
      <c r="N10" s="384"/>
      <c r="O10" s="353"/>
      <c r="P10" s="408" t="s">
        <v>623</v>
      </c>
      <c r="Q10" s="386"/>
      <c r="R10" s="387"/>
      <c r="S10" s="383" t="s">
        <v>624</v>
      </c>
      <c r="T10" s="388"/>
      <c r="U10" s="311"/>
      <c r="V10" s="383" t="s">
        <v>625</v>
      </c>
      <c r="W10" s="388"/>
      <c r="X10" s="353"/>
      <c r="Y10" s="358" t="s">
        <v>626</v>
      </c>
      <c r="Z10" s="365"/>
      <c r="AB10" s="227" t="s">
        <v>627</v>
      </c>
      <c r="AE10" s="350" t="s">
        <v>628</v>
      </c>
      <c r="AH10" s="27" t="s">
        <v>629</v>
      </c>
      <c r="AK10" s="411" t="n">
        <v>36526</v>
      </c>
      <c r="AN10" s="411"/>
      <c r="AQ10" s="27" t="s">
        <v>630</v>
      </c>
    </row>
    <row r="11" customFormat="false" ht="12.75" hidden="false" customHeight="false" outlineLevel="0" collapsed="false">
      <c r="A11" s="383"/>
      <c r="B11" s="1"/>
      <c r="C11" s="1"/>
      <c r="D11" s="1"/>
      <c r="E11" s="1"/>
      <c r="F11" s="1"/>
      <c r="G11" s="407" t="s">
        <v>631</v>
      </c>
      <c r="H11" s="402"/>
      <c r="I11" s="406"/>
      <c r="J11" s="410" t="s">
        <v>632</v>
      </c>
      <c r="K11" s="384"/>
      <c r="L11" s="353"/>
      <c r="M11" s="410" t="s">
        <v>633</v>
      </c>
      <c r="N11" s="384"/>
      <c r="O11" s="353"/>
      <c r="P11" s="408" t="s">
        <v>634</v>
      </c>
      <c r="Q11" s="386"/>
      <c r="R11" s="387"/>
      <c r="S11" s="383"/>
      <c r="T11" s="388"/>
      <c r="U11" s="311"/>
      <c r="V11" s="368" t="s">
        <v>635</v>
      </c>
      <c r="W11" s="388"/>
      <c r="X11" s="353"/>
      <c r="Y11" s="365"/>
      <c r="Z11" s="365"/>
      <c r="AB11" s="227" t="s">
        <v>636</v>
      </c>
      <c r="AE11" s="350" t="s">
        <v>637</v>
      </c>
      <c r="AK11" s="411"/>
      <c r="AN11" s="411"/>
      <c r="AQ11" s="27" t="s">
        <v>638</v>
      </c>
    </row>
    <row r="12" customFormat="false" ht="12.75" hidden="false" customHeight="false" outlineLevel="0" collapsed="false">
      <c r="A12" s="368" t="s">
        <v>639</v>
      </c>
      <c r="B12" s="412"/>
      <c r="C12" s="353"/>
      <c r="D12" s="358" t="s">
        <v>639</v>
      </c>
      <c r="E12" s="413"/>
      <c r="F12" s="414"/>
      <c r="G12" s="415" t="s">
        <v>640</v>
      </c>
      <c r="H12" s="416"/>
      <c r="I12" s="353"/>
      <c r="J12" s="410" t="s">
        <v>641</v>
      </c>
      <c r="K12" s="359"/>
      <c r="L12" s="353"/>
      <c r="M12" s="358" t="s">
        <v>11</v>
      </c>
      <c r="N12" s="359"/>
      <c r="O12" s="353"/>
      <c r="P12" s="385" t="s">
        <v>642</v>
      </c>
      <c r="Q12" s="361"/>
      <c r="R12" s="360"/>
      <c r="S12" s="365"/>
      <c r="T12" s="362"/>
      <c r="U12" s="353"/>
      <c r="V12" s="365"/>
      <c r="W12" s="362"/>
      <c r="X12" s="353"/>
      <c r="Y12" s="365"/>
      <c r="Z12" s="365"/>
      <c r="AE12" s="227" t="s">
        <v>643</v>
      </c>
      <c r="AK12" s="411" t="s">
        <v>644</v>
      </c>
      <c r="AN12" s="411"/>
      <c r="AQ12" s="411" t="n">
        <v>36526</v>
      </c>
      <c r="AT12" s="27" t="s">
        <v>645</v>
      </c>
      <c r="AU12" s="417" t="n">
        <v>2.025</v>
      </c>
    </row>
    <row r="13" customFormat="false" ht="12.75" hidden="false" customHeight="false" outlineLevel="0" collapsed="false">
      <c r="A13" s="418" t="s">
        <v>93</v>
      </c>
      <c r="B13" s="419" t="s">
        <v>646</v>
      </c>
      <c r="C13" s="420"/>
      <c r="D13" s="27" t="s">
        <v>93</v>
      </c>
      <c r="E13" s="27" t="s">
        <v>647</v>
      </c>
      <c r="F13" s="421"/>
      <c r="G13" s="422" t="s">
        <v>648</v>
      </c>
      <c r="H13" s="423" t="s">
        <v>649</v>
      </c>
      <c r="I13" s="414"/>
      <c r="J13" s="424" t="s">
        <v>650</v>
      </c>
      <c r="K13" s="425" t="s">
        <v>651</v>
      </c>
      <c r="L13" s="414"/>
      <c r="M13" s="426" t="s">
        <v>650</v>
      </c>
      <c r="N13" s="427" t="s">
        <v>652</v>
      </c>
      <c r="O13" s="414"/>
      <c r="P13" s="428" t="s">
        <v>522</v>
      </c>
      <c r="Q13" s="429" t="s">
        <v>653</v>
      </c>
      <c r="R13" s="430"/>
      <c r="S13" s="418" t="s">
        <v>654</v>
      </c>
      <c r="T13" s="431" t="s">
        <v>655</v>
      </c>
      <c r="U13" s="420"/>
      <c r="V13" s="418" t="s">
        <v>656</v>
      </c>
      <c r="W13" s="431" t="s">
        <v>657</v>
      </c>
      <c r="X13" s="420"/>
      <c r="Y13" s="418" t="s">
        <v>48</v>
      </c>
      <c r="Z13" s="431" t="s">
        <v>658</v>
      </c>
      <c r="AB13" s="432" t="s">
        <v>150</v>
      </c>
      <c r="AC13" s="433" t="s">
        <v>542</v>
      </c>
      <c r="AE13" s="350" t="s">
        <v>659</v>
      </c>
      <c r="AH13" s="418" t="s">
        <v>576</v>
      </c>
      <c r="AI13" s="431" t="s">
        <v>660</v>
      </c>
      <c r="AK13" s="418" t="s">
        <v>661</v>
      </c>
      <c r="AL13" s="431" t="s">
        <v>662</v>
      </c>
      <c r="AN13" s="418" t="s">
        <v>663</v>
      </c>
      <c r="AO13" s="431" t="s">
        <v>11</v>
      </c>
      <c r="AQ13" s="418" t="s">
        <v>664</v>
      </c>
      <c r="AR13" s="431" t="s">
        <v>665</v>
      </c>
      <c r="AT13" s="232" t="s">
        <v>666</v>
      </c>
      <c r="AU13" s="417"/>
    </row>
    <row r="14" customFormat="false" ht="12.75" hidden="false" customHeight="false" outlineLevel="0" collapsed="false">
      <c r="A14" s="434" t="s">
        <v>667</v>
      </c>
      <c r="B14" s="435" t="n">
        <v>0.0024</v>
      </c>
      <c r="C14" s="421"/>
      <c r="D14" s="434" t="s">
        <v>668</v>
      </c>
      <c r="E14" s="436" t="n">
        <v>0.0653</v>
      </c>
      <c r="F14" s="421"/>
      <c r="G14" s="437" t="s">
        <v>667</v>
      </c>
      <c r="H14" s="438" t="n">
        <v>0.0439</v>
      </c>
      <c r="I14" s="421"/>
      <c r="J14" s="439" t="s">
        <v>667</v>
      </c>
      <c r="K14" s="438" t="n">
        <v>0.0178</v>
      </c>
      <c r="L14" s="421"/>
      <c r="M14" s="440" t="s">
        <v>667</v>
      </c>
      <c r="N14" s="441" t="n">
        <v>0.5603</v>
      </c>
      <c r="O14" s="421"/>
      <c r="P14" s="442" t="s">
        <v>667</v>
      </c>
      <c r="Q14" s="443" t="n">
        <v>0.006</v>
      </c>
      <c r="R14" s="444"/>
      <c r="S14" s="434" t="s">
        <v>667</v>
      </c>
      <c r="T14" s="445" t="n">
        <v>0.0002</v>
      </c>
      <c r="U14" s="421"/>
      <c r="V14" s="434" t="s">
        <v>667</v>
      </c>
      <c r="W14" s="445" t="n">
        <v>0.0133</v>
      </c>
      <c r="X14" s="421"/>
      <c r="Y14" s="434" t="s">
        <v>667</v>
      </c>
      <c r="Z14" s="445" t="n">
        <v>0.044</v>
      </c>
      <c r="AB14" s="446" t="s">
        <v>667</v>
      </c>
      <c r="AC14" s="441" t="n">
        <v>0.0112</v>
      </c>
      <c r="AE14" s="437" t="s">
        <v>667</v>
      </c>
      <c r="AF14" s="438" t="n">
        <f aca="false">0.005+0.002</f>
        <v>0.007</v>
      </c>
      <c r="AH14" s="434" t="s">
        <v>667</v>
      </c>
      <c r="AI14" s="435" t="n">
        <v>0.003</v>
      </c>
      <c r="AK14" s="434" t="s">
        <v>667</v>
      </c>
      <c r="AL14" s="435" t="n">
        <v>0.2127</v>
      </c>
      <c r="AN14" s="434" t="s">
        <v>667</v>
      </c>
      <c r="AO14" s="435" t="n">
        <v>0.017</v>
      </c>
      <c r="AQ14" s="434" t="s">
        <v>667</v>
      </c>
      <c r="AR14" s="435" t="n">
        <v>0.0064</v>
      </c>
      <c r="AT14" s="27" t="s">
        <v>668</v>
      </c>
      <c r="AU14" s="417" t="n">
        <v>0.01</v>
      </c>
    </row>
    <row r="15" customFormat="false" ht="12.75" hidden="false" customHeight="false" outlineLevel="0" collapsed="false">
      <c r="A15" s="434" t="s">
        <v>119</v>
      </c>
      <c r="B15" s="435" t="n">
        <f aca="false">0.0022+0.0072+0.0097</f>
        <v>0.0191</v>
      </c>
      <c r="C15" s="421"/>
      <c r="D15" s="434" t="s">
        <v>119</v>
      </c>
      <c r="E15" s="436" t="n">
        <f aca="false">0.0072+0.0022+0.0097</f>
        <v>0.0191</v>
      </c>
      <c r="F15" s="447"/>
      <c r="G15" s="437" t="s">
        <v>119</v>
      </c>
      <c r="H15" s="438" t="n">
        <f aca="false">0.0022+0.0072+0.0225</f>
        <v>0.0319</v>
      </c>
      <c r="I15" s="421"/>
      <c r="J15" s="439" t="s">
        <v>119</v>
      </c>
      <c r="K15" s="438" t="n">
        <f aca="false">0.0022+0.0072</f>
        <v>0.0094</v>
      </c>
      <c r="L15" s="421"/>
      <c r="M15" s="440" t="s">
        <v>119</v>
      </c>
      <c r="N15" s="441" t="n">
        <f aca="false">0.0022+0.0072</f>
        <v>0.0094</v>
      </c>
      <c r="O15" s="421"/>
      <c r="P15" s="442" t="s">
        <v>119</v>
      </c>
      <c r="Q15" s="443" t="n">
        <f aca="false">0.0022+0.0072</f>
        <v>0.0094</v>
      </c>
      <c r="R15" s="444"/>
      <c r="S15" s="434" t="s">
        <v>119</v>
      </c>
      <c r="T15" s="445" t="n">
        <v>0.0022</v>
      </c>
      <c r="U15" s="421"/>
      <c r="V15" s="434" t="s">
        <v>119</v>
      </c>
      <c r="W15" s="445" t="n">
        <f aca="false">0.0022+0.0072</f>
        <v>0.0094</v>
      </c>
      <c r="X15" s="421"/>
      <c r="Y15" s="434" t="s">
        <v>119</v>
      </c>
      <c r="Z15" s="435" t="n">
        <v>0.0022</v>
      </c>
      <c r="AB15" s="446" t="s">
        <v>119</v>
      </c>
      <c r="AC15" s="441" t="n">
        <f aca="false">0.0022+0.0072</f>
        <v>0.0094</v>
      </c>
      <c r="AE15" s="437" t="s">
        <v>119</v>
      </c>
      <c r="AF15" s="438" t="n">
        <f aca="false">0.0022+0.0072</f>
        <v>0.0094</v>
      </c>
      <c r="AH15" s="434" t="s">
        <v>119</v>
      </c>
      <c r="AI15" s="435" t="n">
        <f aca="false">0.0022+0.0072+0.0007</f>
        <v>0.0101</v>
      </c>
      <c r="AK15" s="434" t="s">
        <v>119</v>
      </c>
      <c r="AL15" s="435" t="n">
        <f aca="false">0.0022+0.0072</f>
        <v>0.0094</v>
      </c>
      <c r="AN15" s="434" t="s">
        <v>119</v>
      </c>
      <c r="AO15" s="435" t="n">
        <v>0</v>
      </c>
      <c r="AQ15" s="434" t="s">
        <v>119</v>
      </c>
      <c r="AR15" s="435" t="n">
        <f aca="false">0.0072+0.0022</f>
        <v>0.0094</v>
      </c>
      <c r="AT15" s="27" t="s">
        <v>669</v>
      </c>
      <c r="AU15" s="417" t="n">
        <v>0.0022</v>
      </c>
    </row>
    <row r="16" customFormat="false" ht="12.75" hidden="false" customHeight="false" outlineLevel="0" collapsed="false">
      <c r="A16" s="434" t="s">
        <v>670</v>
      </c>
      <c r="B16" s="448" t="n">
        <f aca="false">B6/(1-0.0035)-B6</f>
        <v>0.0153311590566982</v>
      </c>
      <c r="C16" s="447"/>
      <c r="D16" s="434" t="s">
        <v>670</v>
      </c>
      <c r="E16" s="448" t="n">
        <f aca="false">(E6)/(1-0.0035)-E6</f>
        <v>0.0153311590566982</v>
      </c>
      <c r="F16" s="449"/>
      <c r="G16" s="437" t="s">
        <v>671</v>
      </c>
      <c r="H16" s="450" t="n">
        <f aca="false">(H3)/(1-0.0084)-H3</f>
        <v>0.0371036708350143</v>
      </c>
      <c r="I16" s="447"/>
      <c r="J16" s="439" t="s">
        <v>672</v>
      </c>
      <c r="K16" s="451" t="n">
        <f aca="false">(K5)/(1-0.0242)-K5</f>
        <v>0.107508710801394</v>
      </c>
      <c r="L16" s="447"/>
      <c r="M16" s="440" t="s">
        <v>673</v>
      </c>
      <c r="N16" s="452" t="n">
        <f aca="false">(N5)/(1-0.0704)-N5</f>
        <v>0.328296041308089</v>
      </c>
      <c r="O16" s="447"/>
      <c r="P16" s="442" t="s">
        <v>674</v>
      </c>
      <c r="Q16" s="453" t="n">
        <f aca="false">+Q$3/(1-0.015)-Q$3</f>
        <v>0.0684517766497459</v>
      </c>
      <c r="R16" s="454"/>
      <c r="S16" s="434" t="s">
        <v>675</v>
      </c>
      <c r="T16" s="448" t="n">
        <f aca="false">(+T3-0.108)/(1-0.00489)-(T3-0.108)</f>
        <v>0.0215087075800664</v>
      </c>
      <c r="U16" s="447"/>
      <c r="V16" s="455" t="n">
        <v>0.02184</v>
      </c>
      <c r="W16" s="448" t="n">
        <f aca="false">+W3/(1-0.02184)-W3</f>
        <v>0.104716610779422</v>
      </c>
      <c r="X16" s="447"/>
      <c r="Y16" s="456" t="s">
        <v>676</v>
      </c>
      <c r="Z16" s="448" t="n">
        <f aca="false">Z3/(1-0.0228)-Z3</f>
        <v>0.109660253786329</v>
      </c>
      <c r="AB16" s="455" t="n">
        <v>0.0058</v>
      </c>
      <c r="AC16" s="452" t="n">
        <f aca="false">+AC3/(1-AB16)-AC3</f>
        <v>0.0278565680949505</v>
      </c>
      <c r="AE16" s="437" t="s">
        <v>677</v>
      </c>
      <c r="AF16" s="451" t="n">
        <f aca="false">+AF3/(1-0.0022)-AF3</f>
        <v>0.00987773100821787</v>
      </c>
      <c r="AH16" s="455" t="n">
        <v>0.002</v>
      </c>
      <c r="AI16" s="448" t="n">
        <f aca="false">+AI3/(1-0.002)-AI3</f>
        <v>0.00923847695390823</v>
      </c>
      <c r="AK16" s="434" t="s">
        <v>678</v>
      </c>
      <c r="AL16" s="448" t="n">
        <f aca="false">+AL3/(1-0.03)-AL3</f>
        <v>0.145360824742268</v>
      </c>
      <c r="AN16" s="434" t="s">
        <v>679</v>
      </c>
      <c r="AO16" s="448" t="n">
        <f aca="false">+AO3/(1-0)-AO3</f>
        <v>0</v>
      </c>
      <c r="AQ16" s="434" t="s">
        <v>680</v>
      </c>
      <c r="AR16" s="448" t="n">
        <f aca="false">+AR3/(1-0.02)-AR3</f>
        <v>0.0966326530612243</v>
      </c>
      <c r="AT16" s="27" t="s">
        <v>681</v>
      </c>
      <c r="AU16" s="417" t="n">
        <v>0</v>
      </c>
    </row>
    <row r="17" customFormat="false" ht="12.75" hidden="false" customHeight="false" outlineLevel="0" collapsed="false">
      <c r="A17" s="457"/>
      <c r="B17" s="458" t="n">
        <f aca="false">SUM(B14:B16)</f>
        <v>0.0368311590566982</v>
      </c>
      <c r="C17" s="449"/>
      <c r="D17" s="434"/>
      <c r="E17" s="458" t="n">
        <f aca="false">SUM(E14:E16)</f>
        <v>0.0997311590566982</v>
      </c>
      <c r="F17" s="414"/>
      <c r="G17" s="459"/>
      <c r="H17" s="460" t="n">
        <f aca="false">SUM(H14:H16)</f>
        <v>0.112903670835014</v>
      </c>
      <c r="I17" s="449"/>
      <c r="J17" s="439"/>
      <c r="K17" s="460" t="n">
        <f aca="false">SUM(K14:K16)</f>
        <v>0.134708710801394</v>
      </c>
      <c r="L17" s="449"/>
      <c r="M17" s="440"/>
      <c r="N17" s="461" t="n">
        <f aca="false">SUM(N14:N16)</f>
        <v>0.897996041308089</v>
      </c>
      <c r="O17" s="449"/>
      <c r="P17" s="462"/>
      <c r="Q17" s="463" t="n">
        <f aca="false">SUM(Q14:Q16)</f>
        <v>0.0838517766497459</v>
      </c>
      <c r="R17" s="464"/>
      <c r="S17" s="457"/>
      <c r="T17" s="458" t="n">
        <f aca="false">SUM(T14:T16)</f>
        <v>0.0239087075800664</v>
      </c>
      <c r="U17" s="449"/>
      <c r="V17" s="457"/>
      <c r="W17" s="458" t="n">
        <f aca="false">SUM(W14:W16)</f>
        <v>0.127416610779422</v>
      </c>
      <c r="X17" s="449" t="n">
        <v>0</v>
      </c>
      <c r="Y17" s="457"/>
      <c r="Z17" s="458" t="n">
        <f aca="false">SUM(Z14:Z16)</f>
        <v>0.155860253786329</v>
      </c>
      <c r="AB17" s="465"/>
      <c r="AC17" s="461" t="n">
        <f aca="false">SUM(AC14:AC16)</f>
        <v>0.0484565680949505</v>
      </c>
      <c r="AE17" s="459"/>
      <c r="AF17" s="460" t="n">
        <f aca="false">SUM(AF14:AF16)</f>
        <v>0.0262777310082179</v>
      </c>
      <c r="AH17" s="457"/>
      <c r="AI17" s="458" t="n">
        <f aca="false">SUM(AI14:AI16)</f>
        <v>0.0223384769539082</v>
      </c>
      <c r="AK17" s="457"/>
      <c r="AL17" s="458" t="n">
        <f aca="false">SUM(AL14:AL16)</f>
        <v>0.367460824742268</v>
      </c>
      <c r="AN17" s="457"/>
      <c r="AO17" s="458" t="n">
        <f aca="false">SUM(AO14:AO16)</f>
        <v>0.017</v>
      </c>
      <c r="AQ17" s="457"/>
      <c r="AR17" s="458" t="n">
        <f aca="false">SUM(AR14:AR16)</f>
        <v>0.112432653061224</v>
      </c>
      <c r="AT17" s="27" t="s">
        <v>682</v>
      </c>
      <c r="AU17" s="27" t="n">
        <v>0.016</v>
      </c>
    </row>
    <row r="18" customFormat="false" ht="12.75" hidden="false" customHeight="false" outlineLevel="0" collapsed="false">
      <c r="A18" s="466" t="s">
        <v>93</v>
      </c>
      <c r="B18" s="419" t="s">
        <v>683</v>
      </c>
      <c r="C18" s="420"/>
      <c r="D18" s="27" t="s">
        <v>93</v>
      </c>
      <c r="E18" s="27" t="s">
        <v>684</v>
      </c>
      <c r="F18" s="421"/>
      <c r="G18" s="467" t="s">
        <v>648</v>
      </c>
      <c r="H18" s="468" t="s">
        <v>685</v>
      </c>
      <c r="I18" s="414"/>
      <c r="J18" s="424" t="s">
        <v>650</v>
      </c>
      <c r="K18" s="425" t="s">
        <v>686</v>
      </c>
      <c r="L18" s="414"/>
      <c r="M18" s="426" t="s">
        <v>650</v>
      </c>
      <c r="N18" s="427" t="s">
        <v>687</v>
      </c>
      <c r="O18" s="414"/>
      <c r="P18" s="469" t="s">
        <v>522</v>
      </c>
      <c r="Q18" s="470" t="s">
        <v>688</v>
      </c>
      <c r="R18" s="430"/>
      <c r="S18" s="466" t="s">
        <v>654</v>
      </c>
      <c r="T18" s="471" t="s">
        <v>689</v>
      </c>
      <c r="U18" s="420"/>
      <c r="V18" s="466" t="s">
        <v>656</v>
      </c>
      <c r="W18" s="471" t="s">
        <v>690</v>
      </c>
      <c r="X18" s="420"/>
      <c r="Y18" s="418" t="s">
        <v>48</v>
      </c>
      <c r="Z18" s="431" t="s">
        <v>691</v>
      </c>
      <c r="AN18" s="73"/>
      <c r="AO18" s="73"/>
      <c r="AT18" s="27" t="s">
        <v>692</v>
      </c>
      <c r="AU18" s="417" t="n">
        <f aca="false">+AU12/(1-AU17)-AU12</f>
        <v>0.0329268292682925</v>
      </c>
    </row>
    <row r="19" customFormat="false" ht="12.75" hidden="false" customHeight="false" outlineLevel="0" collapsed="false">
      <c r="A19" s="434" t="s">
        <v>667</v>
      </c>
      <c r="B19" s="435" t="n">
        <v>0.005</v>
      </c>
      <c r="C19" s="421"/>
      <c r="D19" s="434" t="s">
        <v>667</v>
      </c>
      <c r="E19" s="436" t="n">
        <v>0.0899</v>
      </c>
      <c r="F19" s="421"/>
      <c r="G19" s="437" t="s">
        <v>667</v>
      </c>
      <c r="H19" s="438" t="n">
        <v>0.0669</v>
      </c>
      <c r="I19" s="421"/>
      <c r="J19" s="439" t="s">
        <v>667</v>
      </c>
      <c r="K19" s="438" t="n">
        <v>0.0187</v>
      </c>
      <c r="L19" s="421"/>
      <c r="M19" s="440" t="s">
        <v>667</v>
      </c>
      <c r="N19" s="441" t="n">
        <v>0.6649</v>
      </c>
      <c r="O19" s="421"/>
      <c r="P19" s="442" t="s">
        <v>667</v>
      </c>
      <c r="Q19" s="443" t="n">
        <v>0.008</v>
      </c>
      <c r="R19" s="444"/>
      <c r="S19" s="434" t="s">
        <v>667</v>
      </c>
      <c r="T19" s="445" t="n">
        <v>0.0017</v>
      </c>
      <c r="U19" s="421"/>
      <c r="V19" s="434" t="s">
        <v>667</v>
      </c>
      <c r="W19" s="445" t="n">
        <v>0.1541</v>
      </c>
      <c r="X19" s="421"/>
      <c r="Y19" s="434" t="s">
        <v>667</v>
      </c>
      <c r="Z19" s="445" t="n">
        <v>0.1943</v>
      </c>
      <c r="AB19" s="432" t="s">
        <v>150</v>
      </c>
      <c r="AC19" s="433" t="s">
        <v>693</v>
      </c>
      <c r="AE19" s="350" t="s">
        <v>694</v>
      </c>
      <c r="AH19" s="418" t="s">
        <v>576</v>
      </c>
      <c r="AI19" s="431" t="s">
        <v>695</v>
      </c>
      <c r="AK19" s="418" t="s">
        <v>661</v>
      </c>
      <c r="AL19" s="431" t="s">
        <v>210</v>
      </c>
      <c r="AN19" s="472"/>
      <c r="AO19" s="420"/>
      <c r="AQ19" s="418" t="s">
        <v>664</v>
      </c>
      <c r="AR19" s="431" t="s">
        <v>696</v>
      </c>
      <c r="AT19" s="27" t="s">
        <v>697</v>
      </c>
      <c r="AU19" s="473" t="n">
        <f aca="false">+AU18+AU16+AU15+AU14</f>
        <v>0.0451268292682925</v>
      </c>
    </row>
    <row r="20" customFormat="false" ht="13.5" hidden="false" customHeight="false" outlineLevel="0" collapsed="false">
      <c r="A20" s="434" t="s">
        <v>119</v>
      </c>
      <c r="B20" s="435" t="n">
        <f aca="false">0.0022+0.0072+0.0097</f>
        <v>0.0191</v>
      </c>
      <c r="C20" s="421"/>
      <c r="D20" s="434" t="s">
        <v>119</v>
      </c>
      <c r="E20" s="436" t="n">
        <f aca="false">0.0072+0.0022+0.0097</f>
        <v>0.0191</v>
      </c>
      <c r="F20" s="447"/>
      <c r="G20" s="437" t="s">
        <v>119</v>
      </c>
      <c r="H20" s="438" t="n">
        <f aca="false">0.0022+0.0072+0.0225</f>
        <v>0.0319</v>
      </c>
      <c r="I20" s="421"/>
      <c r="J20" s="439" t="s">
        <v>119</v>
      </c>
      <c r="K20" s="438" t="n">
        <f aca="false">0.0022</f>
        <v>0.0022</v>
      </c>
      <c r="L20" s="421"/>
      <c r="M20" s="440" t="s">
        <v>119</v>
      </c>
      <c r="N20" s="441" t="n">
        <f aca="false">0.0022+0.0072</f>
        <v>0.0094</v>
      </c>
      <c r="O20" s="421"/>
      <c r="P20" s="442" t="s">
        <v>119</v>
      </c>
      <c r="Q20" s="443" t="n">
        <f aca="false">0.0022+0.0072</f>
        <v>0.0094</v>
      </c>
      <c r="R20" s="444"/>
      <c r="S20" s="434" t="s">
        <v>119</v>
      </c>
      <c r="T20" s="445" t="n">
        <v>0.0022</v>
      </c>
      <c r="U20" s="421"/>
      <c r="V20" s="434" t="s">
        <v>119</v>
      </c>
      <c r="W20" s="445" t="n">
        <f aca="false">0.0022+0.0072</f>
        <v>0.0094</v>
      </c>
      <c r="X20" s="421"/>
      <c r="Y20" s="434" t="s">
        <v>119</v>
      </c>
      <c r="Z20" s="435" t="n">
        <v>0.0022</v>
      </c>
      <c r="AB20" s="446" t="s">
        <v>667</v>
      </c>
      <c r="AC20" s="441" t="n">
        <v>0</v>
      </c>
      <c r="AE20" s="437" t="s">
        <v>667</v>
      </c>
      <c r="AF20" s="438" t="n">
        <f aca="false">0.0303+0.002</f>
        <v>0.0323</v>
      </c>
      <c r="AH20" s="434" t="s">
        <v>667</v>
      </c>
      <c r="AI20" s="435" t="n">
        <v>0.0054</v>
      </c>
      <c r="AK20" s="434" t="s">
        <v>667</v>
      </c>
      <c r="AL20" s="435" t="n">
        <v>0.0092</v>
      </c>
      <c r="AN20" s="474"/>
      <c r="AO20" s="421"/>
      <c r="AQ20" s="434" t="s">
        <v>667</v>
      </c>
      <c r="AR20" s="435" t="n">
        <f aca="false">0.0001</f>
        <v>0.0001</v>
      </c>
      <c r="AT20" s="27" t="s">
        <v>698</v>
      </c>
      <c r="AU20" s="475"/>
      <c r="AW20" s="27" t="s">
        <v>699</v>
      </c>
    </row>
    <row r="21" customFormat="false" ht="13.5" hidden="false" customHeight="false" outlineLevel="0" collapsed="false">
      <c r="A21" s="434" t="s">
        <v>700</v>
      </c>
      <c r="B21" s="448" t="n">
        <f aca="false">B6/(1-0.0081)-B6</f>
        <v>0.0356452263332994</v>
      </c>
      <c r="C21" s="447"/>
      <c r="D21" s="434" t="s">
        <v>700</v>
      </c>
      <c r="E21" s="448" t="n">
        <f aca="false">(E6)/(1-0.0081)-E6</f>
        <v>0.0356452263332994</v>
      </c>
      <c r="F21" s="449"/>
      <c r="G21" s="437" t="s">
        <v>701</v>
      </c>
      <c r="H21" s="450" t="n">
        <f aca="false">(H3)/(1-0.0244)-H3</f>
        <v>0.109544895448955</v>
      </c>
      <c r="I21" s="447"/>
      <c r="J21" s="439" t="s">
        <v>702</v>
      </c>
      <c r="K21" s="451" t="n">
        <f aca="false">(K5)/(1-0.0257)-K5</f>
        <v>0.114348250025659</v>
      </c>
      <c r="L21" s="447"/>
      <c r="M21" s="440" t="s">
        <v>703</v>
      </c>
      <c r="N21" s="452" t="n">
        <f aca="false">(N5)/(1-0.797)-N5</f>
        <v>17.0196798029557</v>
      </c>
      <c r="O21" s="447"/>
      <c r="P21" s="442" t="s">
        <v>674</v>
      </c>
      <c r="Q21" s="453" t="n">
        <f aca="false">+Q$3/(1-0.015)-Q$3</f>
        <v>0.0684517766497459</v>
      </c>
      <c r="R21" s="454"/>
      <c r="S21" s="434" t="s">
        <v>704</v>
      </c>
      <c r="T21" s="448" t="n">
        <f aca="false">+T3/(1-0.00603)-T3</f>
        <v>0.0272086179663367</v>
      </c>
      <c r="U21" s="447"/>
      <c r="V21" s="434" t="s">
        <v>705</v>
      </c>
      <c r="W21" s="448" t="n">
        <f aca="false">+W3/(1-0.02184)-W3</f>
        <v>0.104716610779422</v>
      </c>
      <c r="X21" s="447"/>
      <c r="Y21" s="434" t="s">
        <v>676</v>
      </c>
      <c r="Z21" s="448" t="n">
        <f aca="false">(Z3)/(1-0.0228)-Z3</f>
        <v>0.109660253786329</v>
      </c>
      <c r="AB21" s="446" t="s">
        <v>119</v>
      </c>
      <c r="AC21" s="441" t="n">
        <f aca="false">0.0022+0.0072</f>
        <v>0.0094</v>
      </c>
      <c r="AE21" s="437" t="s">
        <v>119</v>
      </c>
      <c r="AF21" s="438" t="n">
        <f aca="false">0.0072+0.0022</f>
        <v>0.0094</v>
      </c>
      <c r="AH21" s="434" t="s">
        <v>119</v>
      </c>
      <c r="AI21" s="435" t="n">
        <f aca="false">0.0022+0.0072+0.0012</f>
        <v>0.0106</v>
      </c>
      <c r="AK21" s="434" t="s">
        <v>119</v>
      </c>
      <c r="AL21" s="435" t="n">
        <f aca="false">0.0022+0.0072</f>
        <v>0.0094</v>
      </c>
      <c r="AN21" s="474"/>
      <c r="AO21" s="421"/>
      <c r="AQ21" s="434" t="s">
        <v>119</v>
      </c>
      <c r="AR21" s="435" t="n">
        <f aca="false">0.0072+0.0022</f>
        <v>0.0094</v>
      </c>
    </row>
    <row r="22" customFormat="false" ht="12.75" hidden="false" customHeight="false" outlineLevel="0" collapsed="false">
      <c r="A22" s="457" t="s">
        <v>1</v>
      </c>
      <c r="B22" s="458" t="n">
        <f aca="false">SUM(B19:B21)</f>
        <v>0.0597452263332994</v>
      </c>
      <c r="C22" s="449"/>
      <c r="D22" s="434"/>
      <c r="E22" s="458" t="n">
        <f aca="false">SUM(E19:E21)</f>
        <v>0.144645226333299</v>
      </c>
      <c r="F22" s="449"/>
      <c r="G22" s="459"/>
      <c r="H22" s="460" t="n">
        <f aca="false">SUM(H19:H21)</f>
        <v>0.208344895448955</v>
      </c>
      <c r="I22" s="449"/>
      <c r="J22" s="439"/>
      <c r="K22" s="460" t="n">
        <f aca="false">SUM(K19:K21)</f>
        <v>0.135248250025659</v>
      </c>
      <c r="L22" s="449"/>
      <c r="M22" s="440"/>
      <c r="N22" s="461" t="n">
        <f aca="false">SUM(N19:N21)</f>
        <v>17.6939798029557</v>
      </c>
      <c r="O22" s="449"/>
      <c r="P22" s="462"/>
      <c r="Q22" s="463" t="n">
        <f aca="false">SUM(Q19:Q21)</f>
        <v>0.0858517766497459</v>
      </c>
      <c r="R22" s="464"/>
      <c r="S22" s="457"/>
      <c r="T22" s="458" t="n">
        <f aca="false">SUM(T19:T21)</f>
        <v>0.0311086179663367</v>
      </c>
      <c r="U22" s="449"/>
      <c r="V22" s="457"/>
      <c r="W22" s="458" t="n">
        <f aca="false">SUM(W19:W21)</f>
        <v>0.268216610779422</v>
      </c>
      <c r="X22" s="449"/>
      <c r="Y22" s="457"/>
      <c r="Z22" s="458" t="n">
        <f aca="false">SUM(Z19:Z21)</f>
        <v>0.306160253786329</v>
      </c>
      <c r="AB22" s="455" t="n">
        <v>0.0058</v>
      </c>
      <c r="AC22" s="452" t="n">
        <f aca="false">+AC$3/(1-AB22)-AC3</f>
        <v>0.0278565680949505</v>
      </c>
      <c r="AE22" s="437" t="s">
        <v>706</v>
      </c>
      <c r="AF22" s="451" t="n">
        <f aca="false">+AF3/(1-0.0268)-AF3</f>
        <v>0.123370324702014</v>
      </c>
      <c r="AH22" s="455" t="n">
        <v>0.004</v>
      </c>
      <c r="AI22" s="448" t="n">
        <f aca="false">+AI3/(1-0.004)-AI3</f>
        <v>0.0185140562249</v>
      </c>
      <c r="AK22" s="434" t="s">
        <v>678</v>
      </c>
      <c r="AL22" s="448" t="n">
        <f aca="false">+AL3/(1-0.03)-AL3</f>
        <v>0.145360824742268</v>
      </c>
      <c r="AN22" s="474"/>
      <c r="AO22" s="447"/>
      <c r="AQ22" s="434" t="s">
        <v>680</v>
      </c>
      <c r="AR22" s="448" t="n">
        <f aca="false">+AR3/(1-0.02)-AR3</f>
        <v>0.0966326530612243</v>
      </c>
    </row>
    <row r="23" customFormat="false" ht="12.75" hidden="false" customHeight="false" outlineLevel="0" collapsed="false">
      <c r="A23" s="466" t="s">
        <v>93</v>
      </c>
      <c r="B23" s="419" t="s">
        <v>707</v>
      </c>
      <c r="C23" s="420"/>
      <c r="D23" s="476" t="s">
        <v>93</v>
      </c>
      <c r="E23" s="458" t="s">
        <v>708</v>
      </c>
      <c r="F23" s="477"/>
      <c r="G23" s="467" t="s">
        <v>648</v>
      </c>
      <c r="H23" s="468" t="s">
        <v>709</v>
      </c>
      <c r="I23" s="449"/>
      <c r="J23" s="478" t="s">
        <v>650</v>
      </c>
      <c r="K23" s="479" t="s">
        <v>710</v>
      </c>
      <c r="L23" s="449"/>
      <c r="M23" s="426" t="s">
        <v>650</v>
      </c>
      <c r="N23" s="427" t="s">
        <v>711</v>
      </c>
      <c r="O23" s="449"/>
      <c r="P23" s="469" t="s">
        <v>522</v>
      </c>
      <c r="Q23" s="470" t="s">
        <v>712</v>
      </c>
      <c r="R23" s="430"/>
      <c r="S23" s="466" t="s">
        <v>654</v>
      </c>
      <c r="T23" s="471" t="s">
        <v>713</v>
      </c>
      <c r="U23" s="420"/>
      <c r="V23" s="466" t="s">
        <v>656</v>
      </c>
      <c r="W23" s="471" t="s">
        <v>714</v>
      </c>
      <c r="X23" s="420"/>
      <c r="Y23" s="420"/>
      <c r="Z23" s="420"/>
      <c r="AB23" s="465"/>
      <c r="AC23" s="461" t="n">
        <f aca="false">SUM(AC20:AC22)</f>
        <v>0.0372565680949505</v>
      </c>
      <c r="AE23" s="459"/>
      <c r="AF23" s="460" t="n">
        <f aca="false">SUM(AF20:AF22)</f>
        <v>0.165070324702014</v>
      </c>
      <c r="AH23" s="457"/>
      <c r="AI23" s="458" t="n">
        <f aca="false">SUM(AI20:AI22)</f>
        <v>0.0345140562249</v>
      </c>
      <c r="AK23" s="457"/>
      <c r="AL23" s="458" t="n">
        <f aca="false">SUM(AL20:AL22)</f>
        <v>0.163960824742268</v>
      </c>
      <c r="AN23" s="73"/>
      <c r="AO23" s="449"/>
      <c r="AQ23" s="457"/>
      <c r="AR23" s="458" t="n">
        <f aca="false">SUM(AR20:AR22)</f>
        <v>0.106132653061224</v>
      </c>
    </row>
    <row r="24" customFormat="false" ht="12.75" hidden="false" customHeight="false" outlineLevel="0" collapsed="false">
      <c r="A24" s="434" t="s">
        <v>667</v>
      </c>
      <c r="B24" s="435" t="n">
        <v>0.0075</v>
      </c>
      <c r="C24" s="421"/>
      <c r="D24" s="434" t="s">
        <v>667</v>
      </c>
      <c r="E24" s="436" t="n">
        <v>0.1243</v>
      </c>
      <c r="F24" s="477"/>
      <c r="G24" s="437" t="s">
        <v>667</v>
      </c>
      <c r="H24" s="438" t="n">
        <v>0.088</v>
      </c>
      <c r="I24" s="477"/>
      <c r="J24" s="439" t="s">
        <v>667</v>
      </c>
      <c r="K24" s="438" t="n">
        <v>0.0236</v>
      </c>
      <c r="L24" s="477"/>
      <c r="M24" s="440" t="s">
        <v>667</v>
      </c>
      <c r="N24" s="441" t="n">
        <v>0.4164</v>
      </c>
      <c r="O24" s="477"/>
      <c r="P24" s="442" t="s">
        <v>667</v>
      </c>
      <c r="Q24" s="443" t="n">
        <v>0.013</v>
      </c>
      <c r="R24" s="444"/>
      <c r="S24" s="434" t="s">
        <v>667</v>
      </c>
      <c r="T24" s="445" t="n">
        <v>0.017</v>
      </c>
      <c r="U24" s="421"/>
      <c r="V24" s="434" t="s">
        <v>667</v>
      </c>
      <c r="W24" s="445" t="n">
        <v>0.2197</v>
      </c>
      <c r="X24" s="421"/>
      <c r="Y24" s="418" t="s">
        <v>48</v>
      </c>
      <c r="Z24" s="431" t="s">
        <v>715</v>
      </c>
      <c r="AN24" s="73"/>
      <c r="AO24" s="73"/>
    </row>
    <row r="25" customFormat="false" ht="12.75" hidden="false" customHeight="false" outlineLevel="0" collapsed="false">
      <c r="A25" s="434" t="s">
        <v>119</v>
      </c>
      <c r="B25" s="435" t="n">
        <f aca="false">0.0022+0.0072+0.0097</f>
        <v>0.0191</v>
      </c>
      <c r="C25" s="421"/>
      <c r="D25" s="434" t="s">
        <v>119</v>
      </c>
      <c r="E25" s="436" t="n">
        <f aca="false">0.0072+0.0022+0.0097</f>
        <v>0.0191</v>
      </c>
      <c r="F25" s="447"/>
      <c r="G25" s="437" t="s">
        <v>119</v>
      </c>
      <c r="H25" s="438" t="n">
        <f aca="false">0.0022+0.0072</f>
        <v>0.0094</v>
      </c>
      <c r="I25" s="477"/>
      <c r="J25" s="439" t="s">
        <v>119</v>
      </c>
      <c r="K25" s="438" t="n">
        <f aca="false">0.0022+0.0072</f>
        <v>0.0094</v>
      </c>
      <c r="L25" s="477"/>
      <c r="M25" s="440" t="s">
        <v>119</v>
      </c>
      <c r="N25" s="441" t="n">
        <f aca="false">0.0022+0.0072</f>
        <v>0.0094</v>
      </c>
      <c r="O25" s="477"/>
      <c r="P25" s="442" t="s">
        <v>119</v>
      </c>
      <c r="Q25" s="443" t="n">
        <f aca="false">0.0022+0.0072</f>
        <v>0.0094</v>
      </c>
      <c r="R25" s="444"/>
      <c r="S25" s="434" t="s">
        <v>119</v>
      </c>
      <c r="T25" s="445" t="n">
        <v>0.0022</v>
      </c>
      <c r="U25" s="421"/>
      <c r="V25" s="434" t="s">
        <v>119</v>
      </c>
      <c r="W25" s="445" t="n">
        <f aca="false">0.0022+0.0072</f>
        <v>0.0094</v>
      </c>
      <c r="X25" s="421"/>
      <c r="Y25" s="434" t="s">
        <v>667</v>
      </c>
      <c r="Z25" s="435" t="n">
        <v>0.15</v>
      </c>
      <c r="AB25" s="227" t="s">
        <v>606</v>
      </c>
      <c r="AE25" s="350" t="s">
        <v>716</v>
      </c>
      <c r="AH25" s="418" t="s">
        <v>576</v>
      </c>
      <c r="AI25" s="431" t="s">
        <v>717</v>
      </c>
      <c r="AK25" s="472"/>
      <c r="AL25" s="420"/>
      <c r="AN25" s="472"/>
      <c r="AO25" s="420"/>
      <c r="AQ25" s="418" t="s">
        <v>664</v>
      </c>
      <c r="AR25" s="431" t="s">
        <v>718</v>
      </c>
    </row>
    <row r="26" customFormat="false" ht="12.75" hidden="false" customHeight="false" outlineLevel="0" collapsed="false">
      <c r="A26" s="434" t="s">
        <v>719</v>
      </c>
      <c r="B26" s="448" t="n">
        <f aca="false">B6/(1-0.0126)-B6</f>
        <v>0.0557008304638442</v>
      </c>
      <c r="C26" s="447"/>
      <c r="D26" s="434" t="s">
        <v>719</v>
      </c>
      <c r="E26" s="448" t="n">
        <f aca="false">E6/(1-0.0126)-E6</f>
        <v>0.0557008304638442</v>
      </c>
      <c r="F26" s="449"/>
      <c r="G26" s="437" t="s">
        <v>720</v>
      </c>
      <c r="H26" s="450" t="n">
        <f aca="false">(H3)/(1-0.0443)-H3</f>
        <v>0.203028146908026</v>
      </c>
      <c r="I26" s="447"/>
      <c r="J26" s="439" t="s">
        <v>721</v>
      </c>
      <c r="K26" s="451" t="n">
        <f aca="false">(K5)/(1-0.0332)-K5</f>
        <v>0.148864294580058</v>
      </c>
      <c r="L26" s="447"/>
      <c r="M26" s="440" t="s">
        <v>722</v>
      </c>
      <c r="N26" s="452" t="n">
        <f aca="false">(N4)/(1-0.064)-N4</f>
        <v>0.302905982905983</v>
      </c>
      <c r="O26" s="447"/>
      <c r="P26" s="442" t="s">
        <v>723</v>
      </c>
      <c r="Q26" s="453" t="n">
        <f aca="false">+Q$3/(1-0.023)-Q$3</f>
        <v>0.105818833162743</v>
      </c>
      <c r="R26" s="454"/>
      <c r="S26" s="434" t="s">
        <v>724</v>
      </c>
      <c r="T26" s="448" t="n">
        <f aca="false">+T4/(1-0.0282)-T4</f>
        <v>0.131888248610825</v>
      </c>
      <c r="U26" s="447"/>
      <c r="V26" s="434" t="s">
        <v>705</v>
      </c>
      <c r="W26" s="448" t="n">
        <f aca="false">+W3/(1-0.02184)-W3</f>
        <v>0.104716610779422</v>
      </c>
      <c r="X26" s="447"/>
      <c r="Y26" s="434" t="s">
        <v>119</v>
      </c>
      <c r="Z26" s="435" t="n">
        <v>0.0022</v>
      </c>
      <c r="AB26" s="227" t="s">
        <v>725</v>
      </c>
      <c r="AE26" s="437" t="s">
        <v>667</v>
      </c>
      <c r="AF26" s="438" t="n">
        <f aca="false">0.0275+0.002</f>
        <v>0.0295</v>
      </c>
      <c r="AH26" s="434" t="s">
        <v>667</v>
      </c>
      <c r="AI26" s="435" t="n">
        <v>0.4693</v>
      </c>
      <c r="AK26" s="474"/>
      <c r="AL26" s="421"/>
      <c r="AN26" s="474"/>
      <c r="AO26" s="421"/>
      <c r="AQ26" s="434" t="s">
        <v>667</v>
      </c>
      <c r="AR26" s="435" t="n">
        <v>0.0009</v>
      </c>
    </row>
    <row r="27" customFormat="false" ht="12.75" hidden="false" customHeight="false" outlineLevel="0" collapsed="false">
      <c r="A27" s="457"/>
      <c r="B27" s="458" t="n">
        <f aca="false">SUM(B24:B26)</f>
        <v>0.0823008304638442</v>
      </c>
      <c r="C27" s="449"/>
      <c r="D27" s="434"/>
      <c r="E27" s="458" t="n">
        <f aca="false">SUM(E24:E26)</f>
        <v>0.199100830463844</v>
      </c>
      <c r="F27" s="420"/>
      <c r="G27" s="459"/>
      <c r="H27" s="460" t="n">
        <f aca="false">SUM(H24:H26)</f>
        <v>0.300428146908026</v>
      </c>
      <c r="I27" s="449"/>
      <c r="J27" s="439"/>
      <c r="K27" s="460" t="n">
        <f aca="false">SUM(K24:K26)</f>
        <v>0.181864294580058</v>
      </c>
      <c r="L27" s="449"/>
      <c r="M27" s="440"/>
      <c r="N27" s="461" t="n">
        <f aca="false">SUM(N24:N26)</f>
        <v>0.728705982905983</v>
      </c>
      <c r="O27" s="449"/>
      <c r="P27" s="462"/>
      <c r="Q27" s="463" t="n">
        <f aca="false">SUM(Q24:Q26)</f>
        <v>0.128218833162743</v>
      </c>
      <c r="R27" s="464"/>
      <c r="S27" s="457"/>
      <c r="T27" s="458" t="n">
        <f aca="false">SUM(T24:T26)</f>
        <v>0.151088248610825</v>
      </c>
      <c r="U27" s="449"/>
      <c r="V27" s="457"/>
      <c r="W27" s="458" t="n">
        <f aca="false">SUM(W24:W26)</f>
        <v>0.333816610779422</v>
      </c>
      <c r="X27" s="449"/>
      <c r="Y27" s="434" t="s">
        <v>676</v>
      </c>
      <c r="Z27" s="448" t="n">
        <f aca="false">(Z3)/(1-0.0228)-Z3</f>
        <v>0.109660253786329</v>
      </c>
      <c r="AB27" s="227" t="s">
        <v>627</v>
      </c>
      <c r="AE27" s="437" t="s">
        <v>119</v>
      </c>
      <c r="AF27" s="438" t="n">
        <f aca="false">0.0072+0.0022</f>
        <v>0.0094</v>
      </c>
      <c r="AH27" s="434" t="s">
        <v>119</v>
      </c>
      <c r="AI27" s="435" t="n">
        <f aca="false">0.0022+0.0072+0.0012</f>
        <v>0.0106</v>
      </c>
      <c r="AK27" s="474"/>
      <c r="AL27" s="421"/>
      <c r="AN27" s="474"/>
      <c r="AO27" s="421"/>
      <c r="AQ27" s="434" t="s">
        <v>119</v>
      </c>
      <c r="AR27" s="435" t="n">
        <f aca="false">0.0072+0.0022</f>
        <v>0.0094</v>
      </c>
    </row>
    <row r="28" customFormat="false" ht="12.75" hidden="false" customHeight="false" outlineLevel="0" collapsed="false">
      <c r="A28" s="418" t="s">
        <v>93</v>
      </c>
      <c r="B28" s="419" t="s">
        <v>726</v>
      </c>
      <c r="D28" s="27" t="s">
        <v>93</v>
      </c>
      <c r="E28" s="27" t="s">
        <v>727</v>
      </c>
      <c r="F28" s="421"/>
      <c r="G28" s="467" t="s">
        <v>648</v>
      </c>
      <c r="H28" s="480" t="s">
        <v>728</v>
      </c>
      <c r="I28" s="420"/>
      <c r="J28" s="424" t="s">
        <v>650</v>
      </c>
      <c r="K28" s="425" t="s">
        <v>729</v>
      </c>
      <c r="L28" s="420"/>
      <c r="M28" s="426" t="s">
        <v>650</v>
      </c>
      <c r="N28" s="427" t="s">
        <v>730</v>
      </c>
      <c r="O28" s="420"/>
      <c r="P28" s="469" t="s">
        <v>522</v>
      </c>
      <c r="Q28" s="470" t="s">
        <v>731</v>
      </c>
      <c r="S28" s="418" t="s">
        <v>654</v>
      </c>
      <c r="T28" s="431" t="s">
        <v>732</v>
      </c>
      <c r="V28" s="418" t="s">
        <v>656</v>
      </c>
      <c r="W28" s="431" t="s">
        <v>733</v>
      </c>
      <c r="Y28" s="457"/>
      <c r="Z28" s="458" t="n">
        <f aca="false">SUM(Z25:Z27)</f>
        <v>0.261860253786329</v>
      </c>
      <c r="AB28" s="227" t="s">
        <v>636</v>
      </c>
      <c r="AE28" s="437" t="s">
        <v>706</v>
      </c>
      <c r="AF28" s="451" t="n">
        <f aca="false">+AF3/(1-0.0268)-AF3</f>
        <v>0.123370324702014</v>
      </c>
      <c r="AH28" s="434" t="s">
        <v>734</v>
      </c>
      <c r="AI28" s="448" t="n">
        <f aca="false">+AI3/(1-0.004)-AI3</f>
        <v>0.0185140562249</v>
      </c>
      <c r="AK28" s="474"/>
      <c r="AL28" s="447"/>
      <c r="AN28" s="474"/>
      <c r="AO28" s="447"/>
      <c r="AQ28" s="434" t="s">
        <v>680</v>
      </c>
      <c r="AR28" s="448" t="n">
        <f aca="false">+AR3/(1-0.02)-AR3</f>
        <v>0.0966326530612243</v>
      </c>
    </row>
    <row r="29" customFormat="false" ht="12.75" hidden="false" customHeight="false" outlineLevel="0" collapsed="false">
      <c r="A29" s="434" t="s">
        <v>667</v>
      </c>
      <c r="B29" s="435" t="n">
        <v>0.0186</v>
      </c>
      <c r="D29" s="434" t="s">
        <v>667</v>
      </c>
      <c r="E29" s="436" t="n">
        <v>0.2511</v>
      </c>
      <c r="F29" s="421"/>
      <c r="G29" s="459" t="s">
        <v>667</v>
      </c>
      <c r="H29" s="438" t="n">
        <v>0.0978</v>
      </c>
      <c r="I29" s="421"/>
      <c r="J29" s="439" t="s">
        <v>667</v>
      </c>
      <c r="K29" s="438" t="n">
        <v>0.0708</v>
      </c>
      <c r="L29" s="421"/>
      <c r="M29" s="440" t="s">
        <v>667</v>
      </c>
      <c r="N29" s="441" t="n">
        <v>0.521</v>
      </c>
      <c r="O29" s="421"/>
      <c r="P29" s="442" t="s">
        <v>667</v>
      </c>
      <c r="Q29" s="443" t="n">
        <v>0.021</v>
      </c>
      <c r="S29" s="434" t="s">
        <v>667</v>
      </c>
      <c r="T29" s="445" t="n">
        <v>0.088</v>
      </c>
      <c r="V29" s="434" t="s">
        <v>667</v>
      </c>
      <c r="W29" s="435" t="s">
        <v>735</v>
      </c>
      <c r="Y29" s="421" t="s">
        <v>1</v>
      </c>
      <c r="Z29" s="421" t="s">
        <v>1</v>
      </c>
      <c r="AE29" s="459"/>
      <c r="AF29" s="460" t="n">
        <f aca="false">SUM(AF26:AF28)</f>
        <v>0.162270324702014</v>
      </c>
      <c r="AH29" s="457"/>
      <c r="AI29" s="458" t="n">
        <f aca="false">SUM(AI26:AI28)</f>
        <v>0.4984140562249</v>
      </c>
      <c r="AK29" s="73"/>
      <c r="AL29" s="449"/>
      <c r="AN29" s="73"/>
      <c r="AO29" s="449"/>
      <c r="AQ29" s="457"/>
      <c r="AR29" s="458" t="n">
        <f aca="false">SUM(AR26:AR28)</f>
        <v>0.106932653061224</v>
      </c>
    </row>
    <row r="30" customFormat="false" ht="12.75" hidden="false" customHeight="false" outlineLevel="0" collapsed="false">
      <c r="A30" s="434" t="s">
        <v>119</v>
      </c>
      <c r="B30" s="435" t="n">
        <f aca="false">0.0022+0.0072+0.0097</f>
        <v>0.0191</v>
      </c>
      <c r="C30" s="477"/>
      <c r="D30" s="434" t="s">
        <v>119</v>
      </c>
      <c r="E30" s="436" t="n">
        <f aca="false">0.0072+0.0097+0.0022</f>
        <v>0.0191</v>
      </c>
      <c r="F30" s="447"/>
      <c r="G30" s="459" t="s">
        <v>119</v>
      </c>
      <c r="H30" s="438" t="n">
        <f aca="false">0.0022</f>
        <v>0.0022</v>
      </c>
      <c r="I30" s="421"/>
      <c r="J30" s="439" t="s">
        <v>119</v>
      </c>
      <c r="K30" s="438" t="n">
        <f aca="false">0.0022+0.0072</f>
        <v>0.0094</v>
      </c>
      <c r="L30" s="421"/>
      <c r="M30" s="440" t="s">
        <v>119</v>
      </c>
      <c r="N30" s="441" t="n">
        <f aca="false">0.0022+0.0072</f>
        <v>0.0094</v>
      </c>
      <c r="O30" s="421"/>
      <c r="P30" s="442" t="s">
        <v>119</v>
      </c>
      <c r="Q30" s="443" t="n">
        <f aca="false">0.0022+0.0072</f>
        <v>0.0094</v>
      </c>
      <c r="R30" s="481"/>
      <c r="S30" s="434" t="s">
        <v>119</v>
      </c>
      <c r="T30" s="445" t="n">
        <v>0.0022</v>
      </c>
      <c r="U30" s="477"/>
      <c r="V30" s="434" t="s">
        <v>119</v>
      </c>
      <c r="W30" s="435" t="n">
        <v>0</v>
      </c>
      <c r="X30" s="477"/>
      <c r="Y30" s="421" t="s">
        <v>1</v>
      </c>
      <c r="Z30" s="421" t="s">
        <v>1</v>
      </c>
      <c r="AB30" s="432" t="s">
        <v>150</v>
      </c>
      <c r="AC30" s="433" t="s">
        <v>542</v>
      </c>
      <c r="AL30" s="482"/>
      <c r="AN30" s="73"/>
      <c r="AO30" s="482"/>
    </row>
    <row r="31" customFormat="false" ht="12.75" hidden="false" customHeight="false" outlineLevel="0" collapsed="false">
      <c r="A31" s="434" t="s">
        <v>736</v>
      </c>
      <c r="B31" s="448" t="n">
        <f aca="false">B6/(1-0.0316)-B6</f>
        <v>0.142434944237918</v>
      </c>
      <c r="C31" s="447"/>
      <c r="D31" s="434" t="s">
        <v>736</v>
      </c>
      <c r="E31" s="448" t="n">
        <f aca="false">+E6/(1-0.0316)-E6</f>
        <v>0.142434944237918</v>
      </c>
      <c r="F31" s="449"/>
      <c r="G31" s="459" t="s">
        <v>737</v>
      </c>
      <c r="H31" s="450" t="n">
        <f aca="false">(H3)/(1-0.0504)-H3</f>
        <v>0.232468407750632</v>
      </c>
      <c r="I31" s="447"/>
      <c r="J31" s="439" t="s">
        <v>738</v>
      </c>
      <c r="K31" s="451" t="n">
        <f aca="false">(K5)/(1-0.0564)-K5</f>
        <v>0.259107672742688</v>
      </c>
      <c r="L31" s="447"/>
      <c r="M31" s="440" t="s">
        <v>739</v>
      </c>
      <c r="N31" s="452" t="n">
        <f aca="false">(N4)/(1-0.0733)-N4</f>
        <v>0.350403582604942</v>
      </c>
      <c r="O31" s="447"/>
      <c r="P31" s="442" t="s">
        <v>740</v>
      </c>
      <c r="Q31" s="453" t="n">
        <f aca="false">+Q$3/(1-0.026)-Q$3</f>
        <v>0.119989733059549</v>
      </c>
      <c r="R31" s="454"/>
      <c r="S31" s="434" t="s">
        <v>675</v>
      </c>
      <c r="T31" s="448" t="n">
        <f aca="false">(+T3-0.108)/(1-0.00489)-(T3-0.108)</f>
        <v>0.0215087075800664</v>
      </c>
      <c r="U31" s="447"/>
      <c r="V31" s="434" t="s">
        <v>705</v>
      </c>
      <c r="W31" s="448" t="n">
        <f aca="false">+W3/(1-0.02184)-W3</f>
        <v>0.104716610779422</v>
      </c>
      <c r="X31" s="447"/>
      <c r="Y31" s="447"/>
      <c r="Z31" s="447"/>
      <c r="AB31" s="446" t="s">
        <v>667</v>
      </c>
      <c r="AC31" s="441" t="n">
        <v>0.0112</v>
      </c>
      <c r="AE31" s="350" t="s">
        <v>741</v>
      </c>
      <c r="AH31" s="418" t="s">
        <v>576</v>
      </c>
      <c r="AI31" s="431" t="s">
        <v>742</v>
      </c>
      <c r="AL31" s="482"/>
      <c r="AO31" s="482"/>
      <c r="AQ31" s="418" t="s">
        <v>664</v>
      </c>
      <c r="AR31" s="431" t="s">
        <v>743</v>
      </c>
    </row>
    <row r="32" customFormat="false" ht="12.75" hidden="false" customHeight="false" outlineLevel="0" collapsed="false">
      <c r="A32" s="457"/>
      <c r="B32" s="458" t="n">
        <f aca="false">SUM(B29:B31)</f>
        <v>0.180134944237918</v>
      </c>
      <c r="C32" s="449"/>
      <c r="D32" s="434"/>
      <c r="E32" s="458" t="n">
        <f aca="false">SUM(E29:E31)</f>
        <v>0.412634944237918</v>
      </c>
      <c r="F32" s="420"/>
      <c r="G32" s="459"/>
      <c r="H32" s="460" t="n">
        <f aca="false">SUM(H29:H31)</f>
        <v>0.332468407750632</v>
      </c>
      <c r="I32" s="449"/>
      <c r="J32" s="439"/>
      <c r="K32" s="460" t="n">
        <f aca="false">SUM(K29:K31)</f>
        <v>0.339307672742688</v>
      </c>
      <c r="L32" s="449"/>
      <c r="M32" s="440"/>
      <c r="N32" s="461" t="n">
        <f aca="false">SUM(N29:N31)</f>
        <v>0.880803582604942</v>
      </c>
      <c r="O32" s="449"/>
      <c r="P32" s="462"/>
      <c r="Q32" s="463" t="n">
        <f aca="false">SUM(Q29:Q31)</f>
        <v>0.150389733059549</v>
      </c>
      <c r="R32" s="464"/>
      <c r="S32" s="457"/>
      <c r="T32" s="458" t="n">
        <f aca="false">SUM(T29:T31)</f>
        <v>0.111708707580066</v>
      </c>
      <c r="U32" s="449"/>
      <c r="V32" s="457"/>
      <c r="W32" s="458" t="n">
        <f aca="false">SUM(W29:W31)</f>
        <v>0.104716610779422</v>
      </c>
      <c r="X32" s="449"/>
      <c r="Y32" s="449"/>
      <c r="Z32" s="449"/>
      <c r="AB32" s="446" t="s">
        <v>119</v>
      </c>
      <c r="AC32" s="441" t="n">
        <f aca="false">0.0022+0.0072</f>
        <v>0.0094</v>
      </c>
      <c r="AE32" s="437" t="s">
        <v>667</v>
      </c>
      <c r="AF32" s="438" t="n">
        <f aca="false">0.0152+0.002</f>
        <v>0.0172</v>
      </c>
      <c r="AH32" s="434" t="s">
        <v>667</v>
      </c>
      <c r="AI32" s="435" t="n">
        <v>0.115</v>
      </c>
      <c r="AK32" s="483"/>
      <c r="AN32" s="483"/>
      <c r="AQ32" s="434" t="s">
        <v>667</v>
      </c>
      <c r="AR32" s="435" t="n">
        <v>0.0003</v>
      </c>
    </row>
    <row r="33" customFormat="false" ht="12.75" hidden="false" customHeight="false" outlineLevel="0" collapsed="false">
      <c r="A33" s="418" t="s">
        <v>93</v>
      </c>
      <c r="B33" s="419" t="s">
        <v>744</v>
      </c>
      <c r="C33" s="420"/>
      <c r="D33" s="27" t="s">
        <v>93</v>
      </c>
      <c r="E33" s="27" t="s">
        <v>745</v>
      </c>
      <c r="F33" s="421"/>
      <c r="G33" s="467" t="s">
        <v>648</v>
      </c>
      <c r="H33" s="480" t="s">
        <v>746</v>
      </c>
      <c r="I33" s="420"/>
      <c r="J33" s="424" t="s">
        <v>650</v>
      </c>
      <c r="K33" s="425" t="s">
        <v>652</v>
      </c>
      <c r="L33" s="420"/>
      <c r="M33" s="426" t="s">
        <v>650</v>
      </c>
      <c r="N33" s="427" t="s">
        <v>747</v>
      </c>
      <c r="O33" s="420"/>
      <c r="P33" s="484"/>
      <c r="Q33" s="430"/>
      <c r="R33" s="430"/>
      <c r="S33" s="466" t="s">
        <v>654</v>
      </c>
      <c r="T33" s="471" t="s">
        <v>748</v>
      </c>
      <c r="U33" s="420"/>
      <c r="V33" s="466" t="s">
        <v>656</v>
      </c>
      <c r="W33" s="471" t="s">
        <v>749</v>
      </c>
      <c r="X33" s="420"/>
      <c r="Y33" s="420"/>
      <c r="Z33" s="420"/>
      <c r="AB33" s="455" t="n">
        <v>0.0058</v>
      </c>
      <c r="AC33" s="452" t="n">
        <f aca="false">+AC3/(1-0.0058)-AC3</f>
        <v>0.0278565680949505</v>
      </c>
      <c r="AE33" s="437" t="s">
        <v>119</v>
      </c>
      <c r="AF33" s="438" t="n">
        <f aca="false">0.002+0.0072+0.0022</f>
        <v>0.0114</v>
      </c>
      <c r="AH33" s="434" t="s">
        <v>119</v>
      </c>
      <c r="AI33" s="435" t="n">
        <f aca="false">0.0022+0.0012</f>
        <v>0.0034</v>
      </c>
      <c r="AK33" s="485"/>
      <c r="AL33" s="482"/>
      <c r="AN33" s="485"/>
      <c r="AO33" s="482"/>
      <c r="AQ33" s="434" t="s">
        <v>119</v>
      </c>
      <c r="AR33" s="435" t="n">
        <f aca="false">0.0072+0.0022</f>
        <v>0.0094</v>
      </c>
    </row>
    <row r="34" customFormat="false" ht="12.75" hidden="false" customHeight="false" outlineLevel="0" collapsed="false">
      <c r="A34" s="434" t="s">
        <v>667</v>
      </c>
      <c r="B34" s="435" t="n">
        <v>0.0274</v>
      </c>
      <c r="C34" s="421"/>
      <c r="D34" s="434" t="s">
        <v>667</v>
      </c>
      <c r="E34" s="436" t="n">
        <v>0.0694</v>
      </c>
      <c r="F34" s="421"/>
      <c r="G34" s="459" t="s">
        <v>667</v>
      </c>
      <c r="H34" s="438" t="n">
        <v>0.1118</v>
      </c>
      <c r="I34" s="421"/>
      <c r="J34" s="439" t="s">
        <v>667</v>
      </c>
      <c r="K34" s="438" t="n">
        <v>0.0922</v>
      </c>
      <c r="L34" s="421"/>
      <c r="M34" s="440" t="s">
        <v>667</v>
      </c>
      <c r="N34" s="441" t="n">
        <v>0.3983</v>
      </c>
      <c r="O34" s="421"/>
      <c r="P34" s="486"/>
      <c r="Q34" s="444"/>
      <c r="R34" s="444"/>
      <c r="S34" s="434" t="s">
        <v>667</v>
      </c>
      <c r="T34" s="445" t="n">
        <v>0.0366</v>
      </c>
      <c r="U34" s="421"/>
      <c r="V34" s="434" t="s">
        <v>667</v>
      </c>
      <c r="W34" s="435" t="n">
        <v>0.05</v>
      </c>
      <c r="X34" s="421"/>
      <c r="Y34" s="421"/>
      <c r="Z34" s="421"/>
      <c r="AB34" s="465"/>
      <c r="AC34" s="461" t="n">
        <f aca="false">SUM(AC31:AC33)</f>
        <v>0.0484565680949505</v>
      </c>
      <c r="AE34" s="437" t="s">
        <v>750</v>
      </c>
      <c r="AF34" s="451" t="n">
        <f aca="false">+AF3/(1-0.0169)-AF3</f>
        <v>0.0770135286339135</v>
      </c>
      <c r="AH34" s="434" t="s">
        <v>734</v>
      </c>
      <c r="AI34" s="448" t="n">
        <f aca="false">+AI3/(1-0.004)-AI3</f>
        <v>0.0185140562249</v>
      </c>
      <c r="AL34" s="482"/>
      <c r="AO34" s="482"/>
      <c r="AQ34" s="434" t="s">
        <v>680</v>
      </c>
      <c r="AR34" s="448" t="n">
        <f aca="false">+AR3/(1-0.02)-AR3</f>
        <v>0.0966326530612243</v>
      </c>
    </row>
    <row r="35" customFormat="false" ht="12.75" hidden="false" customHeight="false" outlineLevel="0" collapsed="false">
      <c r="A35" s="434" t="s">
        <v>119</v>
      </c>
      <c r="B35" s="435" t="n">
        <f aca="false">0.0022+0.0072+0.0097</f>
        <v>0.0191</v>
      </c>
      <c r="C35" s="421"/>
      <c r="D35" s="434" t="s">
        <v>119</v>
      </c>
      <c r="E35" s="436" t="n">
        <v>0</v>
      </c>
      <c r="F35" s="447"/>
      <c r="G35" s="459" t="s">
        <v>119</v>
      </c>
      <c r="H35" s="438" t="n">
        <f aca="false">0.0022+0.0072</f>
        <v>0.0094</v>
      </c>
      <c r="I35" s="421"/>
      <c r="J35" s="439" t="s">
        <v>119</v>
      </c>
      <c r="K35" s="438" t="n">
        <f aca="false">0.0022+0.0072</f>
        <v>0.0094</v>
      </c>
      <c r="L35" s="421"/>
      <c r="M35" s="440" t="s">
        <v>119</v>
      </c>
      <c r="N35" s="441" t="n">
        <f aca="false">0.0022+0.0072</f>
        <v>0.0094</v>
      </c>
      <c r="O35" s="421"/>
      <c r="P35" s="486"/>
      <c r="Q35" s="444"/>
      <c r="R35" s="444"/>
      <c r="S35" s="434" t="s">
        <v>119</v>
      </c>
      <c r="T35" s="445" t="n">
        <v>0.0022</v>
      </c>
      <c r="U35" s="421"/>
      <c r="V35" s="434" t="s">
        <v>119</v>
      </c>
      <c r="W35" s="435" t="n">
        <f aca="false">0.0022</f>
        <v>0.0022</v>
      </c>
      <c r="X35" s="421"/>
      <c r="Y35" s="421"/>
      <c r="Z35" s="421"/>
      <c r="AE35" s="459"/>
      <c r="AF35" s="460" t="n">
        <f aca="false">SUM(AF32:AF34)</f>
        <v>0.105613528633914</v>
      </c>
      <c r="AH35" s="457"/>
      <c r="AI35" s="458" t="n">
        <f aca="false">SUM(AI32:AI34)</f>
        <v>0.1369140562249</v>
      </c>
      <c r="AL35" s="482"/>
      <c r="AO35" s="482"/>
      <c r="AQ35" s="457"/>
      <c r="AR35" s="458" t="n">
        <f aca="false">SUM(AR32:AR34)</f>
        <v>0.106332653061224</v>
      </c>
    </row>
    <row r="36" customFormat="false" ht="12.75" hidden="false" customHeight="false" outlineLevel="0" collapsed="false">
      <c r="A36" s="434" t="s">
        <v>751</v>
      </c>
      <c r="B36" s="448" t="n">
        <f aca="false">B6/(1-0.0469)-B6</f>
        <v>0.214792256846081</v>
      </c>
      <c r="C36" s="447"/>
      <c r="D36" s="434" t="s">
        <v>752</v>
      </c>
      <c r="E36" s="448" t="n">
        <f aca="false">+E5/(1-0.0046)-E5</f>
        <v>0.0180229053646777</v>
      </c>
      <c r="F36" s="449"/>
      <c r="G36" s="459" t="s">
        <v>753</v>
      </c>
      <c r="H36" s="450" t="n">
        <f aca="false">(H3)/(1-0.058)-H3</f>
        <v>0.269681528662421</v>
      </c>
      <c r="I36" s="447"/>
      <c r="J36" s="439" t="s">
        <v>673</v>
      </c>
      <c r="K36" s="451" t="n">
        <f aca="false">(K5)/(1-0.0704)-K5</f>
        <v>0.328296041308089</v>
      </c>
      <c r="L36" s="447"/>
      <c r="M36" s="440" t="s">
        <v>754</v>
      </c>
      <c r="N36" s="452" t="n">
        <f aca="false">(N3)/(1-0.0612)-N3</f>
        <v>0.289441840647635</v>
      </c>
      <c r="O36" s="447"/>
      <c r="P36" s="486"/>
      <c r="Q36" s="454"/>
      <c r="R36" s="454"/>
      <c r="S36" s="434" t="s">
        <v>704</v>
      </c>
      <c r="T36" s="448" t="n">
        <f aca="false">T3/(1-0.00603)-T3</f>
        <v>0.0272086179663367</v>
      </c>
      <c r="U36" s="447"/>
      <c r="V36" s="434" t="s">
        <v>705</v>
      </c>
      <c r="W36" s="448" t="n">
        <f aca="false">+W3/(1-0.02184)-W3</f>
        <v>0.104716610779422</v>
      </c>
      <c r="X36" s="447"/>
      <c r="Y36" s="447"/>
      <c r="Z36" s="447"/>
      <c r="AB36" s="432" t="s">
        <v>150</v>
      </c>
      <c r="AC36" s="433" t="s">
        <v>693</v>
      </c>
      <c r="AI36" s="487" t="n">
        <f aca="false">SUM(AI35,AI3)</f>
        <v>4.7469140562249</v>
      </c>
      <c r="AR36" s="487"/>
    </row>
    <row r="37" customFormat="false" ht="12.75" hidden="false" customHeight="false" outlineLevel="0" collapsed="false">
      <c r="A37" s="457"/>
      <c r="B37" s="458" t="n">
        <f aca="false">SUM(B34:B36)</f>
        <v>0.261292256846081</v>
      </c>
      <c r="C37" s="449"/>
      <c r="D37" s="434"/>
      <c r="E37" s="458" t="n">
        <f aca="false">SUM(E34:E36)</f>
        <v>0.0874229053646777</v>
      </c>
      <c r="F37" s="420"/>
      <c r="G37" s="459"/>
      <c r="H37" s="460" t="n">
        <f aca="false">SUM(H34:H36)</f>
        <v>0.390881528662421</v>
      </c>
      <c r="I37" s="449"/>
      <c r="J37" s="439"/>
      <c r="K37" s="460" t="n">
        <f aca="false">SUM(K34:K36)</f>
        <v>0.429896041308089</v>
      </c>
      <c r="L37" s="449"/>
      <c r="M37" s="440"/>
      <c r="N37" s="461" t="n">
        <f aca="false">SUM(N34:N36)</f>
        <v>0.697141840647635</v>
      </c>
      <c r="O37" s="449"/>
      <c r="P37" s="488"/>
      <c r="Q37" s="489"/>
      <c r="R37" s="464"/>
      <c r="S37" s="457"/>
      <c r="T37" s="490" t="n">
        <f aca="false">SUM(T34:T36)</f>
        <v>0.0660086179663367</v>
      </c>
      <c r="U37" s="449"/>
      <c r="V37" s="457"/>
      <c r="W37" s="458" t="n">
        <f aca="false">SUM(W34:W36)</f>
        <v>0.156916610779422</v>
      </c>
      <c r="X37" s="449"/>
      <c r="Y37" s="449"/>
      <c r="Z37" s="449"/>
      <c r="AB37" s="446" t="s">
        <v>667</v>
      </c>
      <c r="AC37" s="441" t="n">
        <v>0</v>
      </c>
      <c r="AE37" s="350" t="s">
        <v>755</v>
      </c>
      <c r="AH37" s="418" t="s">
        <v>576</v>
      </c>
      <c r="AI37" s="431" t="s">
        <v>756</v>
      </c>
      <c r="AK37" s="483"/>
      <c r="AN37" s="483"/>
      <c r="AQ37" s="472"/>
      <c r="AR37" s="420"/>
    </row>
    <row r="38" customFormat="false" ht="12.75" hidden="false" customHeight="false" outlineLevel="0" collapsed="false">
      <c r="A38" s="466" t="s">
        <v>93</v>
      </c>
      <c r="B38" s="419" t="s">
        <v>757</v>
      </c>
      <c r="C38" s="420"/>
      <c r="D38" s="476" t="s">
        <v>93</v>
      </c>
      <c r="E38" s="458" t="s">
        <v>758</v>
      </c>
      <c r="F38" s="421"/>
      <c r="G38" s="467" t="s">
        <v>648</v>
      </c>
      <c r="H38" s="480" t="s">
        <v>759</v>
      </c>
      <c r="I38" s="420"/>
      <c r="J38" s="424" t="s">
        <v>650</v>
      </c>
      <c r="K38" s="425" t="s">
        <v>687</v>
      </c>
      <c r="L38" s="420"/>
      <c r="M38" s="426" t="s">
        <v>650</v>
      </c>
      <c r="N38" s="427" t="s">
        <v>760</v>
      </c>
      <c r="O38" s="420"/>
      <c r="P38" s="484"/>
      <c r="Q38" s="430"/>
      <c r="R38" s="430"/>
      <c r="S38" s="466" t="s">
        <v>654</v>
      </c>
      <c r="T38" s="471" t="s">
        <v>761</v>
      </c>
      <c r="U38" s="420"/>
      <c r="V38" s="466"/>
      <c r="W38" s="471"/>
      <c r="X38" s="420"/>
      <c r="Y38" s="420"/>
      <c r="Z38" s="420"/>
      <c r="AB38" s="446" t="s">
        <v>119</v>
      </c>
      <c r="AC38" s="441" t="n">
        <f aca="false">0.0022+0.0072</f>
        <v>0.0094</v>
      </c>
      <c r="AE38" s="437" t="s">
        <v>667</v>
      </c>
      <c r="AF38" s="438" t="n">
        <f aca="false">0.0152+0.002</f>
        <v>0.0172</v>
      </c>
      <c r="AH38" s="434" t="s">
        <v>667</v>
      </c>
      <c r="AI38" s="435" t="n">
        <v>0.13</v>
      </c>
      <c r="AK38" s="485"/>
      <c r="AL38" s="482"/>
      <c r="AN38" s="485"/>
      <c r="AO38" s="482"/>
      <c r="AQ38" s="474"/>
      <c r="AR38" s="421"/>
    </row>
    <row r="39" customFormat="false" ht="12.75" hidden="false" customHeight="false" outlineLevel="0" collapsed="false">
      <c r="A39" s="434" t="s">
        <v>667</v>
      </c>
      <c r="B39" s="435" t="n">
        <v>0.032</v>
      </c>
      <c r="C39" s="421"/>
      <c r="D39" s="434" t="s">
        <v>667</v>
      </c>
      <c r="E39" s="436" t="n">
        <v>0.1038</v>
      </c>
      <c r="F39" s="421"/>
      <c r="G39" s="459" t="s">
        <v>667</v>
      </c>
      <c r="H39" s="438" t="n">
        <v>0.1231</v>
      </c>
      <c r="I39" s="421"/>
      <c r="J39" s="439" t="s">
        <v>667</v>
      </c>
      <c r="K39" s="438" t="n">
        <v>0.1071</v>
      </c>
      <c r="L39" s="421"/>
      <c r="M39" s="440" t="s">
        <v>667</v>
      </c>
      <c r="N39" s="441" t="n">
        <v>0.5029</v>
      </c>
      <c r="O39" s="421"/>
      <c r="P39" s="486"/>
      <c r="Q39" s="444"/>
      <c r="R39" s="444"/>
      <c r="S39" s="434" t="s">
        <v>667</v>
      </c>
      <c r="T39" s="445" t="n">
        <v>0.1204</v>
      </c>
      <c r="U39" s="421"/>
      <c r="V39" s="434"/>
      <c r="W39" s="435"/>
      <c r="X39" s="421"/>
      <c r="Y39" s="421"/>
      <c r="Z39" s="421"/>
      <c r="AB39" s="455" t="n">
        <v>0.0058</v>
      </c>
      <c r="AC39" s="452" t="n">
        <f aca="false">+AC3/(1-0.0058)-AC3</f>
        <v>0.0278565680949505</v>
      </c>
      <c r="AE39" s="437" t="s">
        <v>119</v>
      </c>
      <c r="AF39" s="438" t="n">
        <f aca="false">0.0072+0.0022</f>
        <v>0.0094</v>
      </c>
      <c r="AH39" s="434" t="s">
        <v>119</v>
      </c>
      <c r="AI39" s="435" t="n">
        <f aca="false">0.0022+0.0007</f>
        <v>0.0029</v>
      </c>
      <c r="AL39" s="482"/>
      <c r="AO39" s="482"/>
      <c r="AQ39" s="474"/>
      <c r="AR39" s="421"/>
    </row>
    <row r="40" customFormat="false" ht="12.75" hidden="false" customHeight="false" outlineLevel="0" collapsed="false">
      <c r="A40" s="434" t="s">
        <v>119</v>
      </c>
      <c r="B40" s="435" t="n">
        <f aca="false">0.0022+0.0072+0.0097</f>
        <v>0.0191</v>
      </c>
      <c r="C40" s="421"/>
      <c r="D40" s="434" t="s">
        <v>119</v>
      </c>
      <c r="E40" s="436" t="n">
        <f aca="false">0.0072+0.0022+0.0097</f>
        <v>0.0191</v>
      </c>
      <c r="F40" s="447"/>
      <c r="G40" s="459" t="s">
        <v>119</v>
      </c>
      <c r="H40" s="438" t="n">
        <f aca="false">0.0022+0.0072</f>
        <v>0.0094</v>
      </c>
      <c r="I40" s="421"/>
      <c r="J40" s="439" t="s">
        <v>119</v>
      </c>
      <c r="K40" s="438" t="n">
        <f aca="false">0.0022+0.0072</f>
        <v>0.0094</v>
      </c>
      <c r="L40" s="421"/>
      <c r="M40" s="440" t="s">
        <v>119</v>
      </c>
      <c r="N40" s="441" t="n">
        <f aca="false">0.0022+0.0072</f>
        <v>0.0094</v>
      </c>
      <c r="O40" s="421"/>
      <c r="P40" s="486"/>
      <c r="Q40" s="444"/>
      <c r="R40" s="444"/>
      <c r="S40" s="434" t="s">
        <v>119</v>
      </c>
      <c r="T40" s="445" t="n">
        <v>0.0022</v>
      </c>
      <c r="U40" s="421"/>
      <c r="V40" s="434"/>
      <c r="W40" s="435"/>
      <c r="X40" s="421"/>
      <c r="Y40" s="421"/>
      <c r="Z40" s="421"/>
      <c r="AB40" s="465"/>
      <c r="AC40" s="461" t="n">
        <f aca="false">SUM(AC37:AC39)</f>
        <v>0.0372565680949505</v>
      </c>
      <c r="AE40" s="437" t="s">
        <v>679</v>
      </c>
      <c r="AF40" s="451" t="n">
        <v>0</v>
      </c>
      <c r="AH40" s="434" t="s">
        <v>762</v>
      </c>
      <c r="AI40" s="448" t="n">
        <f aca="false">+AI3/(1-0.002)-AI3</f>
        <v>0.00923847695390823</v>
      </c>
      <c r="AL40" s="482"/>
      <c r="AO40" s="482"/>
      <c r="AQ40" s="474"/>
      <c r="AR40" s="447"/>
    </row>
    <row r="41" customFormat="false" ht="12.75" hidden="false" customHeight="false" outlineLevel="0" collapsed="false">
      <c r="A41" s="434" t="s">
        <v>763</v>
      </c>
      <c r="B41" s="448" t="n">
        <f aca="false">B6/(1-0.0553)-B6</f>
        <v>0.255514449031439</v>
      </c>
      <c r="C41" s="447"/>
      <c r="D41" s="434" t="s">
        <v>764</v>
      </c>
      <c r="E41" s="448" t="n">
        <f aca="false">E5/(1-0.0091)-E5</f>
        <v>0.0358159249167422</v>
      </c>
      <c r="F41" s="449"/>
      <c r="G41" s="459" t="s">
        <v>765</v>
      </c>
      <c r="H41" s="450" t="n">
        <f aca="false">(H3)/(1-0.0672)-H3</f>
        <v>0.315540308747856</v>
      </c>
      <c r="I41" s="447"/>
      <c r="J41" s="439" t="s">
        <v>703</v>
      </c>
      <c r="K41" s="451" t="n">
        <f aca="false">(K5)/(1-0.0797)-K5</f>
        <v>0.375420515049441</v>
      </c>
      <c r="L41" s="447"/>
      <c r="M41" s="440" t="s">
        <v>766</v>
      </c>
      <c r="N41" s="452" t="n">
        <f aca="false">(N3)/(1-0.0705)-N3</f>
        <v>0.336761699838623</v>
      </c>
      <c r="O41" s="447"/>
      <c r="P41" s="486"/>
      <c r="Q41" s="454"/>
      <c r="R41" s="454"/>
      <c r="S41" s="434" t="s">
        <v>724</v>
      </c>
      <c r="T41" s="448" t="n">
        <f aca="false">T4/(1-0.0282)-T4</f>
        <v>0.131888248610825</v>
      </c>
      <c r="U41" s="447"/>
      <c r="V41" s="434"/>
      <c r="W41" s="448"/>
      <c r="X41" s="447"/>
      <c r="Y41" s="447"/>
      <c r="Z41" s="447"/>
      <c r="AE41" s="459"/>
      <c r="AF41" s="460" t="n">
        <f aca="false">SUM(AF38:AF40)</f>
        <v>0.0266</v>
      </c>
      <c r="AH41" s="457"/>
      <c r="AI41" s="458" t="n">
        <f aca="false">SUM(AI38:AI40)</f>
        <v>0.142138476953908</v>
      </c>
      <c r="AQ41" s="73"/>
      <c r="AR41" s="449"/>
    </row>
    <row r="42" customFormat="false" ht="12.75" hidden="false" customHeight="false" outlineLevel="0" collapsed="false">
      <c r="A42" s="457"/>
      <c r="B42" s="458" t="n">
        <f aca="false">SUM(B39:B41)</f>
        <v>0.306614449031439</v>
      </c>
      <c r="C42" s="449"/>
      <c r="D42" s="434"/>
      <c r="E42" s="458" t="n">
        <f aca="false">SUM(E39:E41)</f>
        <v>0.158715924916742</v>
      </c>
      <c r="F42" s="420"/>
      <c r="G42" s="459"/>
      <c r="H42" s="460" t="n">
        <f aca="false">SUM(H39:H41)</f>
        <v>0.448040308747856</v>
      </c>
      <c r="I42" s="449"/>
      <c r="J42" s="439"/>
      <c r="K42" s="460" t="n">
        <f aca="false">SUM(K39:K41)</f>
        <v>0.491920515049441</v>
      </c>
      <c r="L42" s="449"/>
      <c r="M42" s="440"/>
      <c r="N42" s="461" t="n">
        <f aca="false">SUM(N39:N41)</f>
        <v>0.849061699838623</v>
      </c>
      <c r="O42" s="449"/>
      <c r="P42" s="488"/>
      <c r="Q42" s="464"/>
      <c r="R42" s="464"/>
      <c r="S42" s="457"/>
      <c r="T42" s="458" t="n">
        <f aca="false">SUM(T39:T41)</f>
        <v>0.254488248610825</v>
      </c>
      <c r="U42" s="449"/>
      <c r="V42" s="457"/>
      <c r="W42" s="458"/>
      <c r="X42" s="449"/>
      <c r="Y42" s="449"/>
      <c r="Z42" s="449"/>
      <c r="AI42" s="491" t="n">
        <f aca="false">+AI41+AI3</f>
        <v>4.75213847695391</v>
      </c>
      <c r="AK42" s="483"/>
      <c r="AN42" s="483"/>
      <c r="AQ42" s="73"/>
      <c r="AR42" s="492"/>
    </row>
    <row r="43" customFormat="false" ht="12.75" hidden="false" customHeight="false" outlineLevel="0" collapsed="false">
      <c r="A43" s="466" t="s">
        <v>93</v>
      </c>
      <c r="B43" s="419" t="s">
        <v>767</v>
      </c>
      <c r="C43" s="420"/>
      <c r="D43" s="27" t="s">
        <v>93</v>
      </c>
      <c r="E43" s="27" t="s">
        <v>768</v>
      </c>
      <c r="F43" s="421"/>
      <c r="G43" s="467" t="s">
        <v>648</v>
      </c>
      <c r="H43" s="480" t="s">
        <v>769</v>
      </c>
      <c r="I43" s="420"/>
      <c r="J43" s="424" t="s">
        <v>650</v>
      </c>
      <c r="K43" s="425" t="s">
        <v>770</v>
      </c>
      <c r="L43" s="420"/>
      <c r="M43" s="426" t="s">
        <v>650</v>
      </c>
      <c r="N43" s="427" t="s">
        <v>771</v>
      </c>
      <c r="O43" s="420"/>
      <c r="P43" s="430"/>
      <c r="Q43" s="430"/>
      <c r="R43" s="430"/>
      <c r="S43" s="420"/>
      <c r="T43" s="420"/>
      <c r="U43" s="420"/>
      <c r="V43" s="420"/>
      <c r="W43" s="420"/>
      <c r="X43" s="420"/>
      <c r="Y43" s="493"/>
      <c r="Z43" s="493"/>
      <c r="AH43" s="27" t="s">
        <v>772</v>
      </c>
      <c r="AK43" s="485"/>
      <c r="AL43" s="482"/>
      <c r="AN43" s="485"/>
      <c r="AO43" s="482"/>
    </row>
    <row r="44" customFormat="false" ht="12.75" hidden="false" customHeight="false" outlineLevel="0" collapsed="false">
      <c r="A44" s="434" t="s">
        <v>667</v>
      </c>
      <c r="B44" s="435" t="n">
        <v>0.003</v>
      </c>
      <c r="C44" s="421"/>
      <c r="D44" s="434" t="s">
        <v>667</v>
      </c>
      <c r="E44" s="436" t="n">
        <v>0.2306</v>
      </c>
      <c r="F44" s="421"/>
      <c r="G44" s="459" t="s">
        <v>667</v>
      </c>
      <c r="H44" s="438" t="n">
        <v>0.1608</v>
      </c>
      <c r="I44" s="421"/>
      <c r="J44" s="439" t="s">
        <v>667</v>
      </c>
      <c r="K44" s="438" t="n">
        <v>0.0147</v>
      </c>
      <c r="L44" s="421"/>
      <c r="M44" s="440" t="s">
        <v>667</v>
      </c>
      <c r="N44" s="441" t="n">
        <v>0.3138</v>
      </c>
      <c r="O44" s="421"/>
      <c r="P44" s="484"/>
      <c r="Q44" s="430"/>
      <c r="R44" s="444"/>
      <c r="S44" s="466" t="s">
        <v>654</v>
      </c>
      <c r="T44" s="471" t="s">
        <v>773</v>
      </c>
      <c r="U44" s="421"/>
      <c r="V44" s="466"/>
      <c r="W44" s="471"/>
      <c r="X44" s="421"/>
      <c r="Y44" s="421"/>
      <c r="Z44" s="421"/>
      <c r="AL44" s="482"/>
      <c r="AO44" s="482"/>
    </row>
    <row r="45" customFormat="false" ht="12.75" hidden="false" customHeight="false" outlineLevel="0" collapsed="false">
      <c r="A45" s="434" t="s">
        <v>119</v>
      </c>
      <c r="B45" s="435" t="n">
        <f aca="false">0.0022+0.0072+0.0097</f>
        <v>0.0191</v>
      </c>
      <c r="C45" s="421"/>
      <c r="D45" s="434" t="s">
        <v>119</v>
      </c>
      <c r="E45" s="436" t="n">
        <f aca="false">0.0072+0.0022+0.0097</f>
        <v>0.0191</v>
      </c>
      <c r="F45" s="447"/>
      <c r="G45" s="459" t="s">
        <v>119</v>
      </c>
      <c r="H45" s="438" t="n">
        <f aca="false">0.0022+0.0072</f>
        <v>0.0094</v>
      </c>
      <c r="I45" s="421"/>
      <c r="J45" s="439" t="s">
        <v>119</v>
      </c>
      <c r="K45" s="438" t="n">
        <f aca="false">0.0022</f>
        <v>0.0022</v>
      </c>
      <c r="L45" s="421"/>
      <c r="M45" s="440" t="s">
        <v>119</v>
      </c>
      <c r="N45" s="441" t="n">
        <f aca="false">0.0022+0.0072</f>
        <v>0.0094</v>
      </c>
      <c r="O45" s="421"/>
      <c r="P45" s="486"/>
      <c r="Q45" s="444"/>
      <c r="R45" s="444"/>
      <c r="S45" s="434" t="s">
        <v>667</v>
      </c>
      <c r="T45" s="435" t="n">
        <v>0.03</v>
      </c>
      <c r="U45" s="421"/>
      <c r="V45" s="434"/>
      <c r="W45" s="435"/>
      <c r="X45" s="421"/>
      <c r="Y45" s="421"/>
      <c r="Z45" s="421"/>
      <c r="AH45" s="483" t="n">
        <v>36739</v>
      </c>
      <c r="AL45" s="482"/>
      <c r="AO45" s="482"/>
      <c r="AQ45" s="483"/>
    </row>
    <row r="46" customFormat="false" ht="12.75" hidden="false" customHeight="false" outlineLevel="0" collapsed="false">
      <c r="A46" s="434" t="s">
        <v>752</v>
      </c>
      <c r="B46" s="448" t="n">
        <f aca="false">B4/(1-0.0046)-B4</f>
        <v>0.0218585493269039</v>
      </c>
      <c r="C46" s="447"/>
      <c r="D46" s="434" t="s">
        <v>774</v>
      </c>
      <c r="E46" s="448" t="n">
        <f aca="false">(E5)/(1-0.0281)-E5</f>
        <v>0.112758514250438</v>
      </c>
      <c r="F46" s="449"/>
      <c r="G46" s="459" t="s">
        <v>775</v>
      </c>
      <c r="H46" s="450" t="n">
        <f aca="false">(H3)/(1-0.0742)-H3</f>
        <v>0.35104342190538</v>
      </c>
      <c r="I46" s="447"/>
      <c r="J46" s="439" t="s">
        <v>776</v>
      </c>
      <c r="K46" s="451" t="n">
        <f aca="false">(K4)/(1-0.0191)-K4</f>
        <v>0.0862605770211031</v>
      </c>
      <c r="L46" s="447"/>
      <c r="M46" s="440" t="s">
        <v>777</v>
      </c>
      <c r="N46" s="452" t="n">
        <f aca="false">(N6)/(1-0.0372)-(N6)</f>
        <v>0.175606564187786</v>
      </c>
      <c r="O46" s="447"/>
      <c r="P46" s="486"/>
      <c r="Q46" s="444"/>
      <c r="R46" s="454"/>
      <c r="S46" s="434" t="s">
        <v>119</v>
      </c>
      <c r="T46" s="435" t="n">
        <v>0.0022</v>
      </c>
      <c r="U46" s="447"/>
      <c r="V46" s="434"/>
      <c r="W46" s="435"/>
      <c r="X46" s="447"/>
      <c r="Y46" s="447"/>
      <c r="Z46" s="447"/>
      <c r="AH46" s="485" t="s">
        <v>778</v>
      </c>
      <c r="AI46" s="482" t="n">
        <v>0.002</v>
      </c>
      <c r="AQ46" s="485"/>
      <c r="AR46" s="482"/>
    </row>
    <row r="47" customFormat="false" ht="12.75" hidden="false" customHeight="false" outlineLevel="0" collapsed="false">
      <c r="A47" s="457"/>
      <c r="B47" s="458" t="n">
        <f aca="false">SUM(B44:B46)</f>
        <v>0.0439585493269039</v>
      </c>
      <c r="C47" s="449"/>
      <c r="D47" s="434"/>
      <c r="E47" s="458" t="n">
        <f aca="false">SUM(E44:E46)</f>
        <v>0.362458514250438</v>
      </c>
      <c r="F47" s="493"/>
      <c r="G47" s="459"/>
      <c r="H47" s="460" t="n">
        <f aca="false">SUM(H44:H46)</f>
        <v>0.52124342190538</v>
      </c>
      <c r="I47" s="449"/>
      <c r="J47" s="439"/>
      <c r="K47" s="460" t="n">
        <f aca="false">SUM(K44:K46)</f>
        <v>0.103160577021103</v>
      </c>
      <c r="L47" s="449"/>
      <c r="M47" s="440"/>
      <c r="N47" s="461" t="n">
        <f aca="false">SUM(N44:N46)</f>
        <v>0.498806564187786</v>
      </c>
      <c r="O47" s="449"/>
      <c r="P47" s="486"/>
      <c r="Q47" s="454"/>
      <c r="R47" s="464"/>
      <c r="S47" s="434" t="s">
        <v>704</v>
      </c>
      <c r="T47" s="448" t="n">
        <f aca="false">T3/(1-0.00603)-T3</f>
        <v>0.0272086179663367</v>
      </c>
      <c r="U47" s="449"/>
      <c r="V47" s="434"/>
      <c r="W47" s="448"/>
      <c r="X47" s="449"/>
      <c r="Y47" s="449"/>
      <c r="Z47" s="449"/>
      <c r="AH47" s="27" t="s">
        <v>779</v>
      </c>
      <c r="AI47" s="482" t="n">
        <v>0.004</v>
      </c>
      <c r="AK47" s="483"/>
      <c r="AN47" s="483"/>
      <c r="AR47" s="482"/>
    </row>
    <row r="48" customFormat="false" ht="12.75" hidden="false" customHeight="false" outlineLevel="0" collapsed="false">
      <c r="A48" s="420" t="s">
        <v>93</v>
      </c>
      <c r="B48" s="419" t="s">
        <v>780</v>
      </c>
      <c r="C48" s="420"/>
      <c r="D48" s="476" t="s">
        <v>93</v>
      </c>
      <c r="E48" s="458" t="s">
        <v>781</v>
      </c>
      <c r="F48" s="421"/>
      <c r="G48" s="467" t="s">
        <v>648</v>
      </c>
      <c r="H48" s="468" t="s">
        <v>782</v>
      </c>
      <c r="I48" s="493"/>
      <c r="J48" s="424" t="s">
        <v>650</v>
      </c>
      <c r="K48" s="425" t="s">
        <v>783</v>
      </c>
      <c r="L48" s="493"/>
      <c r="M48" s="426" t="s">
        <v>650</v>
      </c>
      <c r="N48" s="427" t="s">
        <v>784</v>
      </c>
      <c r="O48" s="493"/>
      <c r="P48" s="488"/>
      <c r="Q48" s="464"/>
      <c r="R48" s="430"/>
      <c r="S48" s="457"/>
      <c r="T48" s="458" t="n">
        <f aca="false">SUM(T45:T47)</f>
        <v>0.0594086179663367</v>
      </c>
      <c r="U48" s="420"/>
      <c r="V48" s="457"/>
      <c r="W48" s="458"/>
      <c r="X48" s="420"/>
      <c r="Y48" s="493"/>
      <c r="Z48" s="493"/>
      <c r="AH48" s="27" t="s">
        <v>785</v>
      </c>
      <c r="AI48" s="482" t="n">
        <v>0.002</v>
      </c>
      <c r="AK48" s="485"/>
      <c r="AL48" s="482"/>
      <c r="AN48" s="485"/>
      <c r="AO48" s="482"/>
      <c r="AR48" s="482"/>
    </row>
    <row r="49" customFormat="false" ht="12.75" hidden="false" customHeight="false" outlineLevel="0" collapsed="false">
      <c r="A49" s="466" t="s">
        <v>667</v>
      </c>
      <c r="B49" s="435" t="n">
        <v>0.0055</v>
      </c>
      <c r="C49" s="421"/>
      <c r="D49" s="434" t="s">
        <v>667</v>
      </c>
      <c r="E49" s="436" t="n">
        <v>0.0792</v>
      </c>
      <c r="F49" s="421"/>
      <c r="G49" s="437" t="s">
        <v>667</v>
      </c>
      <c r="H49" s="438" t="n">
        <v>0.0286</v>
      </c>
      <c r="I49" s="421"/>
      <c r="J49" s="439" t="s">
        <v>667</v>
      </c>
      <c r="K49" s="438" t="n">
        <v>0.0195</v>
      </c>
      <c r="L49" s="421"/>
      <c r="M49" s="440" t="s">
        <v>667</v>
      </c>
      <c r="N49" s="441" t="n">
        <v>0.4184</v>
      </c>
      <c r="O49" s="421"/>
      <c r="P49" s="488"/>
      <c r="Q49" s="464"/>
      <c r="R49" s="444"/>
      <c r="S49" s="457"/>
      <c r="T49" s="458"/>
      <c r="U49" s="421"/>
      <c r="V49" s="457"/>
      <c r="W49" s="458"/>
      <c r="X49" s="421"/>
      <c r="Y49" s="421"/>
      <c r="Z49" s="421"/>
      <c r="AL49" s="482"/>
      <c r="AO49" s="482"/>
      <c r="AR49" s="482"/>
    </row>
    <row r="50" customFormat="false" ht="12.75" hidden="false" customHeight="false" outlineLevel="0" collapsed="false">
      <c r="A50" s="434" t="s">
        <v>119</v>
      </c>
      <c r="B50" s="435" t="n">
        <v>0.0022</v>
      </c>
      <c r="C50" s="421"/>
      <c r="D50" s="434" t="s">
        <v>119</v>
      </c>
      <c r="E50" s="436" t="n">
        <f aca="false">0.0072+0.0022+0.0097</f>
        <v>0.0191</v>
      </c>
      <c r="F50" s="447"/>
      <c r="G50" s="437" t="s">
        <v>119</v>
      </c>
      <c r="H50" s="438" t="n">
        <f aca="false">0.0022+0.0072+0.0225</f>
        <v>0.0319</v>
      </c>
      <c r="I50" s="421"/>
      <c r="J50" s="439" t="s">
        <v>119</v>
      </c>
      <c r="K50" s="438" t="n">
        <f aca="false">0.0022+0.0072</f>
        <v>0.0094</v>
      </c>
      <c r="L50" s="421"/>
      <c r="M50" s="440" t="s">
        <v>119</v>
      </c>
      <c r="N50" s="441" t="n">
        <f aca="false">0.0022+0.0072</f>
        <v>0.0094</v>
      </c>
      <c r="O50" s="421"/>
      <c r="P50" s="484"/>
      <c r="Q50" s="430"/>
      <c r="R50" s="444"/>
      <c r="S50" s="466" t="s">
        <v>654</v>
      </c>
      <c r="T50" s="471" t="s">
        <v>786</v>
      </c>
      <c r="U50" s="421"/>
      <c r="V50" s="466"/>
      <c r="W50" s="471"/>
      <c r="X50" s="421"/>
      <c r="Y50" s="421"/>
      <c r="Z50" s="421"/>
      <c r="AH50" s="483" t="n">
        <v>36708</v>
      </c>
      <c r="AL50" s="482"/>
      <c r="AO50" s="482"/>
      <c r="AQ50" s="483"/>
    </row>
    <row r="51" customFormat="false" ht="12.75" hidden="false" customHeight="false" outlineLevel="0" collapsed="false">
      <c r="A51" s="434" t="s">
        <v>787</v>
      </c>
      <c r="B51" s="448" t="n">
        <f aca="false">B5/(1-0.0091)-B5</f>
        <v>0.0411423958017965</v>
      </c>
      <c r="C51" s="447"/>
      <c r="D51" s="434" t="s">
        <v>788</v>
      </c>
      <c r="E51" s="448" t="n">
        <f aca="false">(E4)/(1-0.0045)-E4</f>
        <v>0.0213812154696127</v>
      </c>
      <c r="F51" s="449"/>
      <c r="G51" s="437" t="s">
        <v>789</v>
      </c>
      <c r="H51" s="494" t="n">
        <f aca="false">(H4)/(1-0.0095)-H4</f>
        <v>0.042248864209995</v>
      </c>
      <c r="I51" s="447"/>
      <c r="J51" s="439" t="s">
        <v>706</v>
      </c>
      <c r="K51" s="451" t="n">
        <f aca="false">(K4)/(1-0.0268)-K4</f>
        <v>0.121993423756679</v>
      </c>
      <c r="L51" s="447"/>
      <c r="M51" s="440" t="s">
        <v>790</v>
      </c>
      <c r="N51" s="452" t="n">
        <f aca="false">(N6)/(1-0.0465)-(N6)</f>
        <v>0.221649187205034</v>
      </c>
      <c r="O51" s="447"/>
      <c r="P51" s="486"/>
      <c r="Q51" s="444"/>
      <c r="R51" s="454"/>
      <c r="S51" s="434" t="s">
        <v>667</v>
      </c>
      <c r="T51" s="435" t="n">
        <v>0.03</v>
      </c>
      <c r="U51" s="447"/>
      <c r="V51" s="434"/>
      <c r="W51" s="435"/>
      <c r="X51" s="447"/>
      <c r="Y51" s="447"/>
      <c r="Z51" s="447"/>
      <c r="AH51" s="485" t="s">
        <v>778</v>
      </c>
      <c r="AI51" s="482" t="n">
        <v>0.002</v>
      </c>
      <c r="AQ51" s="485"/>
      <c r="AR51" s="482"/>
    </row>
    <row r="52" customFormat="false" ht="12.75" hidden="false" customHeight="false" outlineLevel="0" collapsed="false">
      <c r="A52" s="434"/>
      <c r="B52" s="458" t="n">
        <f aca="false">SUM(B49:B51)</f>
        <v>0.0488423958017965</v>
      </c>
      <c r="C52" s="449"/>
      <c r="D52" s="434"/>
      <c r="E52" s="458" t="n">
        <f aca="false">SUM(E49:E51)</f>
        <v>0.119681215469613</v>
      </c>
      <c r="F52" s="493"/>
      <c r="G52" s="459"/>
      <c r="H52" s="460" t="n">
        <f aca="false">SUM(H49:H51)</f>
        <v>0.102748864209995</v>
      </c>
      <c r="I52" s="449"/>
      <c r="J52" s="439"/>
      <c r="K52" s="460" t="n">
        <f aca="false">SUM(K49:K51)</f>
        <v>0.150893423756679</v>
      </c>
      <c r="L52" s="449"/>
      <c r="M52" s="440"/>
      <c r="N52" s="461" t="n">
        <f aca="false">SUM(N49:N51)</f>
        <v>0.649449187205034</v>
      </c>
      <c r="O52" s="449"/>
      <c r="P52" s="486"/>
      <c r="Q52" s="444"/>
      <c r="R52" s="464"/>
      <c r="S52" s="434" t="s">
        <v>119</v>
      </c>
      <c r="T52" s="435" t="n">
        <v>0.0022</v>
      </c>
      <c r="U52" s="449"/>
      <c r="V52" s="434"/>
      <c r="W52" s="435"/>
      <c r="X52" s="449"/>
      <c r="Y52" s="449"/>
      <c r="Z52" s="449"/>
      <c r="AH52" s="27" t="s">
        <v>779</v>
      </c>
      <c r="AI52" s="482" t="n">
        <v>0.004</v>
      </c>
      <c r="AR52" s="482"/>
    </row>
    <row r="53" customFormat="false" ht="12.75" hidden="false" customHeight="false" outlineLevel="0" collapsed="false">
      <c r="A53" s="457" t="s">
        <v>93</v>
      </c>
      <c r="B53" s="419" t="s">
        <v>791</v>
      </c>
      <c r="C53" s="493"/>
      <c r="D53" s="27" t="s">
        <v>93</v>
      </c>
      <c r="E53" s="27" t="s">
        <v>792</v>
      </c>
      <c r="F53" s="421"/>
      <c r="G53" s="467" t="s">
        <v>648</v>
      </c>
      <c r="H53" s="468" t="s">
        <v>793</v>
      </c>
      <c r="I53" s="493"/>
      <c r="J53" s="424" t="s">
        <v>650</v>
      </c>
      <c r="K53" s="425" t="s">
        <v>794</v>
      </c>
      <c r="L53" s="493"/>
      <c r="M53" s="426" t="s">
        <v>650</v>
      </c>
      <c r="N53" s="461" t="s">
        <v>795</v>
      </c>
      <c r="O53" s="493"/>
      <c r="P53" s="486"/>
      <c r="Q53" s="454"/>
      <c r="R53" s="495"/>
      <c r="S53" s="434" t="s">
        <v>724</v>
      </c>
      <c r="T53" s="448" t="n">
        <f aca="false">T4/(1-0.0282)-T4</f>
        <v>0.131888248610825</v>
      </c>
      <c r="U53" s="493"/>
      <c r="V53" s="434"/>
      <c r="W53" s="448"/>
      <c r="X53" s="493"/>
      <c r="Y53" s="420"/>
      <c r="Z53" s="420"/>
      <c r="AH53" s="27" t="s">
        <v>785</v>
      </c>
      <c r="AI53" s="482" t="n">
        <v>0.002</v>
      </c>
      <c r="AR53" s="482"/>
    </row>
    <row r="54" customFormat="false" ht="12.75" hidden="false" customHeight="false" outlineLevel="0" collapsed="false">
      <c r="A54" s="457" t="s">
        <v>667</v>
      </c>
      <c r="B54" s="435" t="n">
        <v>0.0166</v>
      </c>
      <c r="C54" s="421"/>
      <c r="D54" s="434" t="s">
        <v>667</v>
      </c>
      <c r="E54" s="436" t="n">
        <v>0.206</v>
      </c>
      <c r="F54" s="421"/>
      <c r="G54" s="437" t="s">
        <v>667</v>
      </c>
      <c r="H54" s="438" t="n">
        <v>0.0572</v>
      </c>
      <c r="I54" s="421"/>
      <c r="J54" s="439" t="s">
        <v>667</v>
      </c>
      <c r="K54" s="438" t="n">
        <v>0.0667</v>
      </c>
      <c r="L54" s="421"/>
      <c r="M54" s="440" t="s">
        <v>667</v>
      </c>
      <c r="N54" s="496" t="n">
        <v>0.3439</v>
      </c>
      <c r="O54" s="421"/>
      <c r="P54" s="488"/>
      <c r="Q54" s="464"/>
      <c r="R54" s="444"/>
      <c r="S54" s="457"/>
      <c r="T54" s="458" t="n">
        <f aca="false">SUM(T51:T53)</f>
        <v>0.164088248610825</v>
      </c>
      <c r="U54" s="421"/>
      <c r="V54" s="457"/>
      <c r="W54" s="458"/>
      <c r="X54" s="421"/>
      <c r="Y54" s="421"/>
      <c r="Z54" s="421"/>
      <c r="AR54" s="482"/>
    </row>
    <row r="55" customFormat="false" ht="12.75" hidden="false" customHeight="false" outlineLevel="0" collapsed="false">
      <c r="A55" s="466" t="s">
        <v>119</v>
      </c>
      <c r="B55" s="435" t="n">
        <f aca="false">0.0022+0.0072+0.0097</f>
        <v>0.0191</v>
      </c>
      <c r="C55" s="421"/>
      <c r="D55" s="434" t="s">
        <v>119</v>
      </c>
      <c r="E55" s="436" t="n">
        <f aca="false">0.0072+0.0022+0.0097</f>
        <v>0.0191</v>
      </c>
      <c r="F55" s="447"/>
      <c r="G55" s="437" t="s">
        <v>119</v>
      </c>
      <c r="H55" s="438" t="n">
        <f aca="false">0.0022+0.0072+0.0225</f>
        <v>0.0319</v>
      </c>
      <c r="I55" s="421"/>
      <c r="J55" s="439" t="s">
        <v>119</v>
      </c>
      <c r="K55" s="438" t="n">
        <f aca="false">0.0022+0.0072</f>
        <v>0.0094</v>
      </c>
      <c r="L55" s="421"/>
      <c r="M55" s="440" t="s">
        <v>119</v>
      </c>
      <c r="N55" s="441" t="n">
        <f aca="false">0.0022+0.0072</f>
        <v>0.0094</v>
      </c>
      <c r="O55" s="421"/>
      <c r="P55" s="430"/>
      <c r="Q55" s="464"/>
      <c r="R55" s="444"/>
      <c r="S55" s="420"/>
      <c r="T55" s="449" t="n">
        <f aca="false">+T54+T48</f>
        <v>0.223496866577162</v>
      </c>
      <c r="U55" s="421"/>
      <c r="V55" s="420"/>
      <c r="W55" s="449"/>
      <c r="X55" s="421"/>
      <c r="Y55" s="421"/>
      <c r="Z55" s="421"/>
      <c r="AH55" s="483" t="n">
        <v>36678</v>
      </c>
      <c r="AQ55" s="483"/>
    </row>
    <row r="56" customFormat="false" ht="12.75" hidden="false" customHeight="false" outlineLevel="0" collapsed="false">
      <c r="A56" s="434" t="s">
        <v>774</v>
      </c>
      <c r="B56" s="448" t="n">
        <f aca="false">B$5/(1-0.0281)-B$5</f>
        <v>0.129527729190246</v>
      </c>
      <c r="C56" s="447"/>
      <c r="D56" s="434" t="s">
        <v>796</v>
      </c>
      <c r="E56" s="448" t="n">
        <f aca="false">(E4)/(1-0.0235)-E4</f>
        <v>0.113830005120327</v>
      </c>
      <c r="F56" s="449"/>
      <c r="G56" s="437" t="s">
        <v>797</v>
      </c>
      <c r="H56" s="494" t="n">
        <f aca="false">(H4)/(1-0.017)-H4</f>
        <v>0.0761800610376398</v>
      </c>
      <c r="I56" s="447"/>
      <c r="J56" s="439" t="s">
        <v>798</v>
      </c>
      <c r="K56" s="451" t="n">
        <f aca="false">(K4)/(1-0.05)-K4</f>
        <v>0.233157894736842</v>
      </c>
      <c r="L56" s="447"/>
      <c r="M56" s="440" t="s">
        <v>799</v>
      </c>
      <c r="N56" s="452" t="n">
        <f aca="false">(N6)/(1-0.0399)-N6</f>
        <v>0.188881887303406</v>
      </c>
      <c r="O56" s="447"/>
      <c r="P56" s="484"/>
      <c r="Q56" s="430"/>
      <c r="R56" s="454"/>
      <c r="S56" s="418" t="s">
        <v>1</v>
      </c>
      <c r="T56" s="431" t="s">
        <v>1</v>
      </c>
      <c r="U56" s="447"/>
      <c r="V56" s="418"/>
      <c r="W56" s="431"/>
      <c r="X56" s="447"/>
      <c r="Y56" s="447"/>
      <c r="Z56" s="447"/>
      <c r="AH56" s="485" t="s">
        <v>778</v>
      </c>
      <c r="AI56" s="482" t="n">
        <v>0.0001</v>
      </c>
      <c r="AQ56" s="485"/>
      <c r="AR56" s="482"/>
    </row>
    <row r="57" customFormat="false" ht="12.75" hidden="false" customHeight="false" outlineLevel="0" collapsed="false">
      <c r="A57" s="434"/>
      <c r="B57" s="458" t="n">
        <f aca="false">SUM(B54:B56)</f>
        <v>0.165227729190246</v>
      </c>
      <c r="C57" s="449"/>
      <c r="D57" s="434"/>
      <c r="E57" s="458" t="n">
        <f aca="false">SUM(E54:E56)</f>
        <v>0.338930005120327</v>
      </c>
      <c r="F57" s="420"/>
      <c r="G57" s="459"/>
      <c r="H57" s="460" t="n">
        <f aca="false">SUM(H54:H56)</f>
        <v>0.16528006103764</v>
      </c>
      <c r="I57" s="449"/>
      <c r="J57" s="439"/>
      <c r="K57" s="460" t="n">
        <f aca="false">SUM(K54:K56)</f>
        <v>0.309257894736842</v>
      </c>
      <c r="L57" s="449"/>
      <c r="M57" s="440"/>
      <c r="N57" s="461" t="n">
        <f aca="false">SUM(N54:N56)</f>
        <v>0.542181887303406</v>
      </c>
      <c r="O57" s="449"/>
      <c r="P57" s="486"/>
      <c r="Q57" s="444"/>
      <c r="R57" s="464"/>
      <c r="S57" s="434"/>
      <c r="T57" s="435" t="s">
        <v>1</v>
      </c>
      <c r="U57" s="449"/>
      <c r="V57" s="434"/>
      <c r="W57" s="435"/>
      <c r="X57" s="449"/>
      <c r="Y57" s="449"/>
      <c r="Z57" s="449"/>
      <c r="AH57" s="27" t="s">
        <v>779</v>
      </c>
      <c r="AI57" s="482" t="n">
        <v>0.0002</v>
      </c>
      <c r="AR57" s="482"/>
    </row>
    <row r="58" customFormat="false" ht="12.75" hidden="false" customHeight="false" outlineLevel="0" collapsed="false">
      <c r="A58" s="457" t="s">
        <v>93</v>
      </c>
      <c r="B58" s="419" t="s">
        <v>800</v>
      </c>
      <c r="C58" s="493"/>
      <c r="D58" s="27" t="s">
        <v>93</v>
      </c>
      <c r="E58" s="27" t="s">
        <v>801</v>
      </c>
      <c r="F58" s="421"/>
      <c r="G58" s="467" t="s">
        <v>648</v>
      </c>
      <c r="H58" s="468" t="s">
        <v>802</v>
      </c>
      <c r="I58" s="420"/>
      <c r="J58" s="424" t="s">
        <v>650</v>
      </c>
      <c r="K58" s="425" t="s">
        <v>711</v>
      </c>
      <c r="L58" s="420"/>
      <c r="M58" s="426" t="s">
        <v>650</v>
      </c>
      <c r="N58" s="461" t="s">
        <v>803</v>
      </c>
      <c r="O58" s="420"/>
      <c r="P58" s="486"/>
      <c r="Q58" s="444"/>
      <c r="R58" s="495"/>
      <c r="S58" s="434"/>
      <c r="T58" s="435"/>
      <c r="U58" s="493"/>
      <c r="V58" s="434"/>
      <c r="W58" s="435"/>
      <c r="X58" s="493"/>
      <c r="Y58" s="420"/>
      <c r="Z58" s="420"/>
      <c r="AH58" s="27" t="s">
        <v>785</v>
      </c>
      <c r="AI58" s="482" t="n">
        <v>0.0001</v>
      </c>
      <c r="AR58" s="482"/>
    </row>
    <row r="59" customFormat="false" ht="12.75" hidden="false" customHeight="false" outlineLevel="0" collapsed="false">
      <c r="A59" s="457" t="s">
        <v>667</v>
      </c>
      <c r="B59" s="435" t="n">
        <v>0.0254</v>
      </c>
      <c r="C59" s="421"/>
      <c r="D59" s="434" t="s">
        <v>667</v>
      </c>
      <c r="E59" s="436" t="n">
        <v>0.3528</v>
      </c>
      <c r="F59" s="421"/>
      <c r="G59" s="437" t="s">
        <v>667</v>
      </c>
      <c r="H59" s="438" t="n">
        <v>0.0776</v>
      </c>
      <c r="I59" s="421"/>
      <c r="J59" s="439" t="s">
        <v>667</v>
      </c>
      <c r="K59" s="438" t="n">
        <v>0.0881</v>
      </c>
      <c r="L59" s="421"/>
      <c r="M59" s="440" t="s">
        <v>667</v>
      </c>
      <c r="N59" s="496" t="n">
        <v>0.1908</v>
      </c>
      <c r="O59" s="421"/>
      <c r="P59" s="486"/>
      <c r="Q59" s="454"/>
      <c r="R59" s="444"/>
      <c r="S59" s="434"/>
      <c r="T59" s="448"/>
      <c r="U59" s="421"/>
      <c r="V59" s="434"/>
      <c r="W59" s="448"/>
      <c r="X59" s="421"/>
      <c r="Y59" s="421"/>
      <c r="Z59" s="421"/>
      <c r="AR59" s="482"/>
    </row>
    <row r="60" customFormat="false" ht="12.75" hidden="false" customHeight="false" outlineLevel="0" collapsed="false">
      <c r="A60" s="466" t="s">
        <v>119</v>
      </c>
      <c r="B60" s="435" t="n">
        <f aca="false">0.0022+0.0072+0.0097</f>
        <v>0.0191</v>
      </c>
      <c r="C60" s="421"/>
      <c r="D60" s="434" t="s">
        <v>119</v>
      </c>
      <c r="E60" s="436" t="n">
        <f aca="false">0.0097+0.0072+0.0022</f>
        <v>0.0191</v>
      </c>
      <c r="F60" s="447"/>
      <c r="G60" s="437" t="s">
        <v>119</v>
      </c>
      <c r="H60" s="438" t="n">
        <f aca="false">0.0022+0.0072</f>
        <v>0.0094</v>
      </c>
      <c r="I60" s="421"/>
      <c r="J60" s="439" t="s">
        <v>119</v>
      </c>
      <c r="K60" s="438" t="n">
        <f aca="false">0.0022+0.0072</f>
        <v>0.0094</v>
      </c>
      <c r="L60" s="421"/>
      <c r="M60" s="440" t="s">
        <v>119</v>
      </c>
      <c r="N60" s="441" t="n">
        <f aca="false">0.0022+0.0072</f>
        <v>0.0094</v>
      </c>
      <c r="O60" s="421"/>
      <c r="P60" s="488"/>
      <c r="Q60" s="464"/>
      <c r="R60" s="444"/>
      <c r="S60" s="457" t="s">
        <v>1</v>
      </c>
      <c r="T60" s="458" t="s">
        <v>1</v>
      </c>
      <c r="U60" s="421"/>
      <c r="V60" s="457"/>
      <c r="W60" s="458"/>
      <c r="X60" s="421"/>
      <c r="Y60" s="421"/>
      <c r="Z60" s="421"/>
      <c r="AH60" s="483" t="n">
        <v>36647</v>
      </c>
      <c r="AQ60" s="483"/>
    </row>
    <row r="61" customFormat="false" ht="12.75" hidden="false" customHeight="false" outlineLevel="0" collapsed="false">
      <c r="A61" s="434" t="s">
        <v>804</v>
      </c>
      <c r="B61" s="448" t="n">
        <f aca="false">B5/(1-0.0434)-B5</f>
        <v>0.203253188375497</v>
      </c>
      <c r="C61" s="447"/>
      <c r="D61" s="434" t="s">
        <v>805</v>
      </c>
      <c r="E61" s="448" t="n">
        <f aca="false">(E4)/(1-0.0472)-E4</f>
        <v>0.23431570109152</v>
      </c>
      <c r="F61" s="449"/>
      <c r="G61" s="437" t="s">
        <v>806</v>
      </c>
      <c r="H61" s="450" t="n">
        <f aca="false">(H4)/(1-0.0369)-H4</f>
        <v>0.168772193957014</v>
      </c>
      <c r="I61" s="447"/>
      <c r="J61" s="439" t="s">
        <v>722</v>
      </c>
      <c r="K61" s="451" t="n">
        <f aca="false">(K4)/(1-0.064)-K4</f>
        <v>0.302905982905983</v>
      </c>
      <c r="L61" s="447"/>
      <c r="M61" s="440" t="s">
        <v>740</v>
      </c>
      <c r="N61" s="452" t="n">
        <f aca="false">(N7)/(1-0.026)-N7</f>
        <v>0.127464065708419</v>
      </c>
      <c r="O61" s="447"/>
      <c r="P61" s="484"/>
      <c r="Q61" s="430"/>
      <c r="R61" s="454"/>
      <c r="S61" s="466" t="s">
        <v>1</v>
      </c>
      <c r="T61" s="471" t="s">
        <v>1</v>
      </c>
      <c r="U61" s="447"/>
      <c r="V61" s="466"/>
      <c r="W61" s="471"/>
      <c r="X61" s="447"/>
      <c r="Y61" s="447"/>
      <c r="Z61" s="447"/>
      <c r="AH61" s="485" t="s">
        <v>778</v>
      </c>
      <c r="AI61" s="482" t="n">
        <v>0</v>
      </c>
      <c r="AQ61" s="485"/>
      <c r="AR61" s="482"/>
    </row>
    <row r="62" customFormat="false" ht="12.75" hidden="false" customHeight="false" outlineLevel="0" collapsed="false">
      <c r="A62" s="434"/>
      <c r="B62" s="458" t="n">
        <f aca="false">SUM(B59:B61)</f>
        <v>0.247753188375497</v>
      </c>
      <c r="C62" s="449"/>
      <c r="D62" s="434"/>
      <c r="E62" s="458" t="n">
        <f aca="false">SUM(E59:E61)</f>
        <v>0.60621570109152</v>
      </c>
      <c r="F62" s="420"/>
      <c r="G62" s="459"/>
      <c r="H62" s="460" t="n">
        <f aca="false">SUM(H59:H61)</f>
        <v>0.255772193957014</v>
      </c>
      <c r="I62" s="449"/>
      <c r="J62" s="439"/>
      <c r="K62" s="460" t="n">
        <f aca="false">SUM(K59:K61)</f>
        <v>0.400405982905983</v>
      </c>
      <c r="L62" s="449"/>
      <c r="M62" s="440"/>
      <c r="N62" s="461" t="n">
        <f aca="false">SUM(N59:N61)</f>
        <v>0.327664065708419</v>
      </c>
      <c r="O62" s="449"/>
      <c r="P62" s="486"/>
      <c r="Q62" s="444"/>
      <c r="R62" s="464"/>
      <c r="S62" s="434" t="s">
        <v>1</v>
      </c>
      <c r="T62" s="435" t="s">
        <v>1</v>
      </c>
      <c r="U62" s="449"/>
      <c r="V62" s="434"/>
      <c r="W62" s="435"/>
      <c r="X62" s="449"/>
      <c r="Y62" s="449"/>
      <c r="Z62" s="449"/>
      <c r="AH62" s="27" t="s">
        <v>779</v>
      </c>
      <c r="AI62" s="482" t="n">
        <v>0</v>
      </c>
      <c r="AR62" s="482"/>
    </row>
    <row r="63" customFormat="false" ht="12.75" hidden="false" customHeight="false" outlineLevel="0" collapsed="false">
      <c r="A63" s="434" t="s">
        <v>93</v>
      </c>
      <c r="B63" s="419" t="s">
        <v>807</v>
      </c>
      <c r="C63" s="420"/>
      <c r="D63" s="27" t="s">
        <v>93</v>
      </c>
      <c r="E63" s="27" t="s">
        <v>808</v>
      </c>
      <c r="F63" s="421"/>
      <c r="G63" s="467" t="s">
        <v>648</v>
      </c>
      <c r="H63" s="468" t="s">
        <v>809</v>
      </c>
      <c r="I63" s="420"/>
      <c r="J63" s="424" t="s">
        <v>650</v>
      </c>
      <c r="K63" s="425" t="s">
        <v>730</v>
      </c>
      <c r="L63" s="420"/>
      <c r="M63" s="497"/>
      <c r="N63" s="498"/>
      <c r="O63" s="420"/>
      <c r="P63" s="486"/>
      <c r="Q63" s="444"/>
      <c r="R63" s="430"/>
      <c r="S63" s="434" t="s">
        <v>1</v>
      </c>
      <c r="T63" s="435" t="s">
        <v>1</v>
      </c>
      <c r="U63" s="420"/>
      <c r="V63" s="434"/>
      <c r="W63" s="435"/>
      <c r="X63" s="420"/>
      <c r="Y63" s="414"/>
      <c r="Z63" s="414"/>
      <c r="AH63" s="27" t="s">
        <v>785</v>
      </c>
      <c r="AI63" s="482" t="n">
        <v>0</v>
      </c>
      <c r="AR63" s="482"/>
    </row>
    <row r="64" customFormat="false" ht="12.75" hidden="false" customHeight="false" outlineLevel="0" collapsed="false">
      <c r="A64" s="457" t="s">
        <v>667</v>
      </c>
      <c r="B64" s="435" t="n">
        <v>0.03</v>
      </c>
      <c r="C64" s="421"/>
      <c r="D64" s="434" t="s">
        <v>667</v>
      </c>
      <c r="E64" s="436" t="n">
        <v>0.1716</v>
      </c>
      <c r="F64" s="421"/>
      <c r="G64" s="437" t="s">
        <v>667</v>
      </c>
      <c r="H64" s="438" t="n">
        <v>0.0874</v>
      </c>
      <c r="I64" s="421"/>
      <c r="J64" s="439" t="s">
        <v>667</v>
      </c>
      <c r="K64" s="438" t="n">
        <v>0.103</v>
      </c>
      <c r="L64" s="421"/>
      <c r="M64" s="499"/>
      <c r="N64" s="500"/>
      <c r="O64" s="421"/>
      <c r="P64" s="486"/>
      <c r="Q64" s="454"/>
      <c r="R64" s="444"/>
      <c r="S64" s="434" t="s">
        <v>1</v>
      </c>
      <c r="T64" s="448" t="s">
        <v>1</v>
      </c>
      <c r="U64" s="421"/>
      <c r="V64" s="434"/>
      <c r="W64" s="448"/>
      <c r="X64" s="421"/>
      <c r="Y64" s="421"/>
      <c r="Z64" s="421"/>
      <c r="AR64" s="482"/>
    </row>
    <row r="65" customFormat="false" ht="12.75" hidden="false" customHeight="false" outlineLevel="0" collapsed="false">
      <c r="A65" s="162" t="s">
        <v>119</v>
      </c>
      <c r="B65" s="435" t="n">
        <f aca="false">0.0022+0.0072+0.0097</f>
        <v>0.0191</v>
      </c>
      <c r="C65" s="421"/>
      <c r="D65" s="434" t="s">
        <v>119</v>
      </c>
      <c r="E65" s="436" t="n">
        <v>0</v>
      </c>
      <c r="F65" s="447"/>
      <c r="G65" s="437" t="s">
        <v>119</v>
      </c>
      <c r="H65" s="438" t="n">
        <f aca="false">0.0022</f>
        <v>0.0022</v>
      </c>
      <c r="I65" s="421"/>
      <c r="J65" s="439" t="s">
        <v>119</v>
      </c>
      <c r="K65" s="438" t="n">
        <f aca="false">0.0022+0.0072</f>
        <v>0.0094</v>
      </c>
      <c r="L65" s="421"/>
      <c r="M65" s="499"/>
      <c r="N65" s="499"/>
      <c r="O65" s="421"/>
      <c r="P65" s="488"/>
      <c r="Q65" s="464"/>
      <c r="R65" s="444"/>
      <c r="S65" s="457"/>
      <c r="T65" s="458" t="s">
        <v>1</v>
      </c>
      <c r="U65" s="421"/>
      <c r="V65" s="457"/>
      <c r="W65" s="458"/>
      <c r="X65" s="421"/>
      <c r="Y65" s="421"/>
      <c r="Z65" s="421"/>
      <c r="AH65" s="483" t="n">
        <v>36617</v>
      </c>
      <c r="AQ65" s="483"/>
    </row>
    <row r="66" customFormat="false" ht="12.75" hidden="false" customHeight="false" outlineLevel="0" collapsed="false">
      <c r="A66" s="501" t="s">
        <v>810</v>
      </c>
      <c r="B66" s="448" t="n">
        <f aca="false">B5/(1-0.0518)-B5</f>
        <v>0.244741615692892</v>
      </c>
      <c r="C66" s="447"/>
      <c r="D66" s="434" t="s">
        <v>811</v>
      </c>
      <c r="E66" s="448" t="n">
        <f aca="false">(E3)/(1-0.019)-E3</f>
        <v>0.0868654434250766</v>
      </c>
      <c r="F66" s="449"/>
      <c r="G66" s="437" t="s">
        <v>812</v>
      </c>
      <c r="H66" s="451" t="n">
        <f aca="false">(H4)/(1-0.0429)-H4</f>
        <v>0.197444885591892</v>
      </c>
      <c r="I66" s="447"/>
      <c r="J66" s="439" t="s">
        <v>739</v>
      </c>
      <c r="K66" s="451" t="n">
        <f aca="false">(K4)/(1-0.0733)-K4</f>
        <v>0.350403582604942</v>
      </c>
      <c r="L66" s="447"/>
      <c r="M66" s="499"/>
      <c r="N66" s="502"/>
      <c r="O66" s="447"/>
      <c r="P66" s="484"/>
      <c r="Q66" s="430"/>
      <c r="R66" s="454"/>
      <c r="S66" s="466" t="s">
        <v>1</v>
      </c>
      <c r="T66" s="471" t="s">
        <v>1</v>
      </c>
      <c r="U66" s="447"/>
      <c r="V66" s="466"/>
      <c r="W66" s="471"/>
      <c r="X66" s="447"/>
      <c r="Y66" s="447"/>
      <c r="Z66" s="447"/>
      <c r="AH66" s="485" t="s">
        <v>778</v>
      </c>
      <c r="AI66" s="482" t="n">
        <v>0.004</v>
      </c>
      <c r="AQ66" s="485"/>
      <c r="AR66" s="482"/>
    </row>
    <row r="67" customFormat="false" ht="12.75" hidden="false" customHeight="false" outlineLevel="0" collapsed="false">
      <c r="A67" s="434"/>
      <c r="B67" s="458" t="n">
        <f aca="false">SUM(B64:B66)</f>
        <v>0.293841615692892</v>
      </c>
      <c r="C67" s="449"/>
      <c r="D67" s="434"/>
      <c r="E67" s="458" t="n">
        <f aca="false">SUM(E64:E66)</f>
        <v>0.258465443425077</v>
      </c>
      <c r="F67" s="414"/>
      <c r="G67" s="459"/>
      <c r="H67" s="460" t="n">
        <f aca="false">SUM(H64:H66)</f>
        <v>0.287044885591892</v>
      </c>
      <c r="I67" s="449"/>
      <c r="J67" s="439"/>
      <c r="K67" s="460" t="n">
        <f aca="false">SUM(K64:K66)</f>
        <v>0.462803582604942</v>
      </c>
      <c r="L67" s="449"/>
      <c r="M67" s="499"/>
      <c r="N67" s="498"/>
      <c r="O67" s="449"/>
      <c r="P67" s="486"/>
      <c r="Q67" s="444"/>
      <c r="R67" s="464"/>
      <c r="S67" s="434"/>
      <c r="T67" s="435"/>
      <c r="U67" s="449"/>
      <c r="V67" s="434"/>
      <c r="W67" s="435"/>
      <c r="X67" s="449"/>
      <c r="Y67" s="449"/>
      <c r="Z67" s="449"/>
      <c r="AH67" s="27" t="s">
        <v>779</v>
      </c>
      <c r="AI67" s="482" t="n">
        <v>0.008</v>
      </c>
      <c r="AR67" s="482"/>
    </row>
    <row r="68" customFormat="false" ht="12.75" hidden="false" customHeight="false" outlineLevel="0" collapsed="false">
      <c r="A68" s="434" t="s">
        <v>93</v>
      </c>
      <c r="B68" s="419" t="s">
        <v>813</v>
      </c>
      <c r="C68" s="420"/>
      <c r="D68" s="27" t="s">
        <v>814</v>
      </c>
      <c r="E68" s="27" t="s">
        <v>815</v>
      </c>
      <c r="F68" s="421"/>
      <c r="G68" s="467" t="s">
        <v>648</v>
      </c>
      <c r="H68" s="468" t="s">
        <v>816</v>
      </c>
      <c r="I68" s="414"/>
      <c r="J68" s="424" t="s">
        <v>650</v>
      </c>
      <c r="K68" s="425" t="s">
        <v>817</v>
      </c>
      <c r="L68" s="414"/>
      <c r="M68" s="499"/>
      <c r="N68" s="499"/>
      <c r="O68" s="414"/>
      <c r="P68" s="486"/>
      <c r="Q68" s="444"/>
      <c r="R68" s="430"/>
      <c r="S68" s="434"/>
      <c r="T68" s="435"/>
      <c r="U68" s="420"/>
      <c r="V68" s="434"/>
      <c r="W68" s="435"/>
      <c r="X68" s="420"/>
      <c r="Y68" s="414"/>
      <c r="Z68" s="414"/>
      <c r="AH68" s="27" t="s">
        <v>785</v>
      </c>
      <c r="AI68" s="482" t="n">
        <v>0.004</v>
      </c>
      <c r="AR68" s="482"/>
    </row>
    <row r="69" customFormat="false" ht="12.75" hidden="false" customHeight="false" outlineLevel="0" collapsed="false">
      <c r="A69" s="434" t="s">
        <v>667</v>
      </c>
      <c r="B69" s="435" t="n">
        <v>0.0029</v>
      </c>
      <c r="C69" s="421"/>
      <c r="D69" s="434" t="s">
        <v>667</v>
      </c>
      <c r="E69" s="436" t="n">
        <v>0.076</v>
      </c>
      <c r="F69" s="421"/>
      <c r="G69" s="437" t="s">
        <v>667</v>
      </c>
      <c r="H69" s="438" t="n">
        <v>0.1014</v>
      </c>
      <c r="I69" s="421"/>
      <c r="J69" s="439" t="s">
        <v>667</v>
      </c>
      <c r="K69" s="438" t="n">
        <v>0.0236</v>
      </c>
      <c r="L69" s="421"/>
      <c r="M69" s="499"/>
      <c r="N69" s="499"/>
      <c r="O69" s="421"/>
      <c r="P69" s="486"/>
      <c r="Q69" s="454"/>
      <c r="R69" s="444"/>
      <c r="S69" s="434"/>
      <c r="T69" s="448"/>
      <c r="U69" s="421"/>
      <c r="V69" s="434"/>
      <c r="W69" s="448"/>
      <c r="X69" s="421"/>
      <c r="Y69" s="421"/>
      <c r="Z69" s="421"/>
      <c r="AI69" s="482"/>
      <c r="AR69" s="482"/>
    </row>
    <row r="70" customFormat="false" ht="12.75" hidden="false" customHeight="false" outlineLevel="0" collapsed="false">
      <c r="A70" s="457" t="s">
        <v>119</v>
      </c>
      <c r="B70" s="435" t="n">
        <f aca="false">0.0022+0.0072+0.0097</f>
        <v>0.0191</v>
      </c>
      <c r="C70" s="421"/>
      <c r="D70" s="434" t="s">
        <v>119</v>
      </c>
      <c r="E70" s="436" t="n">
        <v>0</v>
      </c>
      <c r="F70" s="447"/>
      <c r="G70" s="437" t="s">
        <v>119</v>
      </c>
      <c r="H70" s="438" t="n">
        <f aca="false">0.0022+0.0072</f>
        <v>0.0094</v>
      </c>
      <c r="I70" s="421"/>
      <c r="J70" s="439" t="s">
        <v>119</v>
      </c>
      <c r="K70" s="438" t="n">
        <f aca="false">0.0022+0.0072</f>
        <v>0.0094</v>
      </c>
      <c r="L70" s="421"/>
      <c r="M70" s="502"/>
      <c r="N70" s="502"/>
      <c r="O70" s="421"/>
      <c r="P70" s="462"/>
      <c r="Q70" s="463"/>
      <c r="R70" s="444"/>
      <c r="S70" s="457"/>
      <c r="T70" s="458"/>
      <c r="U70" s="421"/>
      <c r="V70" s="457"/>
      <c r="W70" s="458"/>
      <c r="X70" s="421"/>
      <c r="Y70" s="421"/>
      <c r="Z70" s="421"/>
      <c r="AH70" s="483" t="n">
        <v>36586</v>
      </c>
      <c r="AQ70" s="483"/>
    </row>
    <row r="71" customFormat="false" ht="12.75" hidden="false" customHeight="false" outlineLevel="0" collapsed="false">
      <c r="A71" s="466" t="s">
        <v>818</v>
      </c>
      <c r="B71" s="448" t="n">
        <f aca="false">(B4)/(1-0.0045)-B4</f>
        <v>0.0213812154696127</v>
      </c>
      <c r="C71" s="447"/>
      <c r="D71" s="434" t="s">
        <v>819</v>
      </c>
      <c r="E71" s="448" t="n">
        <f aca="false">(+E3)/(1-0.0059)-E3</f>
        <v>0.0266185494417064</v>
      </c>
      <c r="F71" s="449"/>
      <c r="G71" s="437" t="s">
        <v>820</v>
      </c>
      <c r="H71" s="494" t="n">
        <f aca="false">(H4)/(1-0.0506)-H4</f>
        <v>0.234772487887087</v>
      </c>
      <c r="I71" s="447"/>
      <c r="J71" s="439" t="s">
        <v>672</v>
      </c>
      <c r="K71" s="451" t="n">
        <f aca="false">(K3)/(1-0.0242)-K3</f>
        <v>0.110112728018036</v>
      </c>
      <c r="L71" s="447"/>
      <c r="M71" s="498"/>
      <c r="N71" s="498"/>
      <c r="O71" s="447"/>
      <c r="P71" s="430"/>
      <c r="Q71" s="430"/>
      <c r="R71" s="454"/>
      <c r="S71" s="420"/>
      <c r="T71" s="420"/>
      <c r="U71" s="447"/>
      <c r="V71" s="420"/>
      <c r="W71" s="420"/>
      <c r="X71" s="447"/>
      <c r="Y71" s="447"/>
      <c r="Z71" s="447"/>
      <c r="AH71" s="485" t="s">
        <v>778</v>
      </c>
      <c r="AI71" s="482" t="n">
        <v>0.005</v>
      </c>
      <c r="AQ71" s="485"/>
      <c r="AR71" s="482"/>
    </row>
    <row r="72" customFormat="false" ht="12.75" hidden="false" customHeight="false" outlineLevel="0" collapsed="false">
      <c r="A72" s="434"/>
      <c r="B72" s="458" t="n">
        <f aca="false">SUM(B69:B71)</f>
        <v>0.0433812154696127</v>
      </c>
      <c r="C72" s="449"/>
      <c r="D72" s="434"/>
      <c r="E72" s="458" t="n">
        <f aca="false">SUM(E69:E71)</f>
        <v>0.102618549441706</v>
      </c>
      <c r="F72" s="414"/>
      <c r="G72" s="459"/>
      <c r="H72" s="460" t="n">
        <f aca="false">SUM(H69:H71)</f>
        <v>0.345572487887087</v>
      </c>
      <c r="I72" s="449"/>
      <c r="J72" s="439"/>
      <c r="K72" s="460" t="n">
        <f aca="false">SUM(K69:K71)</f>
        <v>0.143112728018036</v>
      </c>
      <c r="L72" s="449"/>
      <c r="M72" s="503"/>
      <c r="N72" s="503"/>
      <c r="O72" s="449"/>
      <c r="P72" s="444"/>
      <c r="Q72" s="444"/>
      <c r="R72" s="464"/>
      <c r="S72" s="421"/>
      <c r="T72" s="421"/>
      <c r="U72" s="449"/>
      <c r="V72" s="421"/>
      <c r="W72" s="421"/>
      <c r="X72" s="449"/>
      <c r="Y72" s="449"/>
      <c r="Z72" s="449"/>
      <c r="AH72" s="27" t="s">
        <v>779</v>
      </c>
      <c r="AI72" s="482" t="n">
        <v>0.01</v>
      </c>
      <c r="AR72" s="482"/>
    </row>
    <row r="73" customFormat="false" ht="12.75" hidden="false" customHeight="false" outlineLevel="0" collapsed="false">
      <c r="A73" s="434" t="s">
        <v>93</v>
      </c>
      <c r="B73" s="458" t="s">
        <v>821</v>
      </c>
      <c r="C73" s="414"/>
      <c r="F73" s="421"/>
      <c r="G73" s="467" t="s">
        <v>648</v>
      </c>
      <c r="H73" s="468" t="s">
        <v>822</v>
      </c>
      <c r="I73" s="414"/>
      <c r="J73" s="424" t="s">
        <v>650</v>
      </c>
      <c r="K73" s="425" t="s">
        <v>823</v>
      </c>
      <c r="L73" s="414"/>
      <c r="M73" s="499"/>
      <c r="N73" s="499"/>
      <c r="O73" s="414"/>
      <c r="P73" s="454"/>
      <c r="Q73" s="454"/>
      <c r="R73" s="504"/>
      <c r="S73" s="447"/>
      <c r="T73" s="447"/>
      <c r="U73" s="414"/>
      <c r="V73" s="447"/>
      <c r="W73" s="447"/>
      <c r="X73" s="414"/>
      <c r="Y73" s="414"/>
      <c r="Z73" s="414"/>
      <c r="AH73" s="27" t="s">
        <v>785</v>
      </c>
      <c r="AI73" s="482" t="n">
        <v>0.005</v>
      </c>
      <c r="AR73" s="482"/>
    </row>
    <row r="74" customFormat="false" ht="12.75" hidden="false" customHeight="false" outlineLevel="0" collapsed="false">
      <c r="A74" s="434" t="s">
        <v>667</v>
      </c>
      <c r="B74" s="436" t="n">
        <v>0.014</v>
      </c>
      <c r="C74" s="421"/>
      <c r="D74" s="476" t="s">
        <v>824</v>
      </c>
      <c r="E74" s="458" t="s">
        <v>825</v>
      </c>
      <c r="F74" s="421"/>
      <c r="G74" s="437" t="s">
        <v>667</v>
      </c>
      <c r="H74" s="438" t="n">
        <v>0.1126</v>
      </c>
      <c r="I74" s="421"/>
      <c r="J74" s="439" t="s">
        <v>667</v>
      </c>
      <c r="K74" s="438" t="n">
        <v>0.0195</v>
      </c>
      <c r="L74" s="421"/>
      <c r="M74" s="499"/>
      <c r="N74" s="499"/>
      <c r="O74" s="421"/>
      <c r="P74" s="464"/>
      <c r="Q74" s="464"/>
      <c r="R74" s="444"/>
      <c r="S74" s="449"/>
      <c r="T74" s="449"/>
      <c r="U74" s="421"/>
      <c r="V74" s="449"/>
      <c r="W74" s="449"/>
      <c r="X74" s="421"/>
      <c r="Y74" s="421"/>
      <c r="Z74" s="421"/>
      <c r="AI74" s="482"/>
      <c r="AR74" s="482"/>
    </row>
    <row r="75" customFormat="false" ht="12.75" hidden="false" customHeight="false" outlineLevel="0" collapsed="false">
      <c r="A75" s="457" t="s">
        <v>119</v>
      </c>
      <c r="B75" s="436" t="n">
        <f aca="false">0.0022+0.0072+0.0097</f>
        <v>0.0191</v>
      </c>
      <c r="C75" s="421"/>
      <c r="D75" s="434" t="s">
        <v>667</v>
      </c>
      <c r="E75" s="436" t="n">
        <v>0.0972</v>
      </c>
      <c r="F75" s="447"/>
      <c r="G75" s="437" t="s">
        <v>119</v>
      </c>
      <c r="H75" s="438" t="n">
        <f aca="false">0.0022+0.0072</f>
        <v>0.0094</v>
      </c>
      <c r="I75" s="421"/>
      <c r="J75" s="439" t="s">
        <v>119</v>
      </c>
      <c r="K75" s="438" t="n">
        <f aca="false">0.0022</f>
        <v>0.0022</v>
      </c>
      <c r="L75" s="421"/>
      <c r="M75" s="502"/>
      <c r="N75" s="502"/>
      <c r="O75" s="421"/>
      <c r="P75" s="430"/>
      <c r="Q75" s="430"/>
      <c r="R75" s="444"/>
      <c r="S75" s="420"/>
      <c r="T75" s="420"/>
      <c r="U75" s="421"/>
      <c r="V75" s="420"/>
      <c r="W75" s="420"/>
      <c r="X75" s="421"/>
      <c r="Y75" s="421"/>
      <c r="Z75" s="421"/>
      <c r="AH75" s="483" t="n">
        <v>36465</v>
      </c>
      <c r="AQ75" s="483"/>
    </row>
    <row r="76" customFormat="false" ht="12.75" hidden="false" customHeight="false" outlineLevel="0" collapsed="false">
      <c r="A76" s="466" t="s">
        <v>796</v>
      </c>
      <c r="B76" s="448" t="n">
        <f aca="false">(+B4)/(1-0.0235)-B4</f>
        <v>0.113830005120327</v>
      </c>
      <c r="C76" s="447"/>
      <c r="D76" s="434" t="s">
        <v>119</v>
      </c>
      <c r="E76" s="436" t="n">
        <f aca="false">0.0072+0.0022+0.0097</f>
        <v>0.0191</v>
      </c>
      <c r="F76" s="449"/>
      <c r="G76" s="437" t="s">
        <v>826</v>
      </c>
      <c r="H76" s="494" t="n">
        <f aca="false">(H4)/(1-0.0597)-H4</f>
        <v>0.279675103690312</v>
      </c>
      <c r="I76" s="447"/>
      <c r="J76" s="439" t="s">
        <v>827</v>
      </c>
      <c r="K76" s="451" t="n">
        <f aca="false">(K3)/(1-0.024)-K3</f>
        <v>0.109180327868852</v>
      </c>
      <c r="L76" s="447"/>
      <c r="M76" s="498"/>
      <c r="N76" s="498"/>
      <c r="O76" s="447"/>
      <c r="P76" s="444"/>
      <c r="Q76" s="444"/>
      <c r="R76" s="454"/>
      <c r="S76" s="421"/>
      <c r="T76" s="421"/>
      <c r="U76" s="447"/>
      <c r="V76" s="421"/>
      <c r="W76" s="421"/>
      <c r="X76" s="447"/>
      <c r="Y76" s="447"/>
      <c r="Z76" s="447"/>
      <c r="AH76" s="485" t="s">
        <v>778</v>
      </c>
      <c r="AI76" s="482" t="n">
        <v>0</v>
      </c>
      <c r="AQ76" s="485"/>
      <c r="AR76" s="482"/>
    </row>
    <row r="77" customFormat="false" ht="12.75" hidden="false" customHeight="false" outlineLevel="0" collapsed="false">
      <c r="A77" s="434"/>
      <c r="B77" s="458" t="n">
        <f aca="false">SUM(B74:B76)</f>
        <v>0.146930005120327</v>
      </c>
      <c r="C77" s="449"/>
      <c r="D77" s="434" t="s">
        <v>671</v>
      </c>
      <c r="E77" s="448" t="n">
        <f aca="false">(2.25)/(1-0.0084)-2.25</f>
        <v>0.0190601048810004</v>
      </c>
      <c r="F77" s="414"/>
      <c r="G77" s="459"/>
      <c r="H77" s="460" t="n">
        <f aca="false">SUM(H74:H76)</f>
        <v>0.401675103690312</v>
      </c>
      <c r="I77" s="449"/>
      <c r="J77" s="439"/>
      <c r="K77" s="460" t="n">
        <f aca="false">SUM(K74:K76)</f>
        <v>0.130880327868852</v>
      </c>
      <c r="L77" s="449"/>
      <c r="M77" s="498"/>
      <c r="N77" s="498"/>
      <c r="O77" s="449"/>
      <c r="P77" s="444"/>
      <c r="Q77" s="444"/>
      <c r="R77" s="464"/>
      <c r="S77" s="421"/>
      <c r="T77" s="421"/>
      <c r="U77" s="449"/>
      <c r="V77" s="421"/>
      <c r="W77" s="421"/>
      <c r="X77" s="449"/>
      <c r="Y77" s="449"/>
      <c r="Z77" s="449"/>
      <c r="AH77" s="27" t="s">
        <v>779</v>
      </c>
      <c r="AI77" s="482" t="n">
        <v>0.007</v>
      </c>
      <c r="AR77" s="482"/>
    </row>
    <row r="78" customFormat="false" ht="12.75" hidden="false" customHeight="false" outlineLevel="0" collapsed="false">
      <c r="A78" s="434" t="s">
        <v>93</v>
      </c>
      <c r="B78" s="419" t="s">
        <v>828</v>
      </c>
      <c r="C78" s="414"/>
      <c r="D78" s="434"/>
      <c r="E78" s="458" t="n">
        <f aca="false">SUM(E75:E77)</f>
        <v>0.135360104881</v>
      </c>
      <c r="F78" s="421"/>
      <c r="G78" s="467" t="s">
        <v>648</v>
      </c>
      <c r="H78" s="468" t="s">
        <v>829</v>
      </c>
      <c r="I78" s="414"/>
      <c r="J78" s="424" t="s">
        <v>650</v>
      </c>
      <c r="K78" s="425" t="s">
        <v>830</v>
      </c>
      <c r="L78" s="414"/>
      <c r="M78" s="500"/>
      <c r="N78" s="500"/>
      <c r="O78" s="414"/>
      <c r="P78" s="454"/>
      <c r="Q78" s="454"/>
      <c r="R78" s="504"/>
      <c r="S78" s="447"/>
      <c r="T78" s="447"/>
      <c r="U78" s="414"/>
      <c r="V78" s="447"/>
      <c r="W78" s="447"/>
      <c r="X78" s="414"/>
      <c r="Y78" s="414"/>
      <c r="Z78" s="414"/>
      <c r="AH78" s="27" t="s">
        <v>785</v>
      </c>
      <c r="AI78" s="482" t="n">
        <v>0</v>
      </c>
      <c r="AR78" s="482"/>
    </row>
    <row r="79" customFormat="false" ht="12.75" hidden="false" customHeight="false" outlineLevel="0" collapsed="false">
      <c r="A79" s="434" t="s">
        <v>667</v>
      </c>
      <c r="B79" s="435" t="n">
        <v>0.0228</v>
      </c>
      <c r="C79" s="421"/>
      <c r="F79" s="421"/>
      <c r="G79" s="437" t="s">
        <v>667</v>
      </c>
      <c r="H79" s="438" t="n">
        <v>0.1503</v>
      </c>
      <c r="I79" s="421"/>
      <c r="J79" s="439" t="s">
        <v>667</v>
      </c>
      <c r="K79" s="438" t="n">
        <v>0.0177</v>
      </c>
      <c r="L79" s="421"/>
      <c r="M79" s="500"/>
      <c r="N79" s="500"/>
      <c r="O79" s="421"/>
      <c r="P79" s="464"/>
      <c r="Q79" s="464"/>
      <c r="R79" s="444"/>
      <c r="S79" s="449"/>
      <c r="T79" s="449"/>
      <c r="U79" s="421"/>
      <c r="V79" s="449"/>
      <c r="W79" s="449"/>
      <c r="X79" s="421"/>
      <c r="Y79" s="421"/>
      <c r="Z79" s="421"/>
      <c r="AI79" s="482"/>
      <c r="AR79" s="482"/>
    </row>
    <row r="80" customFormat="false" ht="12.75" hidden="false" customHeight="false" outlineLevel="0" collapsed="false">
      <c r="A80" s="457" t="s">
        <v>119</v>
      </c>
      <c r="B80" s="436" t="n">
        <f aca="false">0.0022+0.0072+0.0097</f>
        <v>0.0191</v>
      </c>
      <c r="C80" s="421"/>
      <c r="D80" s="476" t="s">
        <v>831</v>
      </c>
      <c r="E80" s="458"/>
      <c r="F80" s="447"/>
      <c r="G80" s="437" t="s">
        <v>119</v>
      </c>
      <c r="H80" s="438" t="n">
        <f aca="false">0.0022+0.0072</f>
        <v>0.0094</v>
      </c>
      <c r="I80" s="421"/>
      <c r="J80" s="439" t="s">
        <v>119</v>
      </c>
      <c r="K80" s="438" t="n">
        <f aca="false">0.0022+0.0072</f>
        <v>0.0094</v>
      </c>
      <c r="L80" s="421"/>
      <c r="M80" s="500"/>
      <c r="N80" s="500"/>
      <c r="O80" s="421"/>
      <c r="P80" s="504"/>
      <c r="Q80" s="504"/>
      <c r="R80" s="444"/>
      <c r="S80" s="414"/>
      <c r="T80" s="414"/>
      <c r="U80" s="421"/>
      <c r="V80" s="414"/>
      <c r="W80" s="414"/>
      <c r="X80" s="421"/>
      <c r="Y80" s="421"/>
      <c r="Z80" s="421"/>
      <c r="AH80" s="483" t="n">
        <v>36434</v>
      </c>
      <c r="AQ80" s="483"/>
    </row>
    <row r="81" customFormat="false" ht="12.75" hidden="false" customHeight="false" outlineLevel="0" collapsed="false">
      <c r="A81" s="420" t="s">
        <v>832</v>
      </c>
      <c r="B81" s="448" t="n">
        <f aca="false">B4/(1-0.0388)-B4</f>
        <v>0.190932168123179</v>
      </c>
      <c r="C81" s="447"/>
      <c r="D81" s="434" t="s">
        <v>667</v>
      </c>
      <c r="E81" s="436" t="n">
        <v>0.0448</v>
      </c>
      <c r="F81" s="449"/>
      <c r="G81" s="437" t="s">
        <v>833</v>
      </c>
      <c r="H81" s="450" t="n">
        <f aca="false">(H4)/(1-0.0667)-H4</f>
        <v>0.314811421836494</v>
      </c>
      <c r="I81" s="447"/>
      <c r="J81" s="439" t="s">
        <v>827</v>
      </c>
      <c r="K81" s="451" t="n">
        <f aca="false">(K3)/(1-0.024)-K3</f>
        <v>0.109180327868852</v>
      </c>
      <c r="L81" s="447"/>
      <c r="M81" s="502"/>
      <c r="N81" s="502"/>
      <c r="O81" s="447"/>
      <c r="P81" s="444"/>
      <c r="Q81" s="444"/>
      <c r="R81" s="454"/>
      <c r="S81" s="421"/>
      <c r="T81" s="421"/>
      <c r="U81" s="447"/>
      <c r="V81" s="421"/>
      <c r="W81" s="421"/>
      <c r="X81" s="447"/>
      <c r="Y81" s="447"/>
      <c r="Z81" s="447"/>
      <c r="AH81" s="485" t="s">
        <v>778</v>
      </c>
      <c r="AI81" s="482" t="n">
        <v>0</v>
      </c>
      <c r="AQ81" s="485"/>
      <c r="AR81" s="482"/>
    </row>
    <row r="82" customFormat="false" ht="12.75" hidden="false" customHeight="false" outlineLevel="0" collapsed="false">
      <c r="A82" s="421"/>
      <c r="B82" s="458" t="n">
        <f aca="false">SUM(B79:B81)</f>
        <v>0.232832168123179</v>
      </c>
      <c r="C82" s="449"/>
      <c r="D82" s="434" t="s">
        <v>119</v>
      </c>
      <c r="E82" s="436" t="n">
        <f aca="false">0.0072+0.0022+0.0097</f>
        <v>0.0191</v>
      </c>
      <c r="F82" s="414"/>
      <c r="G82" s="459"/>
      <c r="H82" s="460" t="n">
        <f aca="false">SUM(H79:H81)</f>
        <v>0.474511421836494</v>
      </c>
      <c r="I82" s="449"/>
      <c r="J82" s="439"/>
      <c r="K82" s="460" t="n">
        <f aca="false">SUM(K79:K81)</f>
        <v>0.136280327868852</v>
      </c>
      <c r="L82" s="449"/>
      <c r="M82" s="498"/>
      <c r="N82" s="498"/>
      <c r="O82" s="449"/>
      <c r="P82" s="444"/>
      <c r="Q82" s="444"/>
      <c r="R82" s="464"/>
      <c r="S82" s="421"/>
      <c r="T82" s="421"/>
      <c r="U82" s="449"/>
      <c r="V82" s="421"/>
      <c r="W82" s="421"/>
      <c r="X82" s="449"/>
      <c r="Y82" s="449"/>
      <c r="Z82" s="449"/>
      <c r="AH82" s="27" t="s">
        <v>779</v>
      </c>
      <c r="AI82" s="482" t="n">
        <v>0.007</v>
      </c>
      <c r="AR82" s="482"/>
    </row>
    <row r="83" customFormat="false" ht="14.1" hidden="false" customHeight="true" outlineLevel="0" collapsed="false">
      <c r="A83" s="447" t="s">
        <v>93</v>
      </c>
      <c r="B83" s="419" t="s">
        <v>834</v>
      </c>
      <c r="C83" s="414"/>
      <c r="D83" s="434" t="s">
        <v>679</v>
      </c>
      <c r="E83" s="448" t="n">
        <v>0</v>
      </c>
      <c r="F83" s="421"/>
      <c r="G83" s="467" t="s">
        <v>648</v>
      </c>
      <c r="H83" s="468" t="s">
        <v>835</v>
      </c>
      <c r="I83" s="414"/>
      <c r="J83" s="424" t="s">
        <v>650</v>
      </c>
      <c r="K83" s="425" t="s">
        <v>836</v>
      </c>
      <c r="L83" s="414"/>
      <c r="M83" s="503"/>
      <c r="N83" s="503"/>
      <c r="O83" s="414"/>
      <c r="P83" s="454"/>
      <c r="Q83" s="454"/>
      <c r="R83" s="504"/>
      <c r="S83" s="447"/>
      <c r="T83" s="447"/>
      <c r="U83" s="414"/>
      <c r="V83" s="447"/>
      <c r="W83" s="447"/>
      <c r="X83" s="414"/>
      <c r="Y83" s="414"/>
      <c r="Z83" s="414"/>
      <c r="AH83" s="27" t="s">
        <v>785</v>
      </c>
      <c r="AI83" s="482" t="n">
        <v>0</v>
      </c>
      <c r="AR83" s="482"/>
    </row>
    <row r="84" customFormat="false" ht="12.75" hidden="false" customHeight="false" outlineLevel="0" collapsed="false">
      <c r="A84" s="449" t="s">
        <v>667</v>
      </c>
      <c r="B84" s="435" t="n">
        <v>0.0274</v>
      </c>
      <c r="C84" s="421"/>
      <c r="D84" s="434"/>
      <c r="E84" s="458" t="n">
        <f aca="false">SUM(E81:E83)</f>
        <v>0.0639</v>
      </c>
      <c r="F84" s="421"/>
      <c r="G84" s="437" t="s">
        <v>667</v>
      </c>
      <c r="H84" s="438" t="n">
        <v>0.0783</v>
      </c>
      <c r="I84" s="421"/>
      <c r="J84" s="439" t="s">
        <v>667</v>
      </c>
      <c r="K84" s="438" t="n">
        <v>0.0177</v>
      </c>
      <c r="L84" s="421"/>
      <c r="M84" s="499"/>
      <c r="N84" s="499"/>
      <c r="O84" s="421"/>
      <c r="P84" s="505"/>
      <c r="Q84" s="506"/>
      <c r="R84" s="444"/>
      <c r="S84" s="507"/>
      <c r="T84" s="508"/>
      <c r="U84" s="421"/>
      <c r="V84" s="507"/>
      <c r="W84" s="508"/>
      <c r="X84" s="421"/>
      <c r="Y84" s="421"/>
      <c r="Z84" s="421"/>
      <c r="AI84" s="482"/>
      <c r="AR84" s="482"/>
    </row>
    <row r="85" customFormat="false" ht="12.75" hidden="false" customHeight="false" outlineLevel="0" collapsed="false">
      <c r="A85" s="420" t="s">
        <v>119</v>
      </c>
      <c r="B85" s="436" t="n">
        <f aca="false">0.0022+0.0072+0.0097</f>
        <v>0.0191</v>
      </c>
      <c r="C85" s="421"/>
      <c r="F85" s="447"/>
      <c r="G85" s="437" t="s">
        <v>119</v>
      </c>
      <c r="H85" s="438" t="n">
        <f aca="false">0.0022+0.0072</f>
        <v>0.0094</v>
      </c>
      <c r="I85" s="421"/>
      <c r="J85" s="439" t="s">
        <v>119</v>
      </c>
      <c r="K85" s="438" t="n">
        <f aca="false">0.0022+0.0072</f>
        <v>0.0094</v>
      </c>
      <c r="L85" s="421"/>
      <c r="M85" s="499"/>
      <c r="N85" s="499"/>
      <c r="O85" s="421"/>
      <c r="P85" s="504"/>
      <c r="Q85" s="504"/>
      <c r="R85" s="444"/>
      <c r="S85" s="414"/>
      <c r="T85" s="414"/>
      <c r="U85" s="421"/>
      <c r="V85" s="414"/>
      <c r="W85" s="414"/>
      <c r="X85" s="421"/>
      <c r="Y85" s="421"/>
      <c r="Z85" s="421"/>
      <c r="AH85" s="483" t="n">
        <v>36404</v>
      </c>
      <c r="AQ85" s="483"/>
    </row>
    <row r="86" customFormat="false" ht="12.75" hidden="false" customHeight="false" outlineLevel="0" collapsed="false">
      <c r="A86" s="421" t="s">
        <v>805</v>
      </c>
      <c r="B86" s="448" t="n">
        <f aca="false">B4/(1-0.0472)-B4</f>
        <v>0.23431570109152</v>
      </c>
      <c r="C86" s="447"/>
      <c r="F86" s="449"/>
      <c r="G86" s="437" t="s">
        <v>837</v>
      </c>
      <c r="H86" s="450" t="n">
        <f aca="false">(H4)/(1-0.0358)-H4</f>
        <v>0.163554241858535</v>
      </c>
      <c r="I86" s="447"/>
      <c r="J86" s="439" t="s">
        <v>827</v>
      </c>
      <c r="K86" s="451" t="n">
        <f aca="false">(K4)/(1-0.024)-K4</f>
        <v>0.108934426229508</v>
      </c>
      <c r="L86" s="447"/>
      <c r="M86" s="502"/>
      <c r="N86" s="502"/>
      <c r="O86" s="447"/>
      <c r="P86" s="444"/>
      <c r="Q86" s="444"/>
      <c r="R86" s="454"/>
      <c r="S86" s="421"/>
      <c r="T86" s="421"/>
      <c r="U86" s="447"/>
      <c r="V86" s="421"/>
      <c r="W86" s="421"/>
      <c r="X86" s="447"/>
      <c r="Y86" s="447"/>
      <c r="Z86" s="447"/>
      <c r="AH86" s="485" t="s">
        <v>778</v>
      </c>
      <c r="AI86" s="482" t="n">
        <v>0</v>
      </c>
      <c r="AQ86" s="485"/>
      <c r="AR86" s="482"/>
    </row>
    <row r="87" customFormat="false" ht="12.75" hidden="false" customHeight="false" outlineLevel="0" collapsed="false">
      <c r="A87" s="421"/>
      <c r="B87" s="458" t="n">
        <f aca="false">SUM(B84:B86)</f>
        <v>0.28081570109152</v>
      </c>
      <c r="C87" s="449"/>
      <c r="F87" s="414"/>
      <c r="G87" s="459"/>
      <c r="H87" s="460" t="n">
        <f aca="false">SUM(H84:H86)</f>
        <v>0.251254241858535</v>
      </c>
      <c r="I87" s="449"/>
      <c r="J87" s="439"/>
      <c r="K87" s="460" t="n">
        <f aca="false">SUM(K84:K86)</f>
        <v>0.136034426229508</v>
      </c>
      <c r="L87" s="449"/>
      <c r="M87" s="498"/>
      <c r="N87" s="498"/>
      <c r="O87" s="449"/>
      <c r="P87" s="444"/>
      <c r="Q87" s="444"/>
      <c r="R87" s="464"/>
      <c r="S87" s="421"/>
      <c r="T87" s="421"/>
      <c r="U87" s="449"/>
      <c r="V87" s="421"/>
      <c r="W87" s="421"/>
      <c r="X87" s="449"/>
      <c r="Y87" s="449"/>
      <c r="Z87" s="449"/>
      <c r="AH87" s="27" t="s">
        <v>779</v>
      </c>
      <c r="AI87" s="482" t="n">
        <v>0.004</v>
      </c>
      <c r="AR87" s="482"/>
    </row>
    <row r="88" customFormat="false" ht="12.75" hidden="false" customHeight="false" outlineLevel="0" collapsed="false">
      <c r="A88" s="447" t="s">
        <v>93</v>
      </c>
      <c r="B88" s="458" t="s">
        <v>838</v>
      </c>
      <c r="C88" s="414"/>
      <c r="F88" s="421"/>
      <c r="G88" s="467" t="s">
        <v>648</v>
      </c>
      <c r="H88" s="468" t="s">
        <v>839</v>
      </c>
      <c r="I88" s="414"/>
      <c r="J88" s="424" t="s">
        <v>650</v>
      </c>
      <c r="K88" s="425" t="s">
        <v>840</v>
      </c>
      <c r="L88" s="414"/>
      <c r="O88" s="414"/>
      <c r="P88" s="454"/>
      <c r="Q88" s="454"/>
      <c r="R88" s="504"/>
      <c r="S88" s="447"/>
      <c r="T88" s="447"/>
      <c r="U88" s="414"/>
      <c r="V88" s="447"/>
      <c r="W88" s="447"/>
      <c r="X88" s="414"/>
      <c r="Y88" s="449"/>
      <c r="Z88" s="449"/>
      <c r="AH88" s="27" t="s">
        <v>785</v>
      </c>
      <c r="AI88" s="482" t="n">
        <v>0</v>
      </c>
      <c r="AR88" s="482"/>
    </row>
    <row r="89" customFormat="false" ht="12.75" hidden="false" customHeight="false" outlineLevel="0" collapsed="false">
      <c r="A89" s="449" t="s">
        <v>667</v>
      </c>
      <c r="B89" s="436" t="n">
        <v>0.0115</v>
      </c>
      <c r="C89" s="421"/>
      <c r="F89" s="421"/>
      <c r="G89" s="437" t="s">
        <v>667</v>
      </c>
      <c r="H89" s="438" t="n">
        <f aca="false">0.0511-0.0022-0.0088</f>
        <v>0.0401</v>
      </c>
      <c r="I89" s="421"/>
      <c r="J89" s="439" t="s">
        <v>667</v>
      </c>
      <c r="K89" s="438" t="n">
        <v>0.0649</v>
      </c>
      <c r="L89" s="421"/>
      <c r="M89" s="503"/>
      <c r="N89" s="503"/>
      <c r="O89" s="421"/>
      <c r="P89" s="464"/>
      <c r="Q89" s="464"/>
      <c r="R89" s="444"/>
      <c r="S89" s="449"/>
      <c r="T89" s="449"/>
      <c r="U89" s="421"/>
      <c r="V89" s="449"/>
      <c r="W89" s="449"/>
      <c r="X89" s="421"/>
      <c r="Y89" s="477"/>
      <c r="Z89" s="477"/>
      <c r="AI89" s="482"/>
      <c r="AR89" s="482"/>
    </row>
    <row r="90" customFormat="false" ht="12.75" hidden="false" customHeight="false" outlineLevel="0" collapsed="false">
      <c r="A90" s="414" t="s">
        <v>119</v>
      </c>
      <c r="B90" s="436" t="n">
        <f aca="false">0.0022+0.0072+0.0097</f>
        <v>0.0191</v>
      </c>
      <c r="C90" s="421"/>
      <c r="F90" s="447"/>
      <c r="G90" s="437" t="s">
        <v>119</v>
      </c>
      <c r="H90" s="438" t="n">
        <f aca="false">0.0022+0.0072</f>
        <v>0.0094</v>
      </c>
      <c r="I90" s="421"/>
      <c r="J90" s="439" t="s">
        <v>119</v>
      </c>
      <c r="K90" s="438" t="n">
        <f aca="false">0.0022+0.0072</f>
        <v>0.0094</v>
      </c>
      <c r="L90" s="421"/>
      <c r="M90" s="499"/>
      <c r="N90" s="499"/>
      <c r="O90" s="421"/>
      <c r="P90" s="504"/>
      <c r="Q90" s="504"/>
      <c r="R90" s="444"/>
      <c r="S90" s="414"/>
      <c r="T90" s="414"/>
      <c r="U90" s="421"/>
      <c r="V90" s="414"/>
      <c r="W90" s="414"/>
      <c r="X90" s="421"/>
      <c r="Y90" s="477"/>
      <c r="Z90" s="477"/>
      <c r="AH90" s="483" t="n">
        <v>36312</v>
      </c>
      <c r="AQ90" s="483"/>
    </row>
    <row r="91" customFormat="false" ht="12.75" hidden="false" customHeight="false" outlineLevel="0" collapsed="false">
      <c r="A91" s="421" t="s">
        <v>811</v>
      </c>
      <c r="B91" s="448" t="n">
        <f aca="false">(B3)/(1-0.019)-B3</f>
        <v>0.0868654434250766</v>
      </c>
      <c r="C91" s="447"/>
      <c r="F91" s="449"/>
      <c r="G91" s="437" t="s">
        <v>841</v>
      </c>
      <c r="H91" s="451" t="n">
        <f aca="false">(H5)/(1-0.0101)-H5</f>
        <v>0.0473421557733102</v>
      </c>
      <c r="I91" s="447"/>
      <c r="J91" s="439" t="s">
        <v>805</v>
      </c>
      <c r="K91" s="451" t="n">
        <f aca="false">(K2)/(1-0.0472)-K2</f>
        <v>0.218958858102435</v>
      </c>
      <c r="L91" s="447"/>
      <c r="M91" s="499"/>
      <c r="N91" s="499"/>
      <c r="O91" s="447"/>
      <c r="P91" s="444"/>
      <c r="Q91" s="444"/>
      <c r="R91" s="454"/>
      <c r="S91" s="421"/>
      <c r="T91" s="421"/>
      <c r="U91" s="447"/>
      <c r="V91" s="421"/>
      <c r="W91" s="421"/>
      <c r="X91" s="447"/>
      <c r="Y91" s="477"/>
      <c r="Z91" s="477"/>
      <c r="AH91" s="485" t="s">
        <v>778</v>
      </c>
      <c r="AI91" s="482" t="n">
        <v>0.002</v>
      </c>
      <c r="AQ91" s="485"/>
      <c r="AR91" s="482"/>
    </row>
    <row r="92" customFormat="false" ht="12.75" hidden="false" customHeight="false" outlineLevel="0" collapsed="false">
      <c r="A92" s="421"/>
      <c r="B92" s="458" t="n">
        <f aca="false">SUM(B89:B91)</f>
        <v>0.117465443425077</v>
      </c>
      <c r="C92" s="449"/>
      <c r="F92" s="449"/>
      <c r="G92" s="459"/>
      <c r="H92" s="460" t="n">
        <f aca="false">SUM(H89:H91)</f>
        <v>0.0968421557733102</v>
      </c>
      <c r="I92" s="449"/>
      <c r="J92" s="439"/>
      <c r="K92" s="460" t="n">
        <f aca="false">SUM(K89:K91)</f>
        <v>0.293258858102435</v>
      </c>
      <c r="L92" s="449"/>
      <c r="M92" s="502"/>
      <c r="N92" s="502"/>
      <c r="O92" s="449"/>
      <c r="P92" s="444"/>
      <c r="Q92" s="444"/>
      <c r="R92" s="464"/>
      <c r="S92" s="421"/>
      <c r="T92" s="421"/>
      <c r="U92" s="449"/>
      <c r="V92" s="421"/>
      <c r="W92" s="421"/>
      <c r="X92" s="449"/>
      <c r="Y92" s="447"/>
      <c r="Z92" s="447"/>
      <c r="AH92" s="27" t="s">
        <v>779</v>
      </c>
      <c r="AI92" s="482" t="n">
        <v>0.005</v>
      </c>
      <c r="AR92" s="482"/>
    </row>
    <row r="93" customFormat="false" ht="12.75" hidden="false" customHeight="false" outlineLevel="0" collapsed="false">
      <c r="A93" s="447" t="s">
        <v>93</v>
      </c>
      <c r="B93" s="458" t="s">
        <v>842</v>
      </c>
      <c r="C93" s="414"/>
      <c r="F93" s="477"/>
      <c r="G93" s="467" t="s">
        <v>648</v>
      </c>
      <c r="H93" s="468" t="s">
        <v>843</v>
      </c>
      <c r="I93" s="449"/>
      <c r="J93" s="424" t="s">
        <v>650</v>
      </c>
      <c r="K93" s="425" t="s">
        <v>844</v>
      </c>
      <c r="L93" s="449"/>
      <c r="M93" s="498"/>
      <c r="N93" s="498"/>
      <c r="O93" s="449"/>
      <c r="P93" s="454"/>
      <c r="Q93" s="454"/>
      <c r="R93" s="504"/>
      <c r="S93" s="447"/>
      <c r="T93" s="447"/>
      <c r="U93" s="414"/>
      <c r="V93" s="447"/>
      <c r="W93" s="447"/>
      <c r="X93" s="414"/>
      <c r="Y93" s="449"/>
      <c r="Z93" s="449"/>
      <c r="AH93" s="27" t="s">
        <v>785</v>
      </c>
      <c r="AI93" s="482" t="n">
        <v>0.002</v>
      </c>
      <c r="AR93" s="482"/>
    </row>
    <row r="94" customFormat="false" ht="12.75" hidden="false" customHeight="false" outlineLevel="0" collapsed="false">
      <c r="A94" s="507" t="s">
        <v>667</v>
      </c>
      <c r="B94" s="436" t="n">
        <v>0.0203</v>
      </c>
      <c r="C94" s="421"/>
      <c r="F94" s="477"/>
      <c r="G94" s="437" t="s">
        <v>667</v>
      </c>
      <c r="H94" s="438" t="n">
        <f aca="false">0.0945-0.0022-0.0088</f>
        <v>0.0835</v>
      </c>
      <c r="I94" s="477"/>
      <c r="J94" s="439" t="s">
        <v>667</v>
      </c>
      <c r="K94" s="438" t="n">
        <v>0.0863</v>
      </c>
      <c r="L94" s="477"/>
      <c r="M94" s="503"/>
      <c r="N94" s="503"/>
      <c r="O94" s="477"/>
      <c r="P94" s="505"/>
      <c r="Q94" s="506"/>
      <c r="R94" s="444"/>
      <c r="S94" s="507"/>
      <c r="T94" s="508"/>
      <c r="U94" s="421"/>
      <c r="V94" s="507"/>
      <c r="W94" s="508"/>
      <c r="X94" s="421"/>
      <c r="Y94" s="414"/>
      <c r="Z94" s="414"/>
      <c r="AI94" s="482"/>
      <c r="AR94" s="482"/>
    </row>
    <row r="95" customFormat="false" ht="12.75" hidden="false" customHeight="false" outlineLevel="0" collapsed="false">
      <c r="A95" s="414" t="s">
        <v>119</v>
      </c>
      <c r="B95" s="436" t="n">
        <f aca="false">0.0022+0.0072+0.0097</f>
        <v>0.0191</v>
      </c>
      <c r="C95" s="421"/>
      <c r="F95" s="447"/>
      <c r="G95" s="437" t="s">
        <v>119</v>
      </c>
      <c r="H95" s="438" t="n">
        <f aca="false">0.0022+0.0072</f>
        <v>0.0094</v>
      </c>
      <c r="I95" s="477" t="s">
        <v>1</v>
      </c>
      <c r="J95" s="439" t="s">
        <v>119</v>
      </c>
      <c r="K95" s="438" t="n">
        <f aca="false">0.0022+0.0072</f>
        <v>0.0094</v>
      </c>
      <c r="L95" s="477"/>
      <c r="M95" s="499"/>
      <c r="N95" s="499"/>
      <c r="O95" s="477"/>
      <c r="P95" s="504"/>
      <c r="Q95" s="504"/>
      <c r="R95" s="444"/>
      <c r="S95" s="414"/>
      <c r="T95" s="414"/>
      <c r="U95" s="421"/>
      <c r="V95" s="414"/>
      <c r="W95" s="414"/>
      <c r="X95" s="421"/>
      <c r="Y95" s="421"/>
      <c r="Z95" s="421"/>
      <c r="AH95" s="483" t="n">
        <v>36281</v>
      </c>
      <c r="AQ95" s="483"/>
    </row>
    <row r="96" customFormat="false" ht="12.75" hidden="false" customHeight="false" outlineLevel="0" collapsed="false">
      <c r="A96" s="421" t="s">
        <v>845</v>
      </c>
      <c r="B96" s="448" t="n">
        <f aca="false">(B3)/(1-0.0343)-B3</f>
        <v>0.159299471885679</v>
      </c>
      <c r="C96" s="447"/>
      <c r="F96" s="449"/>
      <c r="G96" s="437" t="s">
        <v>846</v>
      </c>
      <c r="H96" s="451" t="n">
        <f aca="false">(H5)/(1-0.0192)-H5</f>
        <v>0.0908319738988581</v>
      </c>
      <c r="I96" s="447"/>
      <c r="J96" s="439" t="s">
        <v>754</v>
      </c>
      <c r="K96" s="451" t="n">
        <f aca="false">(K2)/(1-0.0612)-K2</f>
        <v>0.288138048572646</v>
      </c>
      <c r="L96" s="447"/>
      <c r="M96" s="499"/>
      <c r="N96" s="499"/>
      <c r="O96" s="447"/>
      <c r="P96" s="444"/>
      <c r="Q96" s="444"/>
      <c r="R96" s="454"/>
      <c r="S96" s="421"/>
      <c r="T96" s="421"/>
      <c r="U96" s="447"/>
      <c r="V96" s="421"/>
      <c r="W96" s="421"/>
      <c r="X96" s="447"/>
      <c r="Y96" s="421"/>
      <c r="Z96" s="421"/>
      <c r="AH96" s="485" t="s">
        <v>778</v>
      </c>
      <c r="AI96" s="482" t="n">
        <v>0.002</v>
      </c>
      <c r="AQ96" s="485"/>
      <c r="AR96" s="482"/>
    </row>
    <row r="97" customFormat="false" ht="12.75" hidden="false" customHeight="false" outlineLevel="0" collapsed="false">
      <c r="A97" s="421"/>
      <c r="B97" s="458" t="n">
        <f aca="false">SUM(B94:B96)</f>
        <v>0.198699471885679</v>
      </c>
      <c r="C97" s="449"/>
      <c r="F97" s="414"/>
      <c r="G97" s="459"/>
      <c r="H97" s="460" t="n">
        <f aca="false">SUM(H94:H96)</f>
        <v>0.183731973898858</v>
      </c>
      <c r="I97" s="449"/>
      <c r="J97" s="439"/>
      <c r="K97" s="460" t="n">
        <f aca="false">SUM(K94:K96)</f>
        <v>0.383838048572646</v>
      </c>
      <c r="L97" s="449"/>
      <c r="M97" s="502"/>
      <c r="N97" s="502"/>
      <c r="O97" s="449"/>
      <c r="P97" s="444"/>
      <c r="Q97" s="444"/>
      <c r="R97" s="464"/>
      <c r="S97" s="421"/>
      <c r="T97" s="421"/>
      <c r="U97" s="449"/>
      <c r="V97" s="421"/>
      <c r="W97" s="421"/>
      <c r="X97" s="449"/>
      <c r="Y97" s="447"/>
      <c r="Z97" s="447"/>
      <c r="AH97" s="27" t="s">
        <v>779</v>
      </c>
      <c r="AI97" s="482" t="n">
        <v>0.005</v>
      </c>
      <c r="AR97" s="482"/>
    </row>
    <row r="98" customFormat="false" ht="12.75" hidden="false" customHeight="false" outlineLevel="0" collapsed="false">
      <c r="A98" s="447" t="s">
        <v>93</v>
      </c>
      <c r="B98" s="458" t="s">
        <v>847</v>
      </c>
      <c r="C98" s="449"/>
      <c r="F98" s="421"/>
      <c r="G98" s="467" t="s">
        <v>648</v>
      </c>
      <c r="H98" s="480" t="s">
        <v>848</v>
      </c>
      <c r="I98" s="414"/>
      <c r="J98" s="424" t="s">
        <v>650</v>
      </c>
      <c r="K98" s="425" t="s">
        <v>849</v>
      </c>
      <c r="L98" s="414"/>
      <c r="M98" s="498"/>
      <c r="N98" s="498"/>
      <c r="O98" s="414"/>
      <c r="P98" s="454"/>
      <c r="Q98" s="454"/>
      <c r="R98" s="464"/>
      <c r="S98" s="447"/>
      <c r="T98" s="447"/>
      <c r="U98" s="449"/>
      <c r="V98" s="447"/>
      <c r="W98" s="447"/>
      <c r="X98" s="449"/>
      <c r="Y98" s="449"/>
      <c r="Z98" s="449"/>
      <c r="AH98" s="27" t="s">
        <v>785</v>
      </c>
      <c r="AI98" s="482" t="n">
        <v>0.002</v>
      </c>
      <c r="AR98" s="482"/>
    </row>
    <row r="99" customFormat="false" ht="12.75" hidden="false" customHeight="false" outlineLevel="0" collapsed="false">
      <c r="A99" s="507" t="s">
        <v>667</v>
      </c>
      <c r="B99" s="436" t="n">
        <v>0.0249</v>
      </c>
      <c r="C99" s="477"/>
      <c r="F99" s="421"/>
      <c r="G99" s="459" t="s">
        <v>667</v>
      </c>
      <c r="H99" s="438" t="n">
        <v>0.0427</v>
      </c>
      <c r="I99" s="421"/>
      <c r="J99" s="439" t="s">
        <v>667</v>
      </c>
      <c r="K99" s="438" t="n">
        <v>0.1012</v>
      </c>
      <c r="L99" s="421"/>
      <c r="O99" s="421"/>
      <c r="P99" s="464"/>
      <c r="Q99" s="464"/>
      <c r="R99" s="481"/>
      <c r="S99" s="449"/>
      <c r="T99" s="449"/>
      <c r="U99" s="477"/>
      <c r="V99" s="449"/>
      <c r="W99" s="449"/>
      <c r="X99" s="477"/>
      <c r="AI99" s="482"/>
      <c r="AR99" s="482"/>
    </row>
    <row r="100" customFormat="false" ht="12.75" hidden="false" customHeight="false" outlineLevel="0" collapsed="false">
      <c r="A100" s="414" t="s">
        <v>119</v>
      </c>
      <c r="B100" s="436" t="n">
        <f aca="false">0.0022+0.0072+0.0097</f>
        <v>0.0191</v>
      </c>
      <c r="C100" s="477"/>
      <c r="F100" s="421"/>
      <c r="G100" s="459" t="s">
        <v>119</v>
      </c>
      <c r="H100" s="438" t="n">
        <f aca="false">0.0022+0.0072</f>
        <v>0.0094</v>
      </c>
      <c r="I100" s="421"/>
      <c r="J100" s="439" t="s">
        <v>119</v>
      </c>
      <c r="K100" s="438" t="n">
        <f aca="false">0.0022+0.0072</f>
        <v>0.0094</v>
      </c>
      <c r="L100" s="421"/>
      <c r="O100" s="421"/>
      <c r="P100" s="504"/>
      <c r="Q100" s="504"/>
      <c r="R100" s="481"/>
      <c r="S100" s="414"/>
      <c r="T100" s="414"/>
      <c r="U100" s="477"/>
      <c r="V100" s="414"/>
      <c r="W100" s="414"/>
      <c r="X100" s="477"/>
      <c r="Y100" s="414"/>
      <c r="Z100" s="414"/>
      <c r="AH100" s="483" t="n">
        <v>36251</v>
      </c>
      <c r="AQ100" s="483"/>
    </row>
    <row r="101" customFormat="false" ht="12.75" hidden="false" customHeight="false" outlineLevel="0" collapsed="false">
      <c r="A101" s="421" t="s">
        <v>850</v>
      </c>
      <c r="B101" s="448" t="n">
        <f aca="false">(B3)/(1-0.0427)-B3</f>
        <v>0.200051707928549</v>
      </c>
      <c r="C101" s="477"/>
      <c r="F101" s="447"/>
      <c r="G101" s="459" t="s">
        <v>851</v>
      </c>
      <c r="H101" s="451" t="n">
        <f aca="false">(+H5)/(1-0.0117)-H5</f>
        <v>0.0549306890620258</v>
      </c>
      <c r="I101" s="421"/>
      <c r="J101" s="439" t="s">
        <v>766</v>
      </c>
      <c r="K101" s="451" t="n">
        <f aca="false">(K2)/(1-0.0705)-K2</f>
        <v>0.335244755244755</v>
      </c>
      <c r="L101" s="421"/>
      <c r="O101" s="421"/>
      <c r="P101" s="444"/>
      <c r="Q101" s="444"/>
      <c r="R101" s="481"/>
      <c r="S101" s="421"/>
      <c r="T101" s="421"/>
      <c r="U101" s="477"/>
      <c r="V101" s="421"/>
      <c r="W101" s="421"/>
      <c r="X101" s="477"/>
      <c r="Y101" s="421"/>
      <c r="Z101" s="421"/>
      <c r="AH101" s="485" t="s">
        <v>778</v>
      </c>
      <c r="AI101" s="482" t="n">
        <v>0.002</v>
      </c>
      <c r="AQ101" s="485"/>
      <c r="AR101" s="482"/>
    </row>
    <row r="102" customFormat="false" ht="12.75" hidden="false" customHeight="false" outlineLevel="0" collapsed="false">
      <c r="A102" s="421"/>
      <c r="B102" s="458" t="n">
        <f aca="false">SUM(B99:B101)</f>
        <v>0.244051707928549</v>
      </c>
      <c r="C102" s="447"/>
      <c r="F102" s="449"/>
      <c r="G102" s="459"/>
      <c r="H102" s="460" t="n">
        <f aca="false">SUM(H99:H101)</f>
        <v>0.107030689062026</v>
      </c>
      <c r="I102" s="447"/>
      <c r="J102" s="439"/>
      <c r="K102" s="460" t="n">
        <f aca="false">SUM(K99:K101)</f>
        <v>0.445844755244755</v>
      </c>
      <c r="L102" s="447"/>
      <c r="O102" s="447"/>
      <c r="P102" s="444" t="n">
        <f aca="false">+'Offseason Rate'!B102+'Offseason Rate'!B3</f>
        <v>4.4922620745543</v>
      </c>
      <c r="Q102" s="444" t="n">
        <f aca="false">+P102*0.6</f>
        <v>2.69535724473258</v>
      </c>
      <c r="R102" s="454"/>
      <c r="S102" s="421" t="n">
        <f aca="false">+'Offseason Rate'!E102+'Offseason Rate'!E3</f>
        <v>2.80162055417253</v>
      </c>
      <c r="T102" s="421" t="n">
        <f aca="false">+S102*0.6</f>
        <v>1.68097233250352</v>
      </c>
      <c r="U102" s="447"/>
      <c r="V102" s="421"/>
      <c r="W102" s="421"/>
      <c r="X102" s="447"/>
      <c r="Y102" s="421"/>
      <c r="Z102" s="421"/>
      <c r="AH102" s="27" t="s">
        <v>779</v>
      </c>
      <c r="AI102" s="482" t="n">
        <v>0.007</v>
      </c>
      <c r="AR102" s="482"/>
    </row>
    <row r="103" customFormat="false" ht="12.75" hidden="false" customHeight="false" outlineLevel="0" collapsed="false">
      <c r="A103" s="447" t="s">
        <v>93</v>
      </c>
      <c r="B103" s="458" t="s">
        <v>852</v>
      </c>
      <c r="C103" s="449"/>
      <c r="G103" s="509" t="s">
        <v>853</v>
      </c>
      <c r="H103" s="480" t="s">
        <v>854</v>
      </c>
      <c r="I103" s="449"/>
      <c r="J103" s="424" t="s">
        <v>650</v>
      </c>
      <c r="K103" s="425" t="s">
        <v>855</v>
      </c>
      <c r="L103" s="449"/>
      <c r="O103" s="449"/>
      <c r="P103" s="454"/>
      <c r="Q103" s="454"/>
      <c r="R103" s="464"/>
      <c r="S103" s="447"/>
      <c r="T103" s="447"/>
      <c r="U103" s="449"/>
      <c r="V103" s="447"/>
      <c r="W103" s="447"/>
      <c r="X103" s="449"/>
      <c r="Y103" s="447"/>
      <c r="Z103" s="447"/>
      <c r="AH103" s="27" t="s">
        <v>785</v>
      </c>
      <c r="AI103" s="482" t="n">
        <v>0.002</v>
      </c>
      <c r="AR103" s="482"/>
    </row>
    <row r="104" customFormat="false" ht="12.75" hidden="false" customHeight="false" outlineLevel="0" collapsed="false">
      <c r="A104" s="449" t="s">
        <v>667</v>
      </c>
      <c r="B104" s="436" t="n">
        <v>0.0034</v>
      </c>
      <c r="C104" s="414"/>
      <c r="F104" s="414"/>
      <c r="G104" s="459" t="s">
        <v>667</v>
      </c>
      <c r="H104" s="438" t="n">
        <v>0.0427</v>
      </c>
      <c r="J104" s="439" t="s">
        <v>667</v>
      </c>
      <c r="K104" s="438" t="n">
        <v>0.0177</v>
      </c>
      <c r="P104" s="464"/>
      <c r="Q104" s="464"/>
      <c r="R104" s="504"/>
      <c r="S104" s="449"/>
      <c r="T104" s="449"/>
      <c r="U104" s="414"/>
      <c r="V104" s="449"/>
      <c r="W104" s="449"/>
      <c r="X104" s="414"/>
      <c r="Y104" s="449"/>
      <c r="Z104" s="449"/>
      <c r="AI104" s="482"/>
      <c r="AR104" s="482"/>
    </row>
    <row r="105" customFormat="false" ht="12.75" hidden="false" customHeight="false" outlineLevel="0" collapsed="false">
      <c r="A105" s="414" t="s">
        <v>119</v>
      </c>
      <c r="B105" s="436" t="n">
        <v>0</v>
      </c>
      <c r="C105" s="421"/>
      <c r="F105" s="421"/>
      <c r="G105" s="459" t="s">
        <v>119</v>
      </c>
      <c r="H105" s="438" t="n">
        <f aca="false">0.0022+0.0072</f>
        <v>0.0094</v>
      </c>
      <c r="I105" s="414"/>
      <c r="J105" s="439" t="s">
        <v>119</v>
      </c>
      <c r="K105" s="438" t="n">
        <f aca="false">0.0022+0.0072</f>
        <v>0.0094</v>
      </c>
      <c r="L105" s="414"/>
      <c r="O105" s="414"/>
      <c r="P105" s="464"/>
      <c r="Q105" s="464"/>
      <c r="R105" s="444"/>
      <c r="S105" s="449"/>
      <c r="T105" s="449"/>
      <c r="U105" s="421"/>
      <c r="V105" s="449"/>
      <c r="W105" s="449"/>
      <c r="X105" s="421"/>
      <c r="Y105" s="414"/>
      <c r="Z105" s="414"/>
      <c r="AH105" s="483" t="n">
        <v>36220</v>
      </c>
      <c r="AQ105" s="483"/>
    </row>
    <row r="106" customFormat="false" ht="12.75" hidden="false" customHeight="false" outlineLevel="0" collapsed="false">
      <c r="A106" s="421" t="s">
        <v>819</v>
      </c>
      <c r="B106" s="448" t="n">
        <f aca="false">(B3-0.09)/(1-0.0059)-(B3-0.09)</f>
        <v>0.0260843979478924</v>
      </c>
      <c r="C106" s="421"/>
      <c r="F106" s="421"/>
      <c r="G106" s="459" t="s">
        <v>856</v>
      </c>
      <c r="H106" s="451" t="n">
        <f aca="false">(+H5)/(1-0.005)-H5</f>
        <v>0.0233165829145729</v>
      </c>
      <c r="I106" s="421"/>
      <c r="J106" s="439" t="s">
        <v>827</v>
      </c>
      <c r="K106" s="451" t="n">
        <f aca="false">(K3)/(1-0.024)-K3</f>
        <v>0.109180327868852</v>
      </c>
      <c r="L106" s="421"/>
      <c r="O106" s="421"/>
      <c r="P106" s="481"/>
      <c r="Q106" s="481"/>
      <c r="R106" s="444"/>
      <c r="S106" s="477"/>
      <c r="T106" s="477"/>
      <c r="U106" s="421"/>
      <c r="V106" s="477"/>
      <c r="W106" s="477"/>
      <c r="X106" s="421"/>
      <c r="Y106" s="421"/>
      <c r="Z106" s="421"/>
      <c r="AH106" s="485" t="s">
        <v>778</v>
      </c>
      <c r="AI106" s="482" t="n">
        <v>0.001</v>
      </c>
      <c r="AQ106" s="485"/>
      <c r="AR106" s="482"/>
    </row>
    <row r="107" customFormat="false" ht="12.75" hidden="false" customHeight="false" outlineLevel="0" collapsed="false">
      <c r="A107" s="421"/>
      <c r="B107" s="458" t="n">
        <f aca="false">SUM(B104:B106)</f>
        <v>0.0294843979478924</v>
      </c>
      <c r="C107" s="447"/>
      <c r="F107" s="447"/>
      <c r="G107" s="459"/>
      <c r="H107" s="460" t="n">
        <f aca="false">SUM(H104:H106)</f>
        <v>0.075416582914573</v>
      </c>
      <c r="I107" s="421"/>
      <c r="J107" s="439"/>
      <c r="K107" s="460" t="n">
        <f aca="false">SUM(K104:K106)</f>
        <v>0.136280327868852</v>
      </c>
      <c r="L107" s="421"/>
      <c r="O107" s="421"/>
      <c r="P107" s="481" t="n">
        <f aca="false">+'Offseason Rate'!B107+'Offseason Rate'!B3</f>
        <v>4.56504606271065</v>
      </c>
      <c r="Q107" s="481" t="n">
        <f aca="false">+P107*0.4</f>
        <v>1.82601842508426</v>
      </c>
      <c r="R107" s="454"/>
      <c r="S107" s="477" t="n">
        <f aca="false">+'Offseason Rate'!E107+'Offseason Rate'!E3</f>
        <v>2.86511740855002</v>
      </c>
      <c r="T107" s="477" t="n">
        <f aca="false">+S107*0.4</f>
        <v>1.14604696342001</v>
      </c>
      <c r="U107" s="447"/>
      <c r="V107" s="477"/>
      <c r="W107" s="477"/>
      <c r="X107" s="447"/>
      <c r="Y107" s="421"/>
      <c r="Z107" s="421"/>
      <c r="AH107" s="27" t="s">
        <v>779</v>
      </c>
      <c r="AI107" s="482" t="n">
        <v>0.003</v>
      </c>
      <c r="AR107" s="482"/>
    </row>
    <row r="108" customFormat="false" ht="12.75" hidden="false" customHeight="false" outlineLevel="0" collapsed="false">
      <c r="A108" s="447" t="s">
        <v>93</v>
      </c>
      <c r="B108" s="458" t="s">
        <v>857</v>
      </c>
      <c r="C108" s="449"/>
      <c r="F108" s="449"/>
      <c r="G108" s="467" t="s">
        <v>648</v>
      </c>
      <c r="H108" s="480" t="s">
        <v>858</v>
      </c>
      <c r="I108" s="447"/>
      <c r="J108" s="424" t="s">
        <v>650</v>
      </c>
      <c r="K108" s="425" t="s">
        <v>859</v>
      </c>
      <c r="L108" s="447"/>
      <c r="O108" s="447"/>
      <c r="P108" s="481"/>
      <c r="Q108" s="481" t="n">
        <f aca="false">SUM(Q102:Q107)</f>
        <v>4.52137566981684</v>
      </c>
      <c r="R108" s="464"/>
      <c r="S108" s="477"/>
      <c r="T108" s="477" t="n">
        <f aca="false">SUM(T102:T107)</f>
        <v>2.82701929592353</v>
      </c>
      <c r="U108" s="449"/>
      <c r="V108" s="477"/>
      <c r="W108" s="477"/>
      <c r="X108" s="449"/>
      <c r="Y108" s="447"/>
      <c r="Z108" s="447"/>
      <c r="AH108" s="27" t="s">
        <v>785</v>
      </c>
      <c r="AI108" s="482" t="n">
        <v>0.001</v>
      </c>
      <c r="AR108" s="482"/>
    </row>
    <row r="109" customFormat="false" ht="12.75" hidden="false" customHeight="false" outlineLevel="0" collapsed="false">
      <c r="A109" s="507" t="s">
        <v>667</v>
      </c>
      <c r="B109" s="436" t="n">
        <v>0.0092</v>
      </c>
      <c r="F109" s="414"/>
      <c r="G109" s="459" t="s">
        <v>667</v>
      </c>
      <c r="H109" s="438" t="n">
        <v>0.0765</v>
      </c>
      <c r="I109" s="449"/>
      <c r="J109" s="439" t="s">
        <v>667</v>
      </c>
      <c r="K109" s="438" t="n">
        <v>0.0649</v>
      </c>
      <c r="L109" s="449"/>
      <c r="O109" s="449"/>
      <c r="P109" s="454"/>
      <c r="Q109" s="454"/>
      <c r="S109" s="447"/>
      <c r="T109" s="447"/>
      <c r="V109" s="447"/>
      <c r="W109" s="447"/>
      <c r="Y109" s="449"/>
      <c r="Z109" s="449"/>
      <c r="AI109" s="482"/>
      <c r="AR109" s="482"/>
    </row>
    <row r="110" customFormat="false" ht="12.75" hidden="false" customHeight="false" outlineLevel="0" collapsed="false">
      <c r="A110" s="414" t="s">
        <v>119</v>
      </c>
      <c r="B110" s="436" t="n">
        <f aca="false">0.0022+0.0072+0.0097</f>
        <v>0.0191</v>
      </c>
      <c r="C110" s="414"/>
      <c r="F110" s="421"/>
      <c r="G110" s="459" t="s">
        <v>119</v>
      </c>
      <c r="H110" s="438" t="n">
        <f aca="false">0.0022+0.0072</f>
        <v>0.0094</v>
      </c>
      <c r="I110" s="414"/>
      <c r="J110" s="439" t="s">
        <v>119</v>
      </c>
      <c r="K110" s="438" t="n">
        <f aca="false">0.0022+0.0072</f>
        <v>0.0094</v>
      </c>
      <c r="L110" s="414"/>
      <c r="O110" s="414"/>
      <c r="P110" s="464"/>
      <c r="Q110" s="464"/>
      <c r="R110" s="504"/>
      <c r="S110" s="449"/>
      <c r="T110" s="449"/>
      <c r="U110" s="414"/>
      <c r="V110" s="449"/>
      <c r="W110" s="449"/>
      <c r="X110" s="414"/>
      <c r="AH110" s="483" t="n">
        <v>36192</v>
      </c>
      <c r="AQ110" s="483"/>
    </row>
    <row r="111" customFormat="false" ht="12.75" hidden="false" customHeight="false" outlineLevel="0" collapsed="false">
      <c r="A111" s="421" t="s">
        <v>860</v>
      </c>
      <c r="B111" s="448" t="n">
        <f aca="false">4.7/(1-0.0153)-4.7</f>
        <v>0.0730273179648622</v>
      </c>
      <c r="C111" s="421"/>
      <c r="F111" s="421"/>
      <c r="G111" s="459" t="s">
        <v>861</v>
      </c>
      <c r="H111" s="451" t="n">
        <f aca="false">(+H5)/(1-0.0186)-H5</f>
        <v>0.0879396780110042</v>
      </c>
      <c r="I111" s="421"/>
      <c r="J111" s="439" t="s">
        <v>805</v>
      </c>
      <c r="K111" s="451" t="n">
        <f aca="false">(K3)/(1-0.0472)-K3</f>
        <v>0.219949622166247</v>
      </c>
      <c r="L111" s="421"/>
      <c r="O111" s="421"/>
      <c r="P111" s="504"/>
      <c r="Q111" s="504"/>
      <c r="R111" s="444"/>
      <c r="S111" s="414"/>
      <c r="T111" s="414"/>
      <c r="U111" s="421"/>
      <c r="V111" s="414"/>
      <c r="W111" s="414"/>
      <c r="X111" s="421"/>
      <c r="AH111" s="485" t="s">
        <v>778</v>
      </c>
      <c r="AI111" s="482" t="n">
        <v>0.004</v>
      </c>
      <c r="AQ111" s="485"/>
      <c r="AR111" s="482"/>
    </row>
    <row r="112" customFormat="false" ht="12.75" hidden="false" customHeight="false" outlineLevel="0" collapsed="false">
      <c r="A112" s="421"/>
      <c r="B112" s="458" t="n">
        <f aca="false">SUM(B109:B111)</f>
        <v>0.101327317964862</v>
      </c>
      <c r="C112" s="421"/>
      <c r="F112" s="447"/>
      <c r="G112" s="459"/>
      <c r="H112" s="460" t="n">
        <f aca="false">SUM(H109:H111)</f>
        <v>0.173839678011004</v>
      </c>
      <c r="I112" s="421"/>
      <c r="J112" s="439"/>
      <c r="K112" s="460" t="n">
        <f aca="false">SUM(K109:K111)</f>
        <v>0.294249622166247</v>
      </c>
      <c r="L112" s="421"/>
      <c r="O112" s="421"/>
      <c r="P112" s="444"/>
      <c r="Q112" s="444"/>
      <c r="R112" s="444"/>
      <c r="S112" s="421"/>
      <c r="T112" s="421"/>
      <c r="U112" s="421"/>
      <c r="V112" s="421"/>
      <c r="W112" s="421"/>
      <c r="X112" s="421"/>
      <c r="AH112" s="27" t="s">
        <v>779</v>
      </c>
      <c r="AI112" s="482" t="n">
        <v>0.01</v>
      </c>
      <c r="AR112" s="482"/>
    </row>
    <row r="113" customFormat="false" ht="12.75" hidden="false" customHeight="false" outlineLevel="0" collapsed="false">
      <c r="A113" s="447" t="s">
        <v>93</v>
      </c>
      <c r="B113" s="458" t="s">
        <v>862</v>
      </c>
      <c r="C113" s="447"/>
      <c r="F113" s="449"/>
      <c r="G113" s="467" t="s">
        <v>648</v>
      </c>
      <c r="H113" s="480" t="s">
        <v>863</v>
      </c>
      <c r="I113" s="447"/>
      <c r="J113" s="424" t="s">
        <v>650</v>
      </c>
      <c r="K113" s="425" t="s">
        <v>747</v>
      </c>
      <c r="L113" s="447"/>
      <c r="O113" s="447"/>
      <c r="P113" s="444"/>
      <c r="Q113" s="444"/>
      <c r="R113" s="454"/>
      <c r="S113" s="421"/>
      <c r="T113" s="421"/>
      <c r="U113" s="447"/>
      <c r="V113" s="421"/>
      <c r="W113" s="421"/>
      <c r="X113" s="447"/>
      <c r="AH113" s="27" t="s">
        <v>785</v>
      </c>
      <c r="AI113" s="482" t="n">
        <v>0.004</v>
      </c>
      <c r="AR113" s="482"/>
    </row>
    <row r="114" customFormat="false" ht="12.75" hidden="false" customHeight="false" outlineLevel="0" collapsed="false">
      <c r="A114" s="507" t="s">
        <v>667</v>
      </c>
      <c r="B114" s="436" t="n">
        <v>0.0138</v>
      </c>
      <c r="C114" s="449"/>
      <c r="G114" s="459" t="s">
        <v>667</v>
      </c>
      <c r="H114" s="438" t="n">
        <v>0.0765</v>
      </c>
      <c r="I114" s="449"/>
      <c r="J114" s="439" t="s">
        <v>667</v>
      </c>
      <c r="K114" s="438" t="n">
        <v>0.0863</v>
      </c>
      <c r="L114" s="449"/>
      <c r="O114" s="449"/>
      <c r="P114" s="454"/>
      <c r="Q114" s="454"/>
      <c r="R114" s="464"/>
      <c r="S114" s="447"/>
      <c r="T114" s="447"/>
      <c r="U114" s="449"/>
      <c r="V114" s="447"/>
      <c r="W114" s="447"/>
      <c r="X114" s="449"/>
      <c r="AI114" s="482"/>
    </row>
    <row r="115" customFormat="false" ht="12.75" hidden="false" customHeight="false" outlineLevel="0" collapsed="false">
      <c r="A115" s="414" t="s">
        <v>119</v>
      </c>
      <c r="B115" s="436" t="n">
        <f aca="false">0.0022+0.0072+0.0097</f>
        <v>0.0191</v>
      </c>
      <c r="C115" s="414"/>
      <c r="G115" s="459" t="s">
        <v>119</v>
      </c>
      <c r="H115" s="438" t="n">
        <f aca="false">0.0022+0.0072</f>
        <v>0.0094</v>
      </c>
      <c r="J115" s="439" t="s">
        <v>119</v>
      </c>
      <c r="K115" s="438" t="n">
        <f aca="false">0.0022+0.0072</f>
        <v>0.0094</v>
      </c>
      <c r="P115" s="464"/>
      <c r="Q115" s="464"/>
      <c r="R115" s="504"/>
      <c r="S115" s="449"/>
      <c r="T115" s="449"/>
      <c r="U115" s="414"/>
      <c r="V115" s="449"/>
      <c r="W115" s="449"/>
      <c r="X115" s="414"/>
      <c r="AH115" s="483" t="n">
        <v>36161</v>
      </c>
      <c r="AQ115" s="483"/>
    </row>
    <row r="116" customFormat="false" ht="12.75" hidden="false" customHeight="false" outlineLevel="0" collapsed="false">
      <c r="A116" s="421" t="s">
        <v>864</v>
      </c>
      <c r="B116" s="448" t="n">
        <f aca="false">2.3/(1-0.0237)-2.3</f>
        <v>0.0558332479770565</v>
      </c>
      <c r="C116" s="421"/>
      <c r="D116" s="510"/>
      <c r="G116" s="459" t="s">
        <v>865</v>
      </c>
      <c r="H116" s="451" t="n">
        <f aca="false">(+H$5)/(1-0.0127)-H$5</f>
        <v>0.0596860123569334</v>
      </c>
      <c r="J116" s="439" t="s">
        <v>754</v>
      </c>
      <c r="K116" s="451" t="n">
        <f aca="false">(K3)/(1-0.0612)-K3</f>
        <v>0.289441840647635</v>
      </c>
      <c r="R116" s="444"/>
      <c r="U116" s="421"/>
      <c r="X116" s="421"/>
      <c r="AH116" s="485" t="s">
        <v>778</v>
      </c>
      <c r="AI116" s="482" t="n">
        <v>0.003</v>
      </c>
      <c r="AQ116" s="485"/>
      <c r="AR116" s="482"/>
    </row>
    <row r="117" customFormat="false" ht="12.75" hidden="false" customHeight="false" outlineLevel="0" collapsed="false">
      <c r="A117" s="421"/>
      <c r="B117" s="458" t="n">
        <f aca="false">SUM(B114:B116)</f>
        <v>0.0887332479770565</v>
      </c>
      <c r="C117" s="421"/>
      <c r="D117" s="510"/>
      <c r="G117" s="459"/>
      <c r="H117" s="460" t="n">
        <f aca="false">SUM(H114:H116)</f>
        <v>0.145586012356933</v>
      </c>
      <c r="J117" s="439"/>
      <c r="K117" s="460" t="n">
        <f aca="false">SUM(K114:K116)</f>
        <v>0.385141840647635</v>
      </c>
      <c r="P117" s="504"/>
      <c r="Q117" s="504"/>
      <c r="R117" s="444"/>
      <c r="S117" s="414"/>
      <c r="T117" s="414"/>
      <c r="U117" s="421"/>
      <c r="V117" s="414"/>
      <c r="W117" s="414"/>
      <c r="X117" s="421"/>
      <c r="AH117" s="27" t="s">
        <v>779</v>
      </c>
      <c r="AI117" s="482" t="n">
        <v>0.008</v>
      </c>
      <c r="AR117" s="482"/>
    </row>
    <row r="118" customFormat="false" ht="12.75" hidden="false" customHeight="false" outlineLevel="0" collapsed="false">
      <c r="A118" s="447" t="s">
        <v>93</v>
      </c>
      <c r="B118" s="458" t="s">
        <v>866</v>
      </c>
      <c r="C118" s="447"/>
      <c r="G118" s="467" t="s">
        <v>648</v>
      </c>
      <c r="H118" s="480" t="s">
        <v>867</v>
      </c>
      <c r="J118" s="424" t="s">
        <v>650</v>
      </c>
      <c r="K118" s="425" t="s">
        <v>760</v>
      </c>
      <c r="P118" s="444"/>
      <c r="Q118" s="444"/>
      <c r="R118" s="454"/>
      <c r="S118" s="421"/>
      <c r="T118" s="421"/>
      <c r="U118" s="447"/>
      <c r="V118" s="421"/>
      <c r="W118" s="421"/>
      <c r="X118" s="447"/>
      <c r="AH118" s="27" t="s">
        <v>785</v>
      </c>
      <c r="AI118" s="482" t="n">
        <v>0.003</v>
      </c>
      <c r="AR118" s="482"/>
    </row>
    <row r="119" customFormat="false" ht="12.75" hidden="false" customHeight="false" outlineLevel="0" collapsed="false">
      <c r="A119" s="449" t="s">
        <v>667</v>
      </c>
      <c r="B119" s="436" t="n">
        <v>0.005</v>
      </c>
      <c r="C119" s="449"/>
      <c r="G119" s="459" t="s">
        <v>667</v>
      </c>
      <c r="H119" s="438" t="n">
        <v>0.0642</v>
      </c>
      <c r="J119" s="439" t="s">
        <v>667</v>
      </c>
      <c r="K119" s="438" t="n">
        <v>0.1012</v>
      </c>
      <c r="P119" s="444"/>
      <c r="Q119" s="444"/>
      <c r="R119" s="464"/>
      <c r="S119" s="421"/>
      <c r="T119" s="421"/>
      <c r="U119" s="449"/>
      <c r="V119" s="421"/>
      <c r="W119" s="421"/>
      <c r="X119" s="449"/>
      <c r="AI119" s="482"/>
    </row>
    <row r="120" customFormat="false" ht="12.75" hidden="false" customHeight="false" outlineLevel="0" collapsed="false">
      <c r="A120" s="414" t="s">
        <v>119</v>
      </c>
      <c r="B120" s="436" t="n">
        <f aca="false">0.0022+0.0072+0.0097</f>
        <v>0.0191</v>
      </c>
      <c r="G120" s="459" t="s">
        <v>119</v>
      </c>
      <c r="H120" s="438" t="n">
        <f aca="false">0.0022+0.0072</f>
        <v>0.0094</v>
      </c>
      <c r="J120" s="439" t="s">
        <v>119</v>
      </c>
      <c r="K120" s="438" t="n">
        <f aca="false">0.0022+0.0072</f>
        <v>0.0094</v>
      </c>
      <c r="P120" s="454"/>
      <c r="Q120" s="454"/>
      <c r="S120" s="447"/>
      <c r="T120" s="447"/>
      <c r="V120" s="447"/>
      <c r="W120" s="447"/>
      <c r="AH120" s="483" t="n">
        <v>36130</v>
      </c>
      <c r="AQ120" s="483"/>
    </row>
    <row r="121" customFormat="false" ht="12.75" hidden="false" customHeight="false" outlineLevel="0" collapsed="false">
      <c r="A121" s="421" t="s">
        <v>671</v>
      </c>
      <c r="B121" s="448" t="n">
        <f aca="false">B7/(1-0.0084)-B7</f>
        <v>0.0403650665590964</v>
      </c>
      <c r="G121" s="459" t="s">
        <v>868</v>
      </c>
      <c r="H121" s="451" t="n">
        <f aca="false">(+H4)/(1-0.0186)-H4</f>
        <v>0.0834858365600164</v>
      </c>
      <c r="J121" s="439" t="s">
        <v>766</v>
      </c>
      <c r="K121" s="451" t="n">
        <f aca="false">(K3)/(1-0.0705)-K3</f>
        <v>0.336761699838623</v>
      </c>
      <c r="P121" s="464"/>
      <c r="Q121" s="464"/>
      <c r="S121" s="449"/>
      <c r="T121" s="449"/>
      <c r="V121" s="449"/>
      <c r="W121" s="449"/>
      <c r="AH121" s="485" t="s">
        <v>778</v>
      </c>
      <c r="AI121" s="482" t="n">
        <v>0.002</v>
      </c>
      <c r="AQ121" s="485"/>
      <c r="AR121" s="482"/>
    </row>
    <row r="122" customFormat="false" ht="12.75" hidden="false" customHeight="false" outlineLevel="0" collapsed="false">
      <c r="A122" s="421" t="s">
        <v>699</v>
      </c>
      <c r="B122" s="458" t="n">
        <f aca="false">SUM(B119:B121)</f>
        <v>0.0644650665590964</v>
      </c>
      <c r="G122" s="459"/>
      <c r="H122" s="460" t="n">
        <f aca="false">SUM(H119:H121)</f>
        <v>0.157085836560016</v>
      </c>
      <c r="J122" s="439"/>
      <c r="K122" s="460" t="n">
        <f aca="false">SUM(K119:K121)</f>
        <v>0.447361699838623</v>
      </c>
      <c r="P122" s="504"/>
      <c r="Q122" s="504"/>
      <c r="S122" s="414"/>
      <c r="T122" s="414"/>
      <c r="V122" s="414"/>
      <c r="W122" s="414"/>
      <c r="AH122" s="27" t="s">
        <v>779</v>
      </c>
      <c r="AI122" s="482" t="n">
        <v>0.008</v>
      </c>
      <c r="AR122" s="482"/>
    </row>
    <row r="123" customFormat="false" ht="12.75" hidden="false" customHeight="false" outlineLevel="0" collapsed="false">
      <c r="A123" s="454" t="s">
        <v>869</v>
      </c>
      <c r="B123" s="349"/>
      <c r="G123" s="467" t="s">
        <v>870</v>
      </c>
      <c r="H123" s="468"/>
      <c r="J123" s="424" t="s">
        <v>650</v>
      </c>
      <c r="K123" s="425" t="s">
        <v>871</v>
      </c>
      <c r="P123" s="444"/>
      <c r="Q123" s="444"/>
      <c r="S123" s="421"/>
      <c r="T123" s="421"/>
      <c r="V123" s="421"/>
      <c r="W123" s="421"/>
      <c r="AH123" s="27" t="s">
        <v>785</v>
      </c>
      <c r="AI123" s="482" t="n">
        <v>0.002</v>
      </c>
      <c r="AR123" s="482"/>
    </row>
    <row r="124" customFormat="false" ht="12.75" hidden="false" customHeight="false" outlineLevel="0" collapsed="false">
      <c r="A124" s="464" t="s">
        <v>93</v>
      </c>
      <c r="B124" s="349"/>
      <c r="G124" s="437" t="s">
        <v>667</v>
      </c>
      <c r="H124" s="438" t="n">
        <v>0.0094</v>
      </c>
      <c r="J124" s="439" t="s">
        <v>667</v>
      </c>
      <c r="K124" s="438" t="n">
        <v>0.0472</v>
      </c>
      <c r="P124" s="444"/>
      <c r="Q124" s="444"/>
      <c r="S124" s="421"/>
      <c r="T124" s="421"/>
      <c r="V124" s="421"/>
      <c r="W124" s="421"/>
      <c r="AI124" s="482"/>
    </row>
    <row r="125" customFormat="false" ht="12.75" hidden="false" customHeight="false" outlineLevel="0" collapsed="false">
      <c r="A125" s="464" t="s">
        <v>872</v>
      </c>
      <c r="B125" s="349"/>
      <c r="G125" s="437" t="s">
        <v>119</v>
      </c>
      <c r="H125" s="438" t="n">
        <v>0.0022</v>
      </c>
      <c r="J125" s="439" t="s">
        <v>119</v>
      </c>
      <c r="K125" s="438" t="n">
        <f aca="false">0.0022+0.0072</f>
        <v>0.0094</v>
      </c>
      <c r="P125" s="454"/>
      <c r="Q125" s="454"/>
      <c r="S125" s="447"/>
      <c r="T125" s="447"/>
      <c r="V125" s="447"/>
      <c r="W125" s="447"/>
      <c r="AH125" s="483" t="n">
        <v>36100</v>
      </c>
      <c r="AQ125" s="483"/>
    </row>
    <row r="126" customFormat="false" ht="12.75" hidden="false" customHeight="false" outlineLevel="0" collapsed="false">
      <c r="A126" s="481" t="s">
        <v>873</v>
      </c>
      <c r="B126" s="349"/>
      <c r="G126" s="437" t="s">
        <v>874</v>
      </c>
      <c r="H126" s="451" t="n">
        <f aca="false">(+AI3+AI17)/(1-0.0131)-(+AI3+AI17)</f>
        <v>0.0614891418057519</v>
      </c>
      <c r="J126" s="439" t="s">
        <v>875</v>
      </c>
      <c r="K126" s="451" t="n">
        <f aca="false">(K6)/(1-0.0232)-(K6)</f>
        <v>0.107948402948403</v>
      </c>
      <c r="P126" s="464"/>
      <c r="Q126" s="464"/>
      <c r="S126" s="449"/>
      <c r="T126" s="449"/>
      <c r="V126" s="449"/>
      <c r="W126" s="449"/>
      <c r="AH126" s="485" t="s">
        <v>778</v>
      </c>
      <c r="AI126" s="482" t="n">
        <v>0.003</v>
      </c>
      <c r="AQ126" s="485"/>
      <c r="AR126" s="482"/>
    </row>
    <row r="127" customFormat="false" ht="12.75" hidden="false" customHeight="false" outlineLevel="0" collapsed="false">
      <c r="A127" s="481" t="s">
        <v>93</v>
      </c>
      <c r="B127" s="463" t="s">
        <v>876</v>
      </c>
      <c r="G127" s="459"/>
      <c r="H127" s="460" t="n">
        <f aca="false">SUM(H124:H126)</f>
        <v>0.0730891418057519</v>
      </c>
      <c r="J127" s="439"/>
      <c r="K127" s="460" t="n">
        <f aca="false">SUM(K124:K126)</f>
        <v>0.164548402948403</v>
      </c>
      <c r="AH127" s="27" t="s">
        <v>779</v>
      </c>
      <c r="AI127" s="482" t="n">
        <v>0.006</v>
      </c>
      <c r="AR127" s="482"/>
    </row>
    <row r="128" customFormat="false" ht="12.75" hidden="false" customHeight="false" outlineLevel="0" collapsed="false">
      <c r="A128" s="481" t="s">
        <v>667</v>
      </c>
      <c r="B128" s="511" t="n">
        <v>0.0016</v>
      </c>
      <c r="G128" s="467" t="s">
        <v>648</v>
      </c>
      <c r="H128" s="468" t="s">
        <v>877</v>
      </c>
      <c r="J128" s="424" t="s">
        <v>650</v>
      </c>
      <c r="K128" s="425" t="s">
        <v>771</v>
      </c>
      <c r="AH128" s="27" t="s">
        <v>785</v>
      </c>
      <c r="AI128" s="482" t="n">
        <v>0.003</v>
      </c>
      <c r="AR128" s="482"/>
    </row>
    <row r="129" customFormat="false" ht="12.75" hidden="false" customHeight="false" outlineLevel="0" collapsed="false">
      <c r="A129" s="454" t="s">
        <v>119</v>
      </c>
      <c r="B129" s="511" t="n">
        <f aca="false">0.0022+0.0072+0.0097</f>
        <v>0.0191</v>
      </c>
      <c r="G129" s="437" t="s">
        <v>667</v>
      </c>
      <c r="H129" s="438" t="n">
        <v>0.0459</v>
      </c>
      <c r="J129" s="439" t="s">
        <v>667</v>
      </c>
      <c r="K129" s="438" t="n">
        <v>0.0686</v>
      </c>
      <c r="AI129" s="482"/>
    </row>
    <row r="130" customFormat="false" ht="12.75" hidden="false" customHeight="false" outlineLevel="0" collapsed="false">
      <c r="A130" s="464" t="s">
        <v>811</v>
      </c>
      <c r="B130" s="453" t="n">
        <f aca="false">B3/(1-0.019)-B3</f>
        <v>0.0868654434250766</v>
      </c>
      <c r="G130" s="437" t="s">
        <v>119</v>
      </c>
      <c r="H130" s="438" t="n">
        <f aca="false">0.0022+0.0072</f>
        <v>0.0094</v>
      </c>
      <c r="J130" s="439" t="s">
        <v>119</v>
      </c>
      <c r="K130" s="438" t="n">
        <f aca="false">0.0022+0.0072</f>
        <v>0.0094</v>
      </c>
      <c r="AH130" s="483" t="n">
        <v>36069</v>
      </c>
    </row>
    <row r="131" customFormat="false" ht="12.75" hidden="false" customHeight="false" outlineLevel="0" collapsed="false">
      <c r="A131" s="504" t="s">
        <v>699</v>
      </c>
      <c r="B131" s="463" t="n">
        <f aca="false">SUM(B128:B130)</f>
        <v>0.107565443425077</v>
      </c>
      <c r="G131" s="437" t="s">
        <v>878</v>
      </c>
      <c r="H131" s="451" t="n">
        <f aca="false">(+H5)/(1-0.0107)-H5</f>
        <v>0.0501849792782778</v>
      </c>
      <c r="J131" s="439" t="s">
        <v>777</v>
      </c>
      <c r="K131" s="451" t="n">
        <f aca="false">(K6)/(1-0.0372)-(K6)</f>
        <v>0.175606564187786</v>
      </c>
      <c r="AH131" s="485" t="s">
        <v>778</v>
      </c>
      <c r="AI131" s="482" t="n">
        <v>0</v>
      </c>
    </row>
    <row r="132" customFormat="false" ht="12.75" hidden="false" customHeight="false" outlineLevel="0" collapsed="false">
      <c r="A132" s="444"/>
      <c r="B132" s="349"/>
      <c r="G132" s="459"/>
      <c r="H132" s="460" t="n">
        <f aca="false">SUM(H129:H131)</f>
        <v>0.105484979278278</v>
      </c>
      <c r="J132" s="439"/>
      <c r="K132" s="460" t="n">
        <f aca="false">SUM(K129:K131)</f>
        <v>0.253606564187786</v>
      </c>
      <c r="AH132" s="27" t="s">
        <v>779</v>
      </c>
      <c r="AI132" s="482" t="n">
        <v>0</v>
      </c>
    </row>
    <row r="133" customFormat="false" ht="12.75" hidden="false" customHeight="false" outlineLevel="0" collapsed="false">
      <c r="A133" s="464" t="s">
        <v>93</v>
      </c>
      <c r="B133" s="349"/>
      <c r="G133" s="467" t="s">
        <v>648</v>
      </c>
      <c r="H133" s="468" t="s">
        <v>879</v>
      </c>
      <c r="J133" s="424" t="s">
        <v>650</v>
      </c>
      <c r="K133" s="425" t="s">
        <v>784</v>
      </c>
      <c r="AH133" s="27" t="s">
        <v>785</v>
      </c>
      <c r="AI133" s="482" t="n">
        <v>0</v>
      </c>
    </row>
    <row r="134" customFormat="false" ht="12.75" hidden="false" customHeight="false" outlineLevel="0" collapsed="false">
      <c r="A134" s="464" t="s">
        <v>880</v>
      </c>
      <c r="B134" s="349"/>
      <c r="G134" s="437" t="s">
        <v>667</v>
      </c>
      <c r="H134" s="512" t="n">
        <v>0.1577</v>
      </c>
      <c r="J134" s="439" t="s">
        <v>667</v>
      </c>
      <c r="K134" s="438" t="n">
        <v>0.0835</v>
      </c>
    </row>
    <row r="135" customFormat="false" ht="12.75" hidden="false" customHeight="false" outlineLevel="0" collapsed="false">
      <c r="A135" s="481" t="s">
        <v>881</v>
      </c>
      <c r="B135" s="349"/>
      <c r="G135" s="437" t="s">
        <v>119</v>
      </c>
      <c r="H135" s="438" t="n">
        <f aca="false">0.0022+0+0.0225+0.0072</f>
        <v>0.0319</v>
      </c>
      <c r="J135" s="439" t="s">
        <v>119</v>
      </c>
      <c r="K135" s="438" t="n">
        <f aca="false">0.0022+0.0072</f>
        <v>0.0094</v>
      </c>
      <c r="AH135" s="483" t="n">
        <v>36039</v>
      </c>
    </row>
    <row r="136" customFormat="false" ht="12.75" hidden="false" customHeight="false" outlineLevel="0" collapsed="false">
      <c r="A136" s="481" t="s">
        <v>93</v>
      </c>
      <c r="B136" s="463" t="s">
        <v>866</v>
      </c>
      <c r="G136" s="437" t="s">
        <v>789</v>
      </c>
      <c r="H136" s="450" t="n">
        <f aca="false">(H4)/(1-0.095)-H4</f>
        <v>0.462403314917127</v>
      </c>
      <c r="J136" s="439" t="s">
        <v>790</v>
      </c>
      <c r="K136" s="451" t="n">
        <f aca="false">(K6)/(1-0.0465)-(K6)</f>
        <v>0.221649187205034</v>
      </c>
      <c r="AH136" s="485" t="s">
        <v>778</v>
      </c>
      <c r="AI136" s="482" t="n">
        <v>0</v>
      </c>
    </row>
    <row r="137" customFormat="false" ht="12.75" hidden="false" customHeight="false" outlineLevel="0" collapsed="false">
      <c r="A137" s="481" t="s">
        <v>667</v>
      </c>
      <c r="B137" s="511" t="n">
        <v>0.0057</v>
      </c>
      <c r="G137" s="459"/>
      <c r="H137" s="460" t="n">
        <f aca="false">SUM(H134:H136)</f>
        <v>0.652003314917127</v>
      </c>
      <c r="J137" s="439"/>
      <c r="K137" s="460" t="n">
        <f aca="false">SUM(K134:K136)</f>
        <v>0.314549187205034</v>
      </c>
      <c r="AH137" s="27" t="s">
        <v>779</v>
      </c>
      <c r="AI137" s="482" t="n">
        <v>0</v>
      </c>
    </row>
    <row r="138" customFormat="false" ht="12.75" hidden="false" customHeight="false" outlineLevel="0" collapsed="false">
      <c r="A138" s="454" t="s">
        <v>119</v>
      </c>
      <c r="B138" s="511" t="n">
        <f aca="false">0.0072+0.0022</f>
        <v>0.0094</v>
      </c>
      <c r="E138" s="73"/>
      <c r="F138" s="73"/>
      <c r="G138" s="467" t="s">
        <v>648</v>
      </c>
      <c r="H138" s="468" t="s">
        <v>882</v>
      </c>
      <c r="I138" s="73"/>
      <c r="J138" s="424" t="s">
        <v>650</v>
      </c>
      <c r="K138" s="460" t="s">
        <v>883</v>
      </c>
      <c r="L138" s="73"/>
      <c r="AH138" s="27" t="s">
        <v>785</v>
      </c>
      <c r="AI138" s="482" t="n">
        <v>0</v>
      </c>
    </row>
    <row r="139" customFormat="false" ht="12.75" hidden="false" customHeight="false" outlineLevel="0" collapsed="false">
      <c r="A139" s="464" t="s">
        <v>884</v>
      </c>
      <c r="B139" s="453" t="n">
        <f aca="false">B7/(1-0.0084)-B7</f>
        <v>0.0403650665590964</v>
      </c>
      <c r="E139" s="73"/>
      <c r="F139" s="73"/>
      <c r="G139" s="437" t="s">
        <v>667</v>
      </c>
      <c r="H139" s="512" t="n">
        <v>0.319</v>
      </c>
      <c r="I139" s="73"/>
      <c r="J139" s="439" t="s">
        <v>667</v>
      </c>
      <c r="K139" s="513" t="n">
        <v>0.0583</v>
      </c>
      <c r="L139" s="73"/>
    </row>
    <row r="140" customFormat="false" ht="12.75" hidden="false" customHeight="false" outlineLevel="0" collapsed="false">
      <c r="A140" s="504" t="s">
        <v>699</v>
      </c>
      <c r="B140" s="463" t="n">
        <f aca="false">SUM(B137:B139)</f>
        <v>0.0554650665590964</v>
      </c>
      <c r="E140" s="73"/>
      <c r="F140" s="73"/>
      <c r="G140" s="437" t="s">
        <v>119</v>
      </c>
      <c r="H140" s="438" t="n">
        <f aca="false">0.0022+0+0.0225+0.0072</f>
        <v>0.0319</v>
      </c>
      <c r="I140" s="73"/>
      <c r="J140" s="439" t="s">
        <v>119</v>
      </c>
      <c r="K140" s="438" t="n">
        <f aca="false">0.0022</f>
        <v>0.0022</v>
      </c>
      <c r="L140" s="73"/>
      <c r="AH140" s="483" t="n">
        <v>36008</v>
      </c>
    </row>
    <row r="141" customFormat="false" ht="12.75" hidden="false" customHeight="false" outlineLevel="0" collapsed="false">
      <c r="A141" s="464"/>
      <c r="B141" s="349"/>
      <c r="E141" s="73"/>
      <c r="F141" s="73"/>
      <c r="G141" s="437" t="s">
        <v>701</v>
      </c>
      <c r="H141" s="450" t="n">
        <f aca="false">(H3)/(1-0.0244)-H3</f>
        <v>0.109544895448955</v>
      </c>
      <c r="I141" s="73"/>
      <c r="J141" s="439" t="s">
        <v>885</v>
      </c>
      <c r="K141" s="451" t="n">
        <f aca="false">(K6)/(1-0.0304)-K6</f>
        <v>0.1425</v>
      </c>
      <c r="L141" s="73"/>
      <c r="AH141" s="485" t="s">
        <v>778</v>
      </c>
      <c r="AI141" s="482" t="n">
        <v>0</v>
      </c>
    </row>
    <row r="142" customFormat="false" ht="12.75" hidden="false" customHeight="false" outlineLevel="0" collapsed="false">
      <c r="A142" s="504" t="s">
        <v>886</v>
      </c>
      <c r="B142" s="349"/>
      <c r="E142" s="73"/>
      <c r="F142" s="73"/>
      <c r="G142" s="459"/>
      <c r="H142" s="460" t="n">
        <f aca="false">SUM(H139:H141)</f>
        <v>0.460444895448955</v>
      </c>
      <c r="I142" s="73"/>
      <c r="J142" s="439"/>
      <c r="K142" s="460" t="n">
        <f aca="false">SUM(K139:K141)</f>
        <v>0.203</v>
      </c>
      <c r="L142" s="73"/>
      <c r="AH142" s="27" t="s">
        <v>779</v>
      </c>
      <c r="AI142" s="482" t="n">
        <v>0</v>
      </c>
    </row>
    <row r="143" customFormat="false" ht="12.75" hidden="false" customHeight="false" outlineLevel="0" collapsed="false">
      <c r="A143" s="444" t="s">
        <v>887</v>
      </c>
      <c r="B143" s="349"/>
      <c r="E143" s="73"/>
      <c r="F143" s="73"/>
      <c r="G143" s="467" t="s">
        <v>648</v>
      </c>
      <c r="H143" s="468" t="s">
        <v>888</v>
      </c>
      <c r="I143" s="73"/>
      <c r="J143" s="424" t="s">
        <v>650</v>
      </c>
      <c r="K143" s="460" t="s">
        <v>795</v>
      </c>
      <c r="L143" s="73"/>
      <c r="AH143" s="27" t="s">
        <v>785</v>
      </c>
      <c r="AI143" s="482" t="n">
        <v>0</v>
      </c>
    </row>
    <row r="144" customFormat="false" ht="12.75" hidden="false" customHeight="false" outlineLevel="0" collapsed="false">
      <c r="A144" s="444" t="s">
        <v>668</v>
      </c>
      <c r="B144" s="349" t="n">
        <v>0.045</v>
      </c>
      <c r="E144" s="73"/>
      <c r="F144" s="73"/>
      <c r="G144" s="437" t="s">
        <v>667</v>
      </c>
      <c r="H144" s="512" t="n">
        <v>0.3681</v>
      </c>
      <c r="I144" s="73"/>
      <c r="J144" s="439" t="s">
        <v>667</v>
      </c>
      <c r="K144" s="513" t="n">
        <v>0.0731</v>
      </c>
      <c r="L144" s="73"/>
    </row>
    <row r="145" customFormat="false" ht="12.75" hidden="false" customHeight="false" outlineLevel="0" collapsed="false">
      <c r="A145" s="454" t="s">
        <v>119</v>
      </c>
      <c r="B145" s="349" t="n">
        <f aca="false">0.0022+0.0072</f>
        <v>0.0094</v>
      </c>
      <c r="E145" s="73"/>
      <c r="F145" s="73"/>
      <c r="G145" s="437" t="s">
        <v>119</v>
      </c>
      <c r="H145" s="438" t="n">
        <f aca="false">0.0022+0+0.0225+0.0072</f>
        <v>0.0319</v>
      </c>
      <c r="I145" s="73"/>
      <c r="J145" s="439" t="s">
        <v>119</v>
      </c>
      <c r="K145" s="438" t="n">
        <f aca="false">0.0022+0.0072</f>
        <v>0.0094</v>
      </c>
      <c r="L145" s="73"/>
      <c r="AH145" s="483" t="n">
        <v>35977</v>
      </c>
    </row>
    <row r="146" customFormat="false" ht="12.75" hidden="false" customHeight="false" outlineLevel="0" collapsed="false">
      <c r="A146" s="464" t="s">
        <v>889</v>
      </c>
      <c r="B146" s="349" t="n">
        <f aca="false">ROUND(+B4/(1-0.0706)-B4,4)</f>
        <v>0.3593</v>
      </c>
      <c r="G146" s="437" t="s">
        <v>806</v>
      </c>
      <c r="H146" s="450" t="n">
        <f aca="false">(H4)/(1-0.0369)-H4</f>
        <v>0.168772193957014</v>
      </c>
      <c r="J146" s="439" t="s">
        <v>799</v>
      </c>
      <c r="K146" s="451" t="n">
        <f aca="false">(K6)/(1-0.0399)-K6</f>
        <v>0.188881887303406</v>
      </c>
      <c r="AH146" s="485" t="s">
        <v>778</v>
      </c>
      <c r="AI146" s="482" t="n">
        <v>0</v>
      </c>
    </row>
    <row r="147" customFormat="false" ht="13.5" hidden="false" customHeight="false" outlineLevel="0" collapsed="false">
      <c r="A147" s="349"/>
      <c r="B147" s="514" t="n">
        <f aca="false">SUM(B144:B146)</f>
        <v>0.4137</v>
      </c>
      <c r="G147" s="459"/>
      <c r="H147" s="460" t="n">
        <f aca="false">SUM(H144:H146)</f>
        <v>0.568772193957014</v>
      </c>
      <c r="J147" s="439"/>
      <c r="K147" s="460" t="n">
        <f aca="false">SUM(K144:K146)</f>
        <v>0.271381887303406</v>
      </c>
      <c r="AH147" s="27" t="s">
        <v>779</v>
      </c>
      <c r="AI147" s="482" t="n">
        <v>0</v>
      </c>
    </row>
    <row r="148" customFormat="false" ht="13.5" hidden="false" customHeight="false" outlineLevel="0" collapsed="false">
      <c r="A148" s="349"/>
      <c r="B148" s="349"/>
      <c r="G148" s="437" t="s">
        <v>1</v>
      </c>
      <c r="H148" s="438" t="s">
        <v>1</v>
      </c>
      <c r="J148" s="424" t="s">
        <v>650</v>
      </c>
      <c r="K148" s="460" t="s">
        <v>803</v>
      </c>
      <c r="AH148" s="27" t="s">
        <v>785</v>
      </c>
      <c r="AI148" s="482" t="n">
        <v>0</v>
      </c>
    </row>
    <row r="149" customFormat="false" ht="12.75" hidden="false" customHeight="false" outlineLevel="0" collapsed="false">
      <c r="A149" s="349" t="s">
        <v>890</v>
      </c>
      <c r="B149" s="515"/>
      <c r="G149" s="467" t="s">
        <v>648</v>
      </c>
      <c r="H149" s="480" t="s">
        <v>891</v>
      </c>
      <c r="J149" s="439" t="s">
        <v>667</v>
      </c>
      <c r="K149" s="513" t="n">
        <v>0.0515</v>
      </c>
    </row>
    <row r="150" customFormat="false" ht="12.75" hidden="false" customHeight="false" outlineLevel="0" collapsed="false">
      <c r="A150" s="481" t="s">
        <v>892</v>
      </c>
      <c r="B150" s="349"/>
      <c r="G150" s="459" t="s">
        <v>667</v>
      </c>
      <c r="H150" s="512" t="n">
        <v>0.1764</v>
      </c>
      <c r="J150" s="439" t="s">
        <v>119</v>
      </c>
      <c r="K150" s="438" t="n">
        <f aca="false">0.0022+0.0072</f>
        <v>0.0094</v>
      </c>
    </row>
    <row r="151" customFormat="false" ht="12.75" hidden="false" customHeight="false" outlineLevel="0" collapsed="false">
      <c r="A151" s="481" t="s">
        <v>93</v>
      </c>
      <c r="B151" s="463" t="s">
        <v>866</v>
      </c>
      <c r="G151" s="459" t="s">
        <v>119</v>
      </c>
      <c r="H151" s="438" t="n">
        <f aca="false">0.0022+0.0072</f>
        <v>0.0094</v>
      </c>
      <c r="J151" s="439" t="s">
        <v>740</v>
      </c>
      <c r="K151" s="451" t="n">
        <f aca="false">(K$7)/(1-0.026)-K$7</f>
        <v>0.127464065708419</v>
      </c>
    </row>
    <row r="152" customFormat="false" ht="12.75" hidden="false" customHeight="false" outlineLevel="0" collapsed="false">
      <c r="A152" s="481" t="s">
        <v>667</v>
      </c>
      <c r="B152" s="511" t="n">
        <v>0.0055</v>
      </c>
      <c r="G152" s="459" t="s">
        <v>851</v>
      </c>
      <c r="H152" s="451" t="n">
        <f aca="false">(H5)/(1-0.0117)-H5</f>
        <v>0.0549306890620258</v>
      </c>
      <c r="J152" s="439"/>
      <c r="K152" s="460" t="n">
        <f aca="false">SUM(K149:K151)</f>
        <v>0.188364065708419</v>
      </c>
    </row>
    <row r="153" customFormat="false" ht="12.75" hidden="false" customHeight="false" outlineLevel="0" collapsed="false">
      <c r="A153" s="454" t="s">
        <v>119</v>
      </c>
      <c r="B153" s="511" t="n">
        <v>0.0167</v>
      </c>
      <c r="G153" s="459"/>
      <c r="H153" s="460" t="n">
        <f aca="false">SUM(H150:H152)</f>
        <v>0.240730689062026</v>
      </c>
      <c r="J153" s="516"/>
      <c r="K153" s="516"/>
    </row>
    <row r="154" customFormat="false" ht="12.75" hidden="false" customHeight="false" outlineLevel="0" collapsed="false">
      <c r="A154" s="464" t="s">
        <v>884</v>
      </c>
      <c r="B154" s="453" t="n">
        <f aca="false">B7/(1-0.0084)-B7</f>
        <v>0.0403650665590964</v>
      </c>
      <c r="G154" s="350"/>
      <c r="H154" s="350"/>
      <c r="J154" s="499"/>
      <c r="K154" s="500"/>
    </row>
    <row r="155" customFormat="false" ht="12.75" hidden="false" customHeight="false" outlineLevel="0" collapsed="false">
      <c r="A155" s="504" t="s">
        <v>699</v>
      </c>
      <c r="B155" s="463" t="n">
        <f aca="false">SUM(B152:B154)</f>
        <v>0.0625650665590964</v>
      </c>
      <c r="G155" s="437" t="s">
        <v>1</v>
      </c>
      <c r="H155" s="438" t="s">
        <v>1</v>
      </c>
      <c r="J155" s="499"/>
      <c r="K155" s="499"/>
    </row>
    <row r="156" customFormat="false" ht="12.75" hidden="false" customHeight="false" outlineLevel="0" collapsed="false">
      <c r="A156" s="464"/>
      <c r="B156" s="349"/>
      <c r="G156" s="437" t="s">
        <v>1</v>
      </c>
      <c r="H156" s="438" t="s">
        <v>1</v>
      </c>
      <c r="J156" s="499"/>
      <c r="K156" s="502"/>
    </row>
    <row r="157" customFormat="false" ht="12.75" hidden="false" customHeight="false" outlineLevel="0" collapsed="false">
      <c r="G157" s="350"/>
      <c r="H157" s="350"/>
      <c r="J157" s="499"/>
      <c r="K157" s="498"/>
    </row>
    <row r="158" customFormat="false" ht="12.75" hidden="false" customHeight="false" outlineLevel="0" collapsed="false">
      <c r="G158" s="517"/>
      <c r="H158" s="517"/>
      <c r="J158" s="499"/>
      <c r="K158" s="499"/>
    </row>
    <row r="159" customFormat="false" ht="12.75" hidden="false" customHeight="false" outlineLevel="0" collapsed="false">
      <c r="G159" s="518"/>
      <c r="H159" s="518"/>
      <c r="J159" s="499"/>
      <c r="K159" s="499"/>
    </row>
    <row r="160" customFormat="false" ht="12.75" hidden="false" customHeight="false" outlineLevel="0" collapsed="false">
      <c r="G160" s="519" t="s">
        <v>1</v>
      </c>
      <c r="H160" s="499" t="s">
        <v>1</v>
      </c>
      <c r="J160" s="502"/>
      <c r="K160" s="502"/>
    </row>
    <row r="161" customFormat="false" ht="12.75" hidden="false" customHeight="false" outlineLevel="0" collapsed="false">
      <c r="G161" s="519" t="s">
        <v>1</v>
      </c>
      <c r="H161" s="499" t="s">
        <v>1</v>
      </c>
      <c r="J161" s="498"/>
      <c r="K161" s="498"/>
    </row>
    <row r="162" customFormat="false" ht="12.75" hidden="false" customHeight="false" outlineLevel="0" collapsed="false">
      <c r="G162" s="518"/>
      <c r="H162" s="518"/>
      <c r="J162" s="503"/>
      <c r="K162" s="503"/>
    </row>
    <row r="163" customFormat="false" ht="12.75" hidden="false" customHeight="false" outlineLevel="0" collapsed="false">
      <c r="G163" s="518"/>
      <c r="H163" s="518"/>
      <c r="J163" s="499"/>
      <c r="K163" s="499"/>
    </row>
    <row r="164" customFormat="false" ht="12.75" hidden="false" customHeight="false" outlineLevel="0" collapsed="false">
      <c r="G164" s="518"/>
      <c r="H164" s="518"/>
      <c r="J164" s="499"/>
      <c r="K164" s="499"/>
    </row>
    <row r="165" customFormat="false" ht="12.75" hidden="false" customHeight="false" outlineLevel="0" collapsed="false">
      <c r="G165" s="518"/>
      <c r="H165" s="518"/>
      <c r="J165" s="502"/>
      <c r="K165" s="502"/>
    </row>
    <row r="166" customFormat="false" ht="12.75" hidden="false" customHeight="false" outlineLevel="0" collapsed="false">
      <c r="J166" s="498"/>
      <c r="K166" s="498"/>
    </row>
    <row r="167" customFormat="false" ht="12.75" hidden="false" customHeight="false" outlineLevel="0" collapsed="false">
      <c r="J167" s="498"/>
      <c r="K167" s="498"/>
    </row>
    <row r="168" customFormat="false" ht="12.75" hidden="false" customHeight="false" outlineLevel="0" collapsed="false">
      <c r="J168" s="500"/>
      <c r="K168" s="500"/>
    </row>
    <row r="169" customFormat="false" ht="12.75" hidden="false" customHeight="false" outlineLevel="0" collapsed="false">
      <c r="J169" s="500"/>
      <c r="K169" s="500"/>
    </row>
    <row r="170" customFormat="false" ht="12.75" hidden="false" customHeight="false" outlineLevel="0" collapsed="false">
      <c r="J170" s="500"/>
      <c r="K170" s="500"/>
    </row>
    <row r="171" customFormat="false" ht="12.75" hidden="false" customHeight="false" outlineLevel="0" collapsed="false">
      <c r="J171" s="502"/>
      <c r="K171" s="502"/>
    </row>
    <row r="172" customFormat="false" ht="12.75" hidden="false" customHeight="false" outlineLevel="0" collapsed="false">
      <c r="J172" s="498"/>
      <c r="K172" s="498"/>
    </row>
    <row r="173" customFormat="false" ht="12.75" hidden="false" customHeight="false" outlineLevel="0" collapsed="false">
      <c r="J173" s="503"/>
      <c r="K173" s="503"/>
    </row>
    <row r="174" customFormat="false" ht="12.75" hidden="false" customHeight="false" outlineLevel="0" collapsed="false">
      <c r="J174" s="499"/>
      <c r="K174" s="499"/>
    </row>
    <row r="175" customFormat="false" ht="12.75" hidden="false" customHeight="false" outlineLevel="0" collapsed="false">
      <c r="J175" s="499"/>
      <c r="K175" s="499"/>
    </row>
    <row r="176" customFormat="false" ht="12.75" hidden="false" customHeight="false" outlineLevel="0" collapsed="false">
      <c r="J176" s="502"/>
      <c r="K176" s="502"/>
    </row>
    <row r="177" customFormat="false" ht="12.75" hidden="false" customHeight="false" outlineLevel="0" collapsed="false">
      <c r="J177" s="498"/>
      <c r="K177" s="498"/>
    </row>
    <row r="179" customFormat="false" ht="12.75" hidden="false" customHeight="false" outlineLevel="0" collapsed="false">
      <c r="J179" s="503"/>
      <c r="K179" s="503"/>
    </row>
    <row r="180" customFormat="false" ht="12.75" hidden="false" customHeight="false" outlineLevel="0" collapsed="false">
      <c r="J180" s="499"/>
      <c r="K180" s="499"/>
    </row>
    <row r="181" customFormat="false" ht="12.75" hidden="false" customHeight="false" outlineLevel="0" collapsed="false">
      <c r="J181" s="499"/>
      <c r="K181" s="499"/>
    </row>
    <row r="182" customFormat="false" ht="12.75" hidden="false" customHeight="false" outlineLevel="0" collapsed="false">
      <c r="J182" s="502"/>
      <c r="K182" s="502"/>
    </row>
    <row r="183" customFormat="false" ht="12.75" hidden="false" customHeight="false" outlineLevel="0" collapsed="false">
      <c r="J183" s="498"/>
      <c r="K183" s="498"/>
    </row>
    <row r="184" customFormat="false" ht="12.75" hidden="false" customHeight="false" outlineLevel="0" collapsed="false">
      <c r="J184" s="503"/>
      <c r="K184" s="503"/>
    </row>
    <row r="185" customFormat="false" ht="12.75" hidden="false" customHeight="false" outlineLevel="0" collapsed="false">
      <c r="J185" s="499"/>
      <c r="K185" s="499"/>
    </row>
    <row r="186" customFormat="false" ht="12.75" hidden="false" customHeight="false" outlineLevel="0" collapsed="false">
      <c r="J186" s="499"/>
      <c r="K186" s="499"/>
    </row>
    <row r="187" customFormat="false" ht="12.75" hidden="false" customHeight="false" outlineLevel="0" collapsed="false">
      <c r="J187" s="502"/>
      <c r="K187" s="502"/>
    </row>
    <row r="188" customFormat="false" ht="12.75" hidden="false" customHeight="false" outlineLevel="0" collapsed="false">
      <c r="J188" s="498"/>
      <c r="K188" s="498"/>
    </row>
  </sheetData>
  <mergeCells count="1">
    <mergeCell ref="G2:I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3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350" width="10.85"/>
    <col collapsed="false" customWidth="true" hidden="false" outlineLevel="0" max="3" min="3" style="27" width="2.84"/>
    <col collapsed="false" customWidth="true" hidden="false" outlineLevel="0" max="5" min="4" style="350" width="10.85"/>
    <col collapsed="false" customWidth="true" hidden="false" outlineLevel="0" max="6" min="6" style="27" width="2.84"/>
    <col collapsed="false" customWidth="true" hidden="false" outlineLevel="0" max="8" min="7" style="227" width="10.85"/>
    <col collapsed="false" customWidth="true" hidden="false" outlineLevel="0" max="9" min="9" style="27" width="2.84"/>
    <col collapsed="false" customWidth="true" hidden="false" outlineLevel="0" max="11" min="10" style="350" width="9.14"/>
    <col collapsed="false" customWidth="true" hidden="false" outlineLevel="0" max="12" min="12" style="27" width="3.42"/>
    <col collapsed="false" customWidth="true" hidden="false" outlineLevel="0" max="14" min="13" style="350" width="9.14"/>
    <col collapsed="false" customWidth="true" hidden="false" outlineLevel="0" max="15" min="15" style="27" width="3.42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520" t="s">
        <v>1</v>
      </c>
      <c r="B2" s="520"/>
      <c r="C2" s="520"/>
      <c r="D2" s="520" t="s">
        <v>1</v>
      </c>
      <c r="E2" s="521"/>
      <c r="F2" s="353"/>
      <c r="G2" s="357"/>
      <c r="H2" s="356" t="s">
        <v>574</v>
      </c>
      <c r="I2" s="353"/>
      <c r="K2" s="364" t="s">
        <v>893</v>
      </c>
    </row>
    <row r="3" customFormat="false" ht="12.75" hidden="false" customHeight="false" outlineLevel="0" collapsed="false">
      <c r="A3" s="404" t="s">
        <v>579</v>
      </c>
      <c r="B3" s="522" t="n">
        <f aca="false">+Rates!H3</f>
        <v>4.38</v>
      </c>
      <c r="C3" s="353"/>
      <c r="D3" s="523" t="s">
        <v>580</v>
      </c>
      <c r="E3" s="375" t="n">
        <v>2.5</v>
      </c>
      <c r="F3" s="353"/>
      <c r="G3" s="358" t="s">
        <v>580</v>
      </c>
      <c r="H3" s="367" t="n">
        <f aca="false">+E3</f>
        <v>2.5</v>
      </c>
      <c r="I3" s="353"/>
      <c r="J3" s="374" t="s">
        <v>584</v>
      </c>
      <c r="K3" s="376" t="n">
        <f aca="false">+Rates!AF3</f>
        <v>4.48</v>
      </c>
      <c r="M3" s="523" t="s">
        <v>358</v>
      </c>
      <c r="N3" s="375" t="n">
        <v>2.97</v>
      </c>
    </row>
    <row r="4" customFormat="false" ht="12.75" hidden="false" customHeight="false" outlineLevel="0" collapsed="false">
      <c r="A4" s="404" t="s">
        <v>588</v>
      </c>
      <c r="B4" s="524" t="n">
        <f aca="false">+Rates!H4</f>
        <v>4.405</v>
      </c>
      <c r="C4" s="353"/>
      <c r="D4" s="523" t="s">
        <v>589</v>
      </c>
      <c r="E4" s="375" t="n">
        <v>2.165</v>
      </c>
      <c r="F4" s="353"/>
      <c r="G4" s="358" t="s">
        <v>589</v>
      </c>
      <c r="H4" s="367" t="n">
        <f aca="false">+E4</f>
        <v>2.165</v>
      </c>
      <c r="I4" s="353"/>
      <c r="J4" s="374" t="s">
        <v>592</v>
      </c>
      <c r="M4" s="374" t="s">
        <v>592</v>
      </c>
    </row>
    <row r="5" customFormat="false" ht="12.75" hidden="false" customHeight="false" outlineLevel="0" collapsed="false">
      <c r="A5" s="404" t="s">
        <v>240</v>
      </c>
      <c r="B5" s="525" t="n">
        <f aca="false">+Rates!H5</f>
        <v>4.64</v>
      </c>
      <c r="C5" s="353"/>
      <c r="D5" s="523" t="s">
        <v>594</v>
      </c>
      <c r="E5" s="375" t="n">
        <f aca="false">2.815-0.0635</f>
        <v>2.7515</v>
      </c>
      <c r="F5" s="353"/>
      <c r="G5" s="358" t="s">
        <v>594</v>
      </c>
      <c r="H5" s="367" t="n">
        <f aca="false">+E5</f>
        <v>2.7515</v>
      </c>
      <c r="I5" s="353"/>
    </row>
    <row r="6" customFormat="false" ht="12.75" hidden="false" customHeight="false" outlineLevel="0" collapsed="false">
      <c r="A6" s="389"/>
      <c r="B6" s="389"/>
      <c r="C6" s="311"/>
      <c r="D6" s="404" t="s">
        <v>596</v>
      </c>
      <c r="E6" s="405" t="n">
        <v>2.6</v>
      </c>
      <c r="F6" s="311"/>
      <c r="G6" s="368" t="s">
        <v>596</v>
      </c>
      <c r="H6" s="367" t="n">
        <f aca="false">+E6</f>
        <v>2.6</v>
      </c>
      <c r="I6" s="311"/>
      <c r="J6" s="389"/>
      <c r="K6" s="389"/>
      <c r="L6" s="162"/>
      <c r="M6" s="389"/>
      <c r="N6" s="389"/>
      <c r="O6" s="162"/>
    </row>
    <row r="7" customFormat="false" ht="12.75" hidden="false" customHeight="false" outlineLevel="0" collapsed="false">
      <c r="A7" s="402"/>
      <c r="B7" s="402"/>
      <c r="C7" s="392"/>
      <c r="D7" s="526" t="s">
        <v>358</v>
      </c>
      <c r="E7" s="527" t="n">
        <v>3.065</v>
      </c>
      <c r="F7" s="392"/>
      <c r="G7" s="393" t="s">
        <v>358</v>
      </c>
      <c r="H7" s="367" t="n">
        <f aca="false">+E7</f>
        <v>3.065</v>
      </c>
      <c r="I7" s="392"/>
      <c r="J7" s="400"/>
      <c r="K7" s="400"/>
      <c r="L7" s="264"/>
      <c r="M7" s="400"/>
      <c r="N7" s="400"/>
      <c r="O7" s="264"/>
    </row>
    <row r="8" customFormat="false" ht="12.75" hidden="false" customHeight="false" outlineLevel="0" collapsed="false">
      <c r="A8" s="528" t="s">
        <v>894</v>
      </c>
      <c r="B8" s="391"/>
      <c r="C8" s="403"/>
      <c r="D8" s="368" t="s">
        <v>601</v>
      </c>
      <c r="E8" s="384"/>
      <c r="F8" s="353"/>
      <c r="G8" s="368" t="s">
        <v>601</v>
      </c>
      <c r="H8" s="384"/>
      <c r="I8" s="353"/>
      <c r="J8" s="350" t="s">
        <v>606</v>
      </c>
      <c r="M8" s="350" t="s">
        <v>895</v>
      </c>
    </row>
    <row r="9" customFormat="false" ht="12.75" hidden="false" customHeight="false" outlineLevel="0" collapsed="false">
      <c r="A9" s="391" t="s">
        <v>611</v>
      </c>
      <c r="B9" s="391"/>
      <c r="C9" s="406"/>
      <c r="D9" s="113" t="s">
        <v>612</v>
      </c>
      <c r="E9" s="384"/>
      <c r="F9" s="353"/>
      <c r="G9" s="113" t="s">
        <v>613</v>
      </c>
      <c r="H9" s="384"/>
      <c r="I9" s="353"/>
      <c r="J9" s="350" t="s">
        <v>617</v>
      </c>
      <c r="M9" s="350" t="s">
        <v>627</v>
      </c>
    </row>
    <row r="10" customFormat="false" ht="12.75" hidden="false" customHeight="false" outlineLevel="0" collapsed="false">
      <c r="A10" s="391" t="s">
        <v>621</v>
      </c>
      <c r="B10" s="391"/>
      <c r="C10" s="406"/>
      <c r="D10" s="410" t="s">
        <v>622</v>
      </c>
      <c r="E10" s="384"/>
      <c r="F10" s="353"/>
      <c r="G10" s="410" t="s">
        <v>622</v>
      </c>
      <c r="H10" s="384"/>
      <c r="I10" s="353"/>
      <c r="J10" s="350" t="s">
        <v>628</v>
      </c>
      <c r="M10" s="350" t="s">
        <v>636</v>
      </c>
    </row>
    <row r="11" customFormat="false" ht="12.75" hidden="false" customHeight="false" outlineLevel="0" collapsed="false">
      <c r="A11" s="113" t="s">
        <v>631</v>
      </c>
      <c r="B11" s="391"/>
      <c r="C11" s="406"/>
      <c r="D11" s="410" t="s">
        <v>896</v>
      </c>
      <c r="E11" s="384"/>
      <c r="F11" s="353"/>
      <c r="G11" s="410" t="s">
        <v>633</v>
      </c>
      <c r="H11" s="384"/>
      <c r="I11" s="353"/>
      <c r="J11" s="350" t="s">
        <v>637</v>
      </c>
    </row>
    <row r="12" customFormat="false" ht="12.75" hidden="false" customHeight="false" outlineLevel="0" collapsed="false">
      <c r="A12" s="358"/>
      <c r="B12" s="529"/>
      <c r="C12" s="353"/>
      <c r="D12" s="358" t="s">
        <v>897</v>
      </c>
      <c r="E12" s="359"/>
      <c r="F12" s="353"/>
      <c r="G12" s="358" t="s">
        <v>11</v>
      </c>
      <c r="H12" s="359"/>
      <c r="I12" s="353"/>
      <c r="J12" s="227" t="s">
        <v>643</v>
      </c>
      <c r="M12" s="350" t="s">
        <v>898</v>
      </c>
    </row>
    <row r="13" customFormat="false" ht="12.75" hidden="false" customHeight="false" outlineLevel="0" collapsed="false">
      <c r="A13" s="432" t="s">
        <v>648</v>
      </c>
      <c r="B13" s="433" t="s">
        <v>899</v>
      </c>
      <c r="C13" s="414"/>
      <c r="D13" s="426" t="s">
        <v>650</v>
      </c>
      <c r="E13" s="427" t="s">
        <v>651</v>
      </c>
      <c r="F13" s="414"/>
      <c r="G13" s="426" t="s">
        <v>650</v>
      </c>
      <c r="H13" s="427" t="s">
        <v>652</v>
      </c>
      <c r="I13" s="414"/>
      <c r="J13" s="350" t="s">
        <v>659</v>
      </c>
      <c r="M13" s="422" t="s">
        <v>150</v>
      </c>
      <c r="N13" s="423" t="s">
        <v>542</v>
      </c>
    </row>
    <row r="14" customFormat="false" ht="12.75" hidden="false" customHeight="false" outlineLevel="0" collapsed="false">
      <c r="A14" s="446" t="s">
        <v>667</v>
      </c>
      <c r="B14" s="441" t="n">
        <v>0.0439</v>
      </c>
      <c r="C14" s="421"/>
      <c r="D14" s="440" t="s">
        <v>667</v>
      </c>
      <c r="E14" s="441" t="n">
        <v>0.0178</v>
      </c>
      <c r="F14" s="421"/>
      <c r="G14" s="440" t="s">
        <v>667</v>
      </c>
      <c r="H14" s="441" t="n">
        <v>0.5603</v>
      </c>
      <c r="I14" s="421"/>
      <c r="J14" s="437" t="s">
        <v>667</v>
      </c>
      <c r="K14" s="438" t="n">
        <f aca="false">0.005+0.002</f>
        <v>0.007</v>
      </c>
      <c r="M14" s="437" t="s">
        <v>667</v>
      </c>
      <c r="N14" s="438" t="n">
        <v>0.0112</v>
      </c>
    </row>
    <row r="15" customFormat="false" ht="12.75" hidden="false" customHeight="false" outlineLevel="0" collapsed="false">
      <c r="A15" s="446" t="s">
        <v>119</v>
      </c>
      <c r="B15" s="441" t="n">
        <f aca="false">0.0022+0.0072+0.0225</f>
        <v>0.0319</v>
      </c>
      <c r="C15" s="421"/>
      <c r="D15" s="440" t="s">
        <v>119</v>
      </c>
      <c r="E15" s="441" t="n">
        <f aca="false">0.0022+0.0072</f>
        <v>0.0094</v>
      </c>
      <c r="F15" s="421"/>
      <c r="G15" s="440" t="s">
        <v>119</v>
      </c>
      <c r="H15" s="441" t="n">
        <f aca="false">0.0022+0.0072</f>
        <v>0.0094</v>
      </c>
      <c r="I15" s="421"/>
      <c r="J15" s="437" t="s">
        <v>119</v>
      </c>
      <c r="K15" s="438" t="n">
        <f aca="false">0.0022+0.0072</f>
        <v>0.0094</v>
      </c>
      <c r="M15" s="437" t="s">
        <v>119</v>
      </c>
      <c r="N15" s="438" t="n">
        <f aca="false">0.0022+0.0072</f>
        <v>0.0094</v>
      </c>
    </row>
    <row r="16" customFormat="false" ht="12.75" hidden="false" customHeight="false" outlineLevel="0" collapsed="false">
      <c r="A16" s="446" t="s">
        <v>900</v>
      </c>
      <c r="B16" s="530" t="n">
        <f aca="false">(B3)/(1-0.0089)-B3</f>
        <v>0.0393320552920997</v>
      </c>
      <c r="C16" s="447"/>
      <c r="D16" s="440" t="s">
        <v>706</v>
      </c>
      <c r="E16" s="452" t="n">
        <f aca="false">(E5)/(1-0.0268)-E5</f>
        <v>0.0757708590217838</v>
      </c>
      <c r="F16" s="447"/>
      <c r="G16" s="440" t="s">
        <v>901</v>
      </c>
      <c r="H16" s="452" t="n">
        <f aca="false">(H5)/(1-0.0926)-H5</f>
        <v>0.28079005951069</v>
      </c>
      <c r="I16" s="447"/>
      <c r="J16" s="437" t="s">
        <v>677</v>
      </c>
      <c r="K16" s="451" t="n">
        <f aca="false">+K3/(1-0.0022)-K3</f>
        <v>0.00987773100821787</v>
      </c>
      <c r="M16" s="437" t="s">
        <v>902</v>
      </c>
      <c r="N16" s="451" t="n">
        <f aca="false">+N3/(1-0.0058)-N3</f>
        <v>0.0173264936632469</v>
      </c>
    </row>
    <row r="17" customFormat="false" ht="12.75" hidden="false" customHeight="false" outlineLevel="0" collapsed="false">
      <c r="A17" s="465"/>
      <c r="B17" s="461" t="n">
        <f aca="false">SUM(B14:B16)</f>
        <v>0.1151320552921</v>
      </c>
      <c r="C17" s="449"/>
      <c r="D17" s="440"/>
      <c r="E17" s="461" t="n">
        <f aca="false">SUM(E14:E16)</f>
        <v>0.102970859021784</v>
      </c>
      <c r="F17" s="449"/>
      <c r="G17" s="440"/>
      <c r="H17" s="461" t="n">
        <f aca="false">SUM(H14:H16)</f>
        <v>0.85049005951069</v>
      </c>
      <c r="I17" s="449"/>
      <c r="J17" s="459"/>
      <c r="K17" s="460" t="n">
        <f aca="false">SUM(K14:K16)</f>
        <v>0.0262777310082179</v>
      </c>
      <c r="M17" s="459"/>
      <c r="N17" s="460" t="n">
        <f aca="false">SUM(N14:N16)</f>
        <v>0.0379264936632469</v>
      </c>
    </row>
    <row r="18" customFormat="false" ht="12.75" hidden="false" customHeight="false" outlineLevel="0" collapsed="false">
      <c r="A18" s="531" t="s">
        <v>648</v>
      </c>
      <c r="B18" s="532" t="s">
        <v>903</v>
      </c>
      <c r="C18" s="414"/>
      <c r="D18" s="426" t="s">
        <v>650</v>
      </c>
      <c r="E18" s="427" t="s">
        <v>686</v>
      </c>
      <c r="F18" s="414"/>
      <c r="G18" s="426" t="s">
        <v>650</v>
      </c>
      <c r="H18" s="427" t="s">
        <v>687</v>
      </c>
      <c r="I18" s="414"/>
    </row>
    <row r="19" customFormat="false" ht="12.75" hidden="false" customHeight="false" outlineLevel="0" collapsed="false">
      <c r="A19" s="446" t="s">
        <v>667</v>
      </c>
      <c r="B19" s="441" t="n">
        <v>0.0669</v>
      </c>
      <c r="C19" s="421"/>
      <c r="D19" s="440" t="s">
        <v>667</v>
      </c>
      <c r="E19" s="441" t="n">
        <v>0.0187</v>
      </c>
      <c r="F19" s="421"/>
      <c r="G19" s="440" t="s">
        <v>667</v>
      </c>
      <c r="H19" s="441" t="n">
        <v>0.6649</v>
      </c>
      <c r="I19" s="421"/>
      <c r="J19" s="350" t="s">
        <v>694</v>
      </c>
      <c r="M19" s="422" t="s">
        <v>150</v>
      </c>
      <c r="N19" s="423" t="s">
        <v>693</v>
      </c>
    </row>
    <row r="20" customFormat="false" ht="12.75" hidden="false" customHeight="false" outlineLevel="0" collapsed="false">
      <c r="A20" s="446" t="s">
        <v>119</v>
      </c>
      <c r="B20" s="441" t="n">
        <f aca="false">0.0022+0.0072+0.0225</f>
        <v>0.0319</v>
      </c>
      <c r="C20" s="421"/>
      <c r="D20" s="440" t="s">
        <v>119</v>
      </c>
      <c r="E20" s="441" t="n">
        <f aca="false">0.0022</f>
        <v>0.0022</v>
      </c>
      <c r="F20" s="421"/>
      <c r="G20" s="440" t="s">
        <v>119</v>
      </c>
      <c r="H20" s="441" t="n">
        <f aca="false">0.0022+0.0072</f>
        <v>0.0094</v>
      </c>
      <c r="I20" s="421"/>
      <c r="J20" s="437" t="s">
        <v>667</v>
      </c>
      <c r="K20" s="438" t="n">
        <f aca="false">0.0303+0.002</f>
        <v>0.0323</v>
      </c>
      <c r="M20" s="437" t="s">
        <v>667</v>
      </c>
      <c r="N20" s="438" t="n">
        <v>0</v>
      </c>
    </row>
    <row r="21" customFormat="false" ht="12.75" hidden="false" customHeight="false" outlineLevel="0" collapsed="false">
      <c r="A21" s="446" t="s">
        <v>904</v>
      </c>
      <c r="B21" s="530" t="n">
        <f aca="false">(B3)/(1-0.0279)-B3</f>
        <v>0.125709289167781</v>
      </c>
      <c r="C21" s="447"/>
      <c r="D21" s="440" t="s">
        <v>905</v>
      </c>
      <c r="E21" s="452" t="n">
        <f aca="false">(E5)/(1-0.0293)-E5</f>
        <v>0.0830523848768929</v>
      </c>
      <c r="F21" s="447"/>
      <c r="G21" s="440" t="s">
        <v>906</v>
      </c>
      <c r="H21" s="452" t="n">
        <f aca="false">(H5)/(1-0.1089)-H5</f>
        <v>0.336256705195825</v>
      </c>
      <c r="I21" s="447"/>
      <c r="J21" s="437" t="s">
        <v>119</v>
      </c>
      <c r="K21" s="438" t="n">
        <f aca="false">0.0072+0.0022</f>
        <v>0.0094</v>
      </c>
      <c r="M21" s="437" t="s">
        <v>119</v>
      </c>
      <c r="N21" s="438" t="n">
        <f aca="false">0.0022+0.0072</f>
        <v>0.0094</v>
      </c>
    </row>
    <row r="22" customFormat="false" ht="12.75" hidden="false" customHeight="false" outlineLevel="0" collapsed="false">
      <c r="A22" s="465"/>
      <c r="B22" s="461" t="n">
        <f aca="false">SUM(B19:B21)</f>
        <v>0.224509289167781</v>
      </c>
      <c r="C22" s="449"/>
      <c r="D22" s="440"/>
      <c r="E22" s="461" t="n">
        <f aca="false">SUM(E19:E21)</f>
        <v>0.103952384876893</v>
      </c>
      <c r="F22" s="449"/>
      <c r="G22" s="440"/>
      <c r="H22" s="461" t="n">
        <f aca="false">SUM(H19:H21)</f>
        <v>1.01055670519583</v>
      </c>
      <c r="I22" s="449"/>
      <c r="J22" s="437" t="s">
        <v>706</v>
      </c>
      <c r="K22" s="451" t="n">
        <f aca="false">+K3/(1-0.0268)-K3</f>
        <v>0.123370324702014</v>
      </c>
      <c r="M22" s="437" t="s">
        <v>902</v>
      </c>
      <c r="N22" s="451" t="n">
        <f aca="false">+N3/(1-0.0058)-N3</f>
        <v>0.0173264936632469</v>
      </c>
    </row>
    <row r="23" customFormat="false" ht="12.75" hidden="false" customHeight="false" outlineLevel="0" collapsed="false">
      <c r="A23" s="531" t="s">
        <v>648</v>
      </c>
      <c r="B23" s="532" t="s">
        <v>907</v>
      </c>
      <c r="C23" s="449"/>
      <c r="D23" s="533" t="s">
        <v>650</v>
      </c>
      <c r="E23" s="534" t="s">
        <v>710</v>
      </c>
      <c r="F23" s="449"/>
      <c r="G23" s="426" t="s">
        <v>650</v>
      </c>
      <c r="H23" s="427" t="s">
        <v>711</v>
      </c>
      <c r="I23" s="449"/>
      <c r="J23" s="459"/>
      <c r="K23" s="460" t="n">
        <f aca="false">SUM(K20:K22)</f>
        <v>0.165070324702014</v>
      </c>
      <c r="M23" s="459"/>
      <c r="N23" s="460" t="n">
        <f aca="false">SUM(N20:N22)</f>
        <v>0.0267264936632469</v>
      </c>
    </row>
    <row r="24" customFormat="false" ht="12.75" hidden="false" customHeight="false" outlineLevel="0" collapsed="false">
      <c r="A24" s="446" t="s">
        <v>667</v>
      </c>
      <c r="B24" s="441" t="n">
        <v>0.088</v>
      </c>
      <c r="C24" s="477"/>
      <c r="D24" s="440" t="s">
        <v>667</v>
      </c>
      <c r="E24" s="441" t="n">
        <v>0.0236</v>
      </c>
      <c r="F24" s="477"/>
      <c r="G24" s="440" t="s">
        <v>667</v>
      </c>
      <c r="H24" s="441" t="n">
        <v>0.4164</v>
      </c>
      <c r="I24" s="477"/>
    </row>
    <row r="25" customFormat="false" ht="12.75" hidden="false" customHeight="false" outlineLevel="0" collapsed="false">
      <c r="A25" s="446" t="s">
        <v>119</v>
      </c>
      <c r="B25" s="441" t="n">
        <f aca="false">0.0022+0.0072</f>
        <v>0.0094</v>
      </c>
      <c r="C25" s="477"/>
      <c r="D25" s="440" t="s">
        <v>119</v>
      </c>
      <c r="E25" s="441" t="n">
        <f aca="false">0.0022+0.0072</f>
        <v>0.0094</v>
      </c>
      <c r="F25" s="477"/>
      <c r="G25" s="440" t="s">
        <v>119</v>
      </c>
      <c r="H25" s="441" t="n">
        <f aca="false">0.0022+0.0072</f>
        <v>0.0094</v>
      </c>
      <c r="I25" s="477"/>
      <c r="J25" s="350" t="s">
        <v>716</v>
      </c>
    </row>
    <row r="26" customFormat="false" ht="12.75" hidden="false" customHeight="false" outlineLevel="0" collapsed="false">
      <c r="A26" s="446" t="s">
        <v>908</v>
      </c>
      <c r="B26" s="530" t="n">
        <f aca="false">(B3)/(1-0.0516)-B3</f>
        <v>0.23830451286377</v>
      </c>
      <c r="C26" s="447"/>
      <c r="D26" s="440" t="s">
        <v>909</v>
      </c>
      <c r="E26" s="452" t="n">
        <f aca="false">(E5)/(1-0.0428)-E5</f>
        <v>0.123029878813205</v>
      </c>
      <c r="F26" s="447"/>
      <c r="G26" s="440" t="s">
        <v>910</v>
      </c>
      <c r="H26" s="452" t="n">
        <f aca="false">(H4)/(1-0.0812)-H4</f>
        <v>0.191334349151067</v>
      </c>
      <c r="I26" s="447"/>
      <c r="J26" s="437" t="s">
        <v>667</v>
      </c>
      <c r="K26" s="438" t="n">
        <f aca="false">0.0275+0.002</f>
        <v>0.0295</v>
      </c>
    </row>
    <row r="27" customFormat="false" ht="12.75" hidden="false" customHeight="false" outlineLevel="0" collapsed="false">
      <c r="A27" s="465"/>
      <c r="B27" s="461" t="n">
        <f aca="false">SUM(B24:B26)</f>
        <v>0.33570451286377</v>
      </c>
      <c r="C27" s="449"/>
      <c r="D27" s="440"/>
      <c r="E27" s="461" t="n">
        <f aca="false">SUM(E24:E26)</f>
        <v>0.156029878813205</v>
      </c>
      <c r="F27" s="449"/>
      <c r="G27" s="440"/>
      <c r="H27" s="461" t="n">
        <f aca="false">SUM(H24:H26)</f>
        <v>0.617134349151067</v>
      </c>
      <c r="I27" s="449"/>
      <c r="J27" s="437" t="s">
        <v>119</v>
      </c>
      <c r="K27" s="438" t="n">
        <f aca="false">0.0072+0.0022</f>
        <v>0.0094</v>
      </c>
    </row>
    <row r="28" customFormat="false" ht="12.75" hidden="false" customHeight="false" outlineLevel="0" collapsed="false">
      <c r="A28" s="531" t="s">
        <v>648</v>
      </c>
      <c r="B28" s="535" t="s">
        <v>911</v>
      </c>
      <c r="C28" s="420"/>
      <c r="D28" s="426" t="s">
        <v>650</v>
      </c>
      <c r="E28" s="427" t="s">
        <v>729</v>
      </c>
      <c r="F28" s="420"/>
      <c r="G28" s="426" t="s">
        <v>650</v>
      </c>
      <c r="H28" s="427" t="s">
        <v>730</v>
      </c>
      <c r="I28" s="420"/>
      <c r="J28" s="437" t="s">
        <v>706</v>
      </c>
      <c r="K28" s="451" t="n">
        <f aca="false">+K3/(1-0.0268)-K3</f>
        <v>0.123370324702014</v>
      </c>
    </row>
    <row r="29" customFormat="false" ht="12.75" hidden="false" customHeight="false" outlineLevel="0" collapsed="false">
      <c r="A29" s="465" t="s">
        <v>667</v>
      </c>
      <c r="B29" s="441" t="n">
        <v>0.0978</v>
      </c>
      <c r="C29" s="421"/>
      <c r="D29" s="440" t="s">
        <v>667</v>
      </c>
      <c r="E29" s="441" t="n">
        <v>0.0708</v>
      </c>
      <c r="F29" s="421"/>
      <c r="G29" s="440" t="s">
        <v>667</v>
      </c>
      <c r="H29" s="441" t="n">
        <v>0.521</v>
      </c>
      <c r="I29" s="421"/>
      <c r="J29" s="459"/>
      <c r="K29" s="460" t="n">
        <f aca="false">SUM(K26:K28)</f>
        <v>0.162270324702014</v>
      </c>
    </row>
    <row r="30" customFormat="false" ht="12.75" hidden="false" customHeight="false" outlineLevel="0" collapsed="false">
      <c r="A30" s="465" t="s">
        <v>119</v>
      </c>
      <c r="B30" s="441" t="n">
        <f aca="false">0.0022</f>
        <v>0.0022</v>
      </c>
      <c r="C30" s="421"/>
      <c r="D30" s="440" t="s">
        <v>119</v>
      </c>
      <c r="E30" s="441" t="n">
        <f aca="false">0.0022+0.0072</f>
        <v>0.0094</v>
      </c>
      <c r="F30" s="421"/>
      <c r="G30" s="440" t="s">
        <v>119</v>
      </c>
      <c r="H30" s="441" t="n">
        <f aca="false">0.0022+0.0072</f>
        <v>0.0094</v>
      </c>
      <c r="I30" s="421"/>
    </row>
    <row r="31" customFormat="false" ht="12.75" hidden="false" customHeight="false" outlineLevel="0" collapsed="false">
      <c r="A31" s="465" t="s">
        <v>912</v>
      </c>
      <c r="B31" s="530" t="n">
        <f aca="false">(B3)/(1-0.0588)-B3</f>
        <v>0.273633659158521</v>
      </c>
      <c r="C31" s="447"/>
      <c r="D31" s="440" t="s">
        <v>913</v>
      </c>
      <c r="E31" s="452" t="n">
        <f aca="false">(E5)/(1-0.0677)-E5</f>
        <v>0.199803228574493</v>
      </c>
      <c r="F31" s="447"/>
      <c r="G31" s="440" t="s">
        <v>914</v>
      </c>
      <c r="H31" s="452" t="n">
        <f aca="false">(H4)/(1-0.0975)-H4</f>
        <v>0.233891966759003</v>
      </c>
      <c r="I31" s="447"/>
      <c r="J31" s="350" t="s">
        <v>741</v>
      </c>
    </row>
    <row r="32" customFormat="false" ht="12.75" hidden="false" customHeight="false" outlineLevel="0" collapsed="false">
      <c r="A32" s="465"/>
      <c r="B32" s="461" t="n">
        <f aca="false">SUM(B29:B31)</f>
        <v>0.373633659158521</v>
      </c>
      <c r="C32" s="449"/>
      <c r="D32" s="440"/>
      <c r="E32" s="461" t="n">
        <f aca="false">SUM(E29:E31)</f>
        <v>0.280003228574493</v>
      </c>
      <c r="F32" s="449"/>
      <c r="G32" s="440"/>
      <c r="H32" s="461" t="n">
        <f aca="false">SUM(H29:H31)</f>
        <v>0.764291966759003</v>
      </c>
      <c r="I32" s="449"/>
      <c r="J32" s="437" t="s">
        <v>667</v>
      </c>
      <c r="K32" s="438" t="n">
        <f aca="false">0.0152+0.002</f>
        <v>0.0172</v>
      </c>
    </row>
    <row r="33" customFormat="false" ht="12.75" hidden="false" customHeight="false" outlineLevel="0" collapsed="false">
      <c r="A33" s="531" t="s">
        <v>648</v>
      </c>
      <c r="B33" s="535" t="s">
        <v>915</v>
      </c>
      <c r="C33" s="420"/>
      <c r="D33" s="426" t="s">
        <v>650</v>
      </c>
      <c r="E33" s="427" t="s">
        <v>652</v>
      </c>
      <c r="F33" s="420"/>
      <c r="G33" s="426" t="s">
        <v>650</v>
      </c>
      <c r="H33" s="427" t="s">
        <v>747</v>
      </c>
      <c r="I33" s="420"/>
      <c r="J33" s="437" t="s">
        <v>119</v>
      </c>
      <c r="K33" s="438" t="n">
        <f aca="false">0.002+0.0072+0.0022</f>
        <v>0.0114</v>
      </c>
    </row>
    <row r="34" customFormat="false" ht="12.75" hidden="false" customHeight="false" outlineLevel="0" collapsed="false">
      <c r="A34" s="465" t="s">
        <v>667</v>
      </c>
      <c r="B34" s="441" t="n">
        <v>0.1118</v>
      </c>
      <c r="C34" s="421"/>
      <c r="D34" s="440" t="s">
        <v>667</v>
      </c>
      <c r="E34" s="441" t="n">
        <v>0.0922</v>
      </c>
      <c r="F34" s="421"/>
      <c r="G34" s="440" t="s">
        <v>667</v>
      </c>
      <c r="H34" s="441" t="n">
        <v>0.3983</v>
      </c>
      <c r="I34" s="421"/>
      <c r="J34" s="437" t="s">
        <v>750</v>
      </c>
      <c r="K34" s="451" t="n">
        <f aca="false">+K3/(1-0.0169)-K3</f>
        <v>0.0770135286339135</v>
      </c>
    </row>
    <row r="35" customFormat="false" ht="12.75" hidden="false" customHeight="false" outlineLevel="0" collapsed="false">
      <c r="A35" s="465" t="s">
        <v>119</v>
      </c>
      <c r="B35" s="441" t="n">
        <f aca="false">0.0022+0.0072</f>
        <v>0.0094</v>
      </c>
      <c r="C35" s="421"/>
      <c r="D35" s="440" t="s">
        <v>119</v>
      </c>
      <c r="E35" s="441" t="n">
        <f aca="false">0.0022+0.0072</f>
        <v>0.0094</v>
      </c>
      <c r="F35" s="421"/>
      <c r="G35" s="440" t="s">
        <v>119</v>
      </c>
      <c r="H35" s="441" t="n">
        <f aca="false">0.0022+0.0072</f>
        <v>0.0094</v>
      </c>
      <c r="I35" s="421"/>
      <c r="J35" s="459"/>
      <c r="K35" s="460" t="n">
        <f aca="false">SUM(K32:K34)</f>
        <v>0.105613528633914</v>
      </c>
    </row>
    <row r="36" customFormat="false" ht="12.75" hidden="false" customHeight="false" outlineLevel="0" collapsed="false">
      <c r="A36" s="465" t="s">
        <v>916</v>
      </c>
      <c r="B36" s="530" t="n">
        <f aca="false">(B3)/(1-0.0679)-B3</f>
        <v>0.319066623752816</v>
      </c>
      <c r="C36" s="447"/>
      <c r="D36" s="440" t="s">
        <v>901</v>
      </c>
      <c r="E36" s="452" t="n">
        <f aca="false">(E5)/(1-0.0926)-E5</f>
        <v>0.28079005951069</v>
      </c>
      <c r="F36" s="447"/>
      <c r="G36" s="440" t="s">
        <v>917</v>
      </c>
      <c r="H36" s="452" t="n">
        <f aca="false">(H3)/(1-0.0761)-H3</f>
        <v>0.20592055417253</v>
      </c>
      <c r="I36" s="447"/>
    </row>
    <row r="37" customFormat="false" ht="12.75" hidden="false" customHeight="false" outlineLevel="0" collapsed="false">
      <c r="A37" s="465"/>
      <c r="B37" s="461" t="n">
        <f aca="false">SUM(B34:B36)</f>
        <v>0.440266623752816</v>
      </c>
      <c r="C37" s="449"/>
      <c r="D37" s="440"/>
      <c r="E37" s="461" t="n">
        <f aca="false">SUM(E34:E36)</f>
        <v>0.38239005951069</v>
      </c>
      <c r="F37" s="449"/>
      <c r="G37" s="440"/>
      <c r="H37" s="461" t="n">
        <f aca="false">SUM(H34:H36)</f>
        <v>0.61362055417253</v>
      </c>
      <c r="I37" s="449"/>
      <c r="J37" s="350" t="s">
        <v>755</v>
      </c>
    </row>
    <row r="38" customFormat="false" ht="12.75" hidden="false" customHeight="false" outlineLevel="0" collapsed="false">
      <c r="A38" s="531" t="s">
        <v>648</v>
      </c>
      <c r="B38" s="535" t="s">
        <v>918</v>
      </c>
      <c r="C38" s="420"/>
      <c r="D38" s="426" t="s">
        <v>650</v>
      </c>
      <c r="E38" s="427" t="s">
        <v>687</v>
      </c>
      <c r="F38" s="420"/>
      <c r="G38" s="426" t="s">
        <v>650</v>
      </c>
      <c r="H38" s="427" t="s">
        <v>760</v>
      </c>
      <c r="I38" s="420"/>
      <c r="J38" s="437" t="s">
        <v>667</v>
      </c>
      <c r="K38" s="438" t="n">
        <f aca="false">0.0152+0.002</f>
        <v>0.0172</v>
      </c>
    </row>
    <row r="39" customFormat="false" ht="12.75" hidden="false" customHeight="false" outlineLevel="0" collapsed="false">
      <c r="A39" s="465" t="s">
        <v>667</v>
      </c>
      <c r="B39" s="441" t="n">
        <v>0.1231</v>
      </c>
      <c r="C39" s="421"/>
      <c r="D39" s="440" t="s">
        <v>667</v>
      </c>
      <c r="E39" s="441" t="n">
        <v>0.1071</v>
      </c>
      <c r="F39" s="421"/>
      <c r="G39" s="440" t="s">
        <v>667</v>
      </c>
      <c r="H39" s="441" t="n">
        <v>0.5029</v>
      </c>
      <c r="I39" s="421"/>
      <c r="J39" s="437" t="s">
        <v>119</v>
      </c>
      <c r="K39" s="438" t="n">
        <f aca="false">0.0072+0.0022</f>
        <v>0.0094</v>
      </c>
    </row>
    <row r="40" customFormat="false" ht="12.75" hidden="false" customHeight="false" outlineLevel="0" collapsed="false">
      <c r="A40" s="465" t="s">
        <v>119</v>
      </c>
      <c r="B40" s="441" t="n">
        <f aca="false">0.0022+0.0072</f>
        <v>0.0094</v>
      </c>
      <c r="C40" s="421"/>
      <c r="D40" s="440" t="s">
        <v>119</v>
      </c>
      <c r="E40" s="441" t="n">
        <f aca="false">0.0022+0.0072</f>
        <v>0.0094</v>
      </c>
      <c r="F40" s="421"/>
      <c r="G40" s="440" t="s">
        <v>119</v>
      </c>
      <c r="H40" s="441" t="n">
        <f aca="false">0.0022+0.0072</f>
        <v>0.0094</v>
      </c>
      <c r="I40" s="421"/>
      <c r="J40" s="437" t="s">
        <v>679</v>
      </c>
      <c r="K40" s="451" t="n">
        <v>0</v>
      </c>
    </row>
    <row r="41" customFormat="false" ht="12.75" hidden="false" customHeight="false" outlineLevel="0" collapsed="false">
      <c r="A41" s="465" t="s">
        <v>919</v>
      </c>
      <c r="B41" s="530" t="n">
        <f aca="false">(B3)/(1-0.0788)-B3</f>
        <v>0.37466782457664</v>
      </c>
      <c r="C41" s="447"/>
      <c r="D41" s="440" t="s">
        <v>906</v>
      </c>
      <c r="E41" s="452" t="n">
        <f aca="false">(E5)/(1-0.1089)-E5</f>
        <v>0.336256705195825</v>
      </c>
      <c r="F41" s="447"/>
      <c r="G41" s="440" t="s">
        <v>920</v>
      </c>
      <c r="H41" s="452" t="n">
        <f aca="false">(H3)/(1-0.0924)-H3</f>
        <v>0.254517408550022</v>
      </c>
      <c r="I41" s="447"/>
      <c r="J41" s="459"/>
      <c r="K41" s="460" t="n">
        <f aca="false">SUM(K38:K40)</f>
        <v>0.0266</v>
      </c>
    </row>
    <row r="42" customFormat="false" ht="12.75" hidden="false" customHeight="false" outlineLevel="0" collapsed="false">
      <c r="A42" s="465"/>
      <c r="B42" s="461" t="n">
        <f aca="false">SUM(B39:B41)</f>
        <v>0.50716782457664</v>
      </c>
      <c r="C42" s="449"/>
      <c r="D42" s="440"/>
      <c r="E42" s="461" t="n">
        <f aca="false">SUM(E39:E41)</f>
        <v>0.452756705195825</v>
      </c>
      <c r="F42" s="449"/>
      <c r="G42" s="440"/>
      <c r="H42" s="461" t="n">
        <f aca="false">SUM(H39:H41)</f>
        <v>0.766817408550022</v>
      </c>
      <c r="I42" s="449"/>
    </row>
    <row r="43" customFormat="false" ht="12.75" hidden="false" customHeight="false" outlineLevel="0" collapsed="false">
      <c r="A43" s="531" t="s">
        <v>648</v>
      </c>
      <c r="B43" s="535" t="s">
        <v>921</v>
      </c>
      <c r="C43" s="420"/>
      <c r="D43" s="426" t="s">
        <v>650</v>
      </c>
      <c r="E43" s="427" t="s">
        <v>770</v>
      </c>
      <c r="F43" s="420"/>
      <c r="G43" s="426" t="s">
        <v>650</v>
      </c>
      <c r="H43" s="427" t="s">
        <v>771</v>
      </c>
      <c r="I43" s="420"/>
    </row>
    <row r="44" customFormat="false" ht="12.75" hidden="false" customHeight="false" outlineLevel="0" collapsed="false">
      <c r="A44" s="465" t="s">
        <v>667</v>
      </c>
      <c r="B44" s="441" t="n">
        <v>0.1608</v>
      </c>
      <c r="C44" s="421"/>
      <c r="D44" s="440" t="s">
        <v>667</v>
      </c>
      <c r="E44" s="441" t="n">
        <v>0.0147</v>
      </c>
      <c r="F44" s="421"/>
      <c r="G44" s="440" t="s">
        <v>667</v>
      </c>
      <c r="H44" s="441" t="n">
        <v>0.3138</v>
      </c>
      <c r="I44" s="421"/>
    </row>
    <row r="45" customFormat="false" ht="12.75" hidden="false" customHeight="false" outlineLevel="0" collapsed="false">
      <c r="A45" s="465" t="s">
        <v>119</v>
      </c>
      <c r="B45" s="441" t="n">
        <f aca="false">0.0022+0.0072</f>
        <v>0.0094</v>
      </c>
      <c r="C45" s="421"/>
      <c r="D45" s="440" t="s">
        <v>119</v>
      </c>
      <c r="E45" s="441" t="n">
        <f aca="false">0.0022</f>
        <v>0.0022</v>
      </c>
      <c r="F45" s="421"/>
      <c r="G45" s="440" t="s">
        <v>119</v>
      </c>
      <c r="H45" s="441" t="n">
        <f aca="false">0.0022+0.0072</f>
        <v>0.0094</v>
      </c>
      <c r="I45" s="421"/>
    </row>
    <row r="46" customFormat="false" ht="12.75" hidden="false" customHeight="false" outlineLevel="0" collapsed="false">
      <c r="A46" s="465" t="s">
        <v>922</v>
      </c>
      <c r="B46" s="530" t="n">
        <f aca="false">(B3)/(1-0.0871)-B3</f>
        <v>0.417896812356227</v>
      </c>
      <c r="C46" s="447"/>
      <c r="D46" s="440" t="s">
        <v>923</v>
      </c>
      <c r="E46" s="452" t="n">
        <f aca="false">(E4)/(1-0.0175)-E4</f>
        <v>0.0385623409669211</v>
      </c>
      <c r="F46" s="447"/>
      <c r="G46" s="440" t="s">
        <v>924</v>
      </c>
      <c r="H46" s="452" t="n">
        <f aca="false">(H6)/(1-0.0498)-(H6)</f>
        <v>0.136266049252789</v>
      </c>
      <c r="I46" s="447"/>
    </row>
    <row r="47" customFormat="false" ht="12.75" hidden="false" customHeight="false" outlineLevel="0" collapsed="false">
      <c r="A47" s="465"/>
      <c r="B47" s="461" t="n">
        <f aca="false">SUM(B44:B46)</f>
        <v>0.588096812356228</v>
      </c>
      <c r="C47" s="449"/>
      <c r="D47" s="440"/>
      <c r="E47" s="461" t="n">
        <f aca="false">SUM(E44:E46)</f>
        <v>0.0554623409669211</v>
      </c>
      <c r="F47" s="449"/>
      <c r="G47" s="440"/>
      <c r="H47" s="461" t="n">
        <f aca="false">SUM(H44:H46)</f>
        <v>0.459466049252789</v>
      </c>
      <c r="I47" s="449"/>
    </row>
    <row r="48" customFormat="false" ht="12.75" hidden="false" customHeight="false" outlineLevel="0" collapsed="false">
      <c r="A48" s="531" t="s">
        <v>648</v>
      </c>
      <c r="B48" s="532" t="s">
        <v>925</v>
      </c>
      <c r="C48" s="493"/>
      <c r="D48" s="426" t="s">
        <v>650</v>
      </c>
      <c r="E48" s="427" t="s">
        <v>783</v>
      </c>
      <c r="F48" s="493"/>
      <c r="G48" s="426" t="s">
        <v>650</v>
      </c>
      <c r="H48" s="427" t="s">
        <v>784</v>
      </c>
      <c r="I48" s="493"/>
    </row>
    <row r="49" customFormat="false" ht="12.75" hidden="false" customHeight="false" outlineLevel="0" collapsed="false">
      <c r="A49" s="446" t="s">
        <v>667</v>
      </c>
      <c r="B49" s="441" t="n">
        <v>0.0286</v>
      </c>
      <c r="C49" s="421"/>
      <c r="D49" s="440" t="s">
        <v>667</v>
      </c>
      <c r="E49" s="441" t="n">
        <v>0.0195</v>
      </c>
      <c r="F49" s="421"/>
      <c r="G49" s="440" t="s">
        <v>667</v>
      </c>
      <c r="H49" s="441" t="n">
        <v>0.4184</v>
      </c>
      <c r="I49" s="421"/>
    </row>
    <row r="50" customFormat="false" ht="12.75" hidden="false" customHeight="false" outlineLevel="0" collapsed="false">
      <c r="A50" s="446" t="s">
        <v>119</v>
      </c>
      <c r="B50" s="441" t="n">
        <f aca="false">0.0022+0.0072+0.0225</f>
        <v>0.0319</v>
      </c>
      <c r="C50" s="421"/>
      <c r="D50" s="440" t="s">
        <v>119</v>
      </c>
      <c r="E50" s="441" t="n">
        <f aca="false">0.0022+0.0072</f>
        <v>0.0094</v>
      </c>
      <c r="F50" s="421"/>
      <c r="G50" s="440" t="s">
        <v>119</v>
      </c>
      <c r="H50" s="441" t="n">
        <f aca="false">0.0022+0.0072</f>
        <v>0.0094</v>
      </c>
      <c r="I50" s="421"/>
    </row>
    <row r="51" customFormat="false" ht="12.75" hidden="false" customHeight="false" outlineLevel="0" collapsed="false">
      <c r="A51" s="446" t="s">
        <v>841</v>
      </c>
      <c r="B51" s="536" t="n">
        <f aca="false">(B4)/(1-0.0101)-B4</f>
        <v>0.0449444388322053</v>
      </c>
      <c r="C51" s="447"/>
      <c r="D51" s="440" t="s">
        <v>926</v>
      </c>
      <c r="E51" s="452" t="n">
        <f aca="false">(E4)/(1-0.0314)-E4</f>
        <v>0.0701848028081766</v>
      </c>
      <c r="F51" s="447"/>
      <c r="G51" s="440" t="s">
        <v>927</v>
      </c>
      <c r="H51" s="452" t="n">
        <f aca="false">(H6)/(1-0.0661)-(H6)</f>
        <v>0.184023985437413</v>
      </c>
      <c r="I51" s="447"/>
    </row>
    <row r="52" customFormat="false" ht="12.75" hidden="false" customHeight="false" outlineLevel="0" collapsed="false">
      <c r="A52" s="465"/>
      <c r="B52" s="461" t="n">
        <f aca="false">SUM(B49:B51)</f>
        <v>0.105444438832205</v>
      </c>
      <c r="C52" s="449"/>
      <c r="D52" s="440"/>
      <c r="E52" s="461" t="n">
        <f aca="false">SUM(E49:E51)</f>
        <v>0.0990848028081766</v>
      </c>
      <c r="F52" s="449"/>
      <c r="G52" s="440"/>
      <c r="H52" s="461" t="n">
        <f aca="false">SUM(H49:H51)</f>
        <v>0.611823985437413</v>
      </c>
      <c r="I52" s="449"/>
    </row>
    <row r="53" customFormat="false" ht="12.75" hidden="false" customHeight="false" outlineLevel="0" collapsed="false">
      <c r="A53" s="531" t="s">
        <v>648</v>
      </c>
      <c r="B53" s="532" t="s">
        <v>646</v>
      </c>
      <c r="C53" s="493"/>
      <c r="D53" s="426" t="s">
        <v>650</v>
      </c>
      <c r="E53" s="427" t="s">
        <v>794</v>
      </c>
      <c r="F53" s="493"/>
      <c r="G53" s="426" t="s">
        <v>650</v>
      </c>
      <c r="H53" s="461" t="s">
        <v>795</v>
      </c>
      <c r="I53" s="493"/>
    </row>
    <row r="54" customFormat="false" ht="12.75" hidden="false" customHeight="false" outlineLevel="0" collapsed="false">
      <c r="A54" s="446" t="s">
        <v>667</v>
      </c>
      <c r="B54" s="441" t="n">
        <v>0.0572</v>
      </c>
      <c r="C54" s="421"/>
      <c r="D54" s="440" t="s">
        <v>667</v>
      </c>
      <c r="E54" s="441" t="n">
        <v>0.0667</v>
      </c>
      <c r="F54" s="421"/>
      <c r="G54" s="440" t="s">
        <v>667</v>
      </c>
      <c r="H54" s="496" t="n">
        <v>0.3439</v>
      </c>
      <c r="I54" s="421"/>
    </row>
    <row r="55" customFormat="false" ht="12.75" hidden="false" customHeight="false" outlineLevel="0" collapsed="false">
      <c r="A55" s="446" t="s">
        <v>119</v>
      </c>
      <c r="B55" s="441" t="n">
        <f aca="false">0.0022+0.0072+0.0225</f>
        <v>0.0319</v>
      </c>
      <c r="C55" s="421"/>
      <c r="D55" s="440" t="s">
        <v>119</v>
      </c>
      <c r="E55" s="441" t="n">
        <f aca="false">0.0022+0.0072</f>
        <v>0.0094</v>
      </c>
      <c r="F55" s="421"/>
      <c r="G55" s="440" t="s">
        <v>119</v>
      </c>
      <c r="H55" s="441" t="n">
        <f aca="false">0.0022+0.0072</f>
        <v>0.0094</v>
      </c>
      <c r="I55" s="421"/>
    </row>
    <row r="56" customFormat="false" ht="12.75" hidden="false" customHeight="false" outlineLevel="0" collapsed="false">
      <c r="A56" s="446" t="s">
        <v>776</v>
      </c>
      <c r="B56" s="536" t="n">
        <f aca="false">(B4)/(1-0.0191)-B4</f>
        <v>0.0857737791823832</v>
      </c>
      <c r="C56" s="447"/>
      <c r="D56" s="440" t="s">
        <v>928</v>
      </c>
      <c r="E56" s="452" t="n">
        <f aca="false">(E4)/(1-0.0563)-E4</f>
        <v>0.129161280067818</v>
      </c>
      <c r="F56" s="447"/>
      <c r="G56" s="440" t="s">
        <v>929</v>
      </c>
      <c r="H56" s="452" t="n">
        <f aca="false">(H6)/(1-0.0545)-H6</f>
        <v>0.149867794817557</v>
      </c>
      <c r="I56" s="447"/>
    </row>
    <row r="57" customFormat="false" ht="12.75" hidden="false" customHeight="false" outlineLevel="0" collapsed="false">
      <c r="A57" s="465"/>
      <c r="B57" s="461" t="n">
        <f aca="false">SUM(B54:B56)</f>
        <v>0.174873779182383</v>
      </c>
      <c r="C57" s="449"/>
      <c r="D57" s="440"/>
      <c r="E57" s="461" t="n">
        <f aca="false">SUM(E54:E56)</f>
        <v>0.205261280067818</v>
      </c>
      <c r="F57" s="449"/>
      <c r="G57" s="440"/>
      <c r="H57" s="461" t="n">
        <f aca="false">SUM(H54:H56)</f>
        <v>0.503167794817557</v>
      </c>
      <c r="I57" s="449"/>
    </row>
    <row r="58" customFormat="false" ht="12.75" hidden="false" customHeight="false" outlineLevel="0" collapsed="false">
      <c r="A58" s="531" t="s">
        <v>648</v>
      </c>
      <c r="B58" s="532" t="s">
        <v>683</v>
      </c>
      <c r="C58" s="420"/>
      <c r="D58" s="426" t="s">
        <v>650</v>
      </c>
      <c r="E58" s="427" t="s">
        <v>711</v>
      </c>
      <c r="F58" s="420"/>
      <c r="G58" s="426" t="s">
        <v>650</v>
      </c>
      <c r="H58" s="461" t="s">
        <v>803</v>
      </c>
      <c r="I58" s="420"/>
    </row>
    <row r="59" customFormat="false" ht="12.75" hidden="false" customHeight="false" outlineLevel="0" collapsed="false">
      <c r="A59" s="446" t="s">
        <v>667</v>
      </c>
      <c r="B59" s="441" t="n">
        <v>0.0776</v>
      </c>
      <c r="C59" s="421"/>
      <c r="D59" s="440" t="s">
        <v>667</v>
      </c>
      <c r="E59" s="441" t="n">
        <v>0.0881</v>
      </c>
      <c r="F59" s="421"/>
      <c r="G59" s="440" t="s">
        <v>667</v>
      </c>
      <c r="H59" s="496" t="n">
        <v>0.1908</v>
      </c>
      <c r="I59" s="421"/>
    </row>
    <row r="60" customFormat="false" ht="12.75" hidden="false" customHeight="false" outlineLevel="0" collapsed="false">
      <c r="A60" s="446" t="s">
        <v>119</v>
      </c>
      <c r="B60" s="441" t="n">
        <f aca="false">0.0022+0.0072</f>
        <v>0.0094</v>
      </c>
      <c r="C60" s="421"/>
      <c r="D60" s="440" t="s">
        <v>119</v>
      </c>
      <c r="E60" s="441" t="n">
        <f aca="false">0.0022+0.0072</f>
        <v>0.0094</v>
      </c>
      <c r="F60" s="421"/>
      <c r="G60" s="440" t="s">
        <v>119</v>
      </c>
      <c r="H60" s="441" t="n">
        <f aca="false">0.0022+0.0072</f>
        <v>0.0094</v>
      </c>
      <c r="I60" s="421"/>
    </row>
    <row r="61" customFormat="false" ht="12.75" hidden="false" customHeight="false" outlineLevel="0" collapsed="false">
      <c r="A61" s="446" t="s">
        <v>909</v>
      </c>
      <c r="B61" s="530" t="n">
        <f aca="false">(B4)/(1-0.0428)-B4</f>
        <v>0.196964061847054</v>
      </c>
      <c r="C61" s="447"/>
      <c r="D61" s="440" t="s">
        <v>910</v>
      </c>
      <c r="E61" s="452" t="n">
        <f aca="false">(E4)/(1-0.0812)-E4</f>
        <v>0.191334349151067</v>
      </c>
      <c r="F61" s="447"/>
      <c r="G61" s="440" t="s">
        <v>930</v>
      </c>
      <c r="H61" s="452" t="n">
        <f aca="false">(H7)/(1-0.0299)-H7</f>
        <v>0.0944680960725699</v>
      </c>
      <c r="I61" s="447"/>
    </row>
    <row r="62" customFormat="false" ht="12.75" hidden="false" customHeight="false" outlineLevel="0" collapsed="false">
      <c r="A62" s="465"/>
      <c r="B62" s="461" t="n">
        <f aca="false">SUM(B59:B61)</f>
        <v>0.283964061847054</v>
      </c>
      <c r="C62" s="449"/>
      <c r="D62" s="440"/>
      <c r="E62" s="461" t="n">
        <f aca="false">SUM(E59:E61)</f>
        <v>0.288834349151067</v>
      </c>
      <c r="F62" s="449"/>
      <c r="G62" s="440"/>
      <c r="H62" s="461" t="n">
        <f aca="false">SUM(H59:H61)</f>
        <v>0.29466809607257</v>
      </c>
      <c r="I62" s="449"/>
    </row>
    <row r="63" customFormat="false" ht="12.75" hidden="false" customHeight="false" outlineLevel="0" collapsed="false">
      <c r="A63" s="531" t="s">
        <v>648</v>
      </c>
      <c r="B63" s="532" t="s">
        <v>707</v>
      </c>
      <c r="C63" s="420"/>
      <c r="D63" s="426" t="s">
        <v>650</v>
      </c>
      <c r="E63" s="427" t="s">
        <v>730</v>
      </c>
      <c r="F63" s="420"/>
      <c r="G63" s="497"/>
      <c r="H63" s="498"/>
      <c r="I63" s="420"/>
    </row>
    <row r="64" customFormat="false" ht="12.75" hidden="false" customHeight="false" outlineLevel="0" collapsed="false">
      <c r="A64" s="446" t="s">
        <v>667</v>
      </c>
      <c r="B64" s="441" t="n">
        <v>0.0874</v>
      </c>
      <c r="C64" s="421"/>
      <c r="D64" s="440" t="s">
        <v>667</v>
      </c>
      <c r="E64" s="441" t="n">
        <v>0.103</v>
      </c>
      <c r="F64" s="421"/>
      <c r="G64" s="499"/>
      <c r="H64" s="500"/>
      <c r="I64" s="421"/>
    </row>
    <row r="65" customFormat="false" ht="12.75" hidden="false" customHeight="false" outlineLevel="0" collapsed="false">
      <c r="A65" s="446" t="s">
        <v>119</v>
      </c>
      <c r="B65" s="441" t="n">
        <f aca="false">0.0022</f>
        <v>0.0022</v>
      </c>
      <c r="C65" s="421"/>
      <c r="D65" s="440" t="s">
        <v>119</v>
      </c>
      <c r="E65" s="441" t="n">
        <f aca="false">0.0022+0.0072</f>
        <v>0.0094</v>
      </c>
      <c r="F65" s="421"/>
      <c r="G65" s="499"/>
      <c r="H65" s="499"/>
      <c r="I65" s="421"/>
    </row>
    <row r="66" customFormat="false" ht="12.75" hidden="false" customHeight="false" outlineLevel="0" collapsed="false">
      <c r="A66" s="446" t="s">
        <v>931</v>
      </c>
      <c r="B66" s="452" t="n">
        <f aca="false">(B4)/(1-0.0499)-B4</f>
        <v>0.231354067992843</v>
      </c>
      <c r="C66" s="447"/>
      <c r="D66" s="440" t="s">
        <v>914</v>
      </c>
      <c r="E66" s="452" t="n">
        <f aca="false">(E4)/(1-0.0975)-E4</f>
        <v>0.233891966759003</v>
      </c>
      <c r="F66" s="447"/>
      <c r="G66" s="499"/>
      <c r="H66" s="502"/>
      <c r="I66" s="447"/>
    </row>
    <row r="67" customFormat="false" ht="12.75" hidden="false" customHeight="false" outlineLevel="0" collapsed="false">
      <c r="A67" s="465"/>
      <c r="B67" s="461" t="n">
        <f aca="false">SUM(B64:B66)</f>
        <v>0.320954067992843</v>
      </c>
      <c r="C67" s="449"/>
      <c r="D67" s="440"/>
      <c r="E67" s="461" t="n">
        <f aca="false">SUM(E64:E66)</f>
        <v>0.346291966759003</v>
      </c>
      <c r="F67" s="449"/>
      <c r="G67" s="499"/>
      <c r="H67" s="498"/>
      <c r="I67" s="449"/>
    </row>
    <row r="68" customFormat="false" ht="12.75" hidden="false" customHeight="false" outlineLevel="0" collapsed="false">
      <c r="A68" s="531" t="s">
        <v>648</v>
      </c>
      <c r="B68" s="532" t="s">
        <v>726</v>
      </c>
      <c r="C68" s="414"/>
      <c r="D68" s="426" t="s">
        <v>650</v>
      </c>
      <c r="E68" s="427" t="s">
        <v>817</v>
      </c>
      <c r="F68" s="414"/>
      <c r="G68" s="499"/>
      <c r="H68" s="499"/>
      <c r="I68" s="414"/>
    </row>
    <row r="69" customFormat="false" ht="12.75" hidden="false" customHeight="false" outlineLevel="0" collapsed="false">
      <c r="A69" s="446" t="s">
        <v>667</v>
      </c>
      <c r="B69" s="441" t="n">
        <v>0.1015</v>
      </c>
      <c r="C69" s="421"/>
      <c r="D69" s="440" t="s">
        <v>667</v>
      </c>
      <c r="E69" s="441" t="n">
        <v>0.0236</v>
      </c>
      <c r="F69" s="421"/>
      <c r="G69" s="499"/>
      <c r="H69" s="499"/>
      <c r="I69" s="421"/>
    </row>
    <row r="70" customFormat="false" ht="12.75" hidden="false" customHeight="false" outlineLevel="0" collapsed="false">
      <c r="A70" s="446" t="s">
        <v>119</v>
      </c>
      <c r="B70" s="441" t="n">
        <f aca="false">0.0022+0.0072</f>
        <v>0.0094</v>
      </c>
      <c r="C70" s="421"/>
      <c r="D70" s="440" t="s">
        <v>119</v>
      </c>
      <c r="E70" s="441" t="n">
        <f aca="false">0.0022+0.0072</f>
        <v>0.0094</v>
      </c>
      <c r="F70" s="421"/>
      <c r="G70" s="502"/>
      <c r="H70" s="502"/>
      <c r="I70" s="421"/>
    </row>
    <row r="71" customFormat="false" ht="12.75" hidden="false" customHeight="false" outlineLevel="0" collapsed="false">
      <c r="A71" s="446" t="s">
        <v>932</v>
      </c>
      <c r="B71" s="536" t="n">
        <f aca="false">(B4)/(1-0.059)-B4</f>
        <v>0.276190223166844</v>
      </c>
      <c r="C71" s="447"/>
      <c r="D71" s="440" t="s">
        <v>706</v>
      </c>
      <c r="E71" s="452" t="n">
        <f aca="false">(E3)/(1-0.0268)-E3</f>
        <v>0.0688450472667488</v>
      </c>
      <c r="F71" s="447"/>
      <c r="G71" s="498"/>
      <c r="H71" s="498"/>
      <c r="I71" s="447"/>
    </row>
    <row r="72" customFormat="false" ht="12.75" hidden="false" customHeight="false" outlineLevel="0" collapsed="false">
      <c r="A72" s="465"/>
      <c r="B72" s="461" t="n">
        <f aca="false">SUM(B69:B71)</f>
        <v>0.387090223166844</v>
      </c>
      <c r="C72" s="449"/>
      <c r="D72" s="440"/>
      <c r="E72" s="461" t="n">
        <f aca="false">SUM(E69:E71)</f>
        <v>0.101845047266749</v>
      </c>
      <c r="F72" s="449"/>
      <c r="G72" s="503"/>
      <c r="H72" s="503"/>
      <c r="I72" s="449"/>
    </row>
    <row r="73" customFormat="false" ht="12.75" hidden="false" customHeight="false" outlineLevel="0" collapsed="false">
      <c r="A73" s="531" t="s">
        <v>648</v>
      </c>
      <c r="B73" s="532" t="s">
        <v>744</v>
      </c>
      <c r="C73" s="414"/>
      <c r="D73" s="426" t="s">
        <v>650</v>
      </c>
      <c r="E73" s="427" t="s">
        <v>823</v>
      </c>
      <c r="F73" s="414"/>
      <c r="G73" s="499"/>
      <c r="H73" s="499"/>
      <c r="I73" s="414"/>
    </row>
    <row r="74" customFormat="false" ht="12.75" hidden="false" customHeight="false" outlineLevel="0" collapsed="false">
      <c r="A74" s="446" t="s">
        <v>667</v>
      </c>
      <c r="B74" s="441" t="n">
        <v>0.1126</v>
      </c>
      <c r="C74" s="421"/>
      <c r="D74" s="440" t="s">
        <v>667</v>
      </c>
      <c r="E74" s="441" t="n">
        <v>0.0195</v>
      </c>
      <c r="F74" s="421"/>
      <c r="G74" s="499"/>
      <c r="H74" s="499"/>
      <c r="I74" s="421"/>
    </row>
    <row r="75" customFormat="false" ht="12.75" hidden="false" customHeight="false" outlineLevel="0" collapsed="false">
      <c r="A75" s="446" t="s">
        <v>119</v>
      </c>
      <c r="B75" s="441" t="n">
        <f aca="false">0.0022+0.0072</f>
        <v>0.0094</v>
      </c>
      <c r="C75" s="421"/>
      <c r="D75" s="440" t="s">
        <v>119</v>
      </c>
      <c r="E75" s="441" t="n">
        <f aca="false">0.0022</f>
        <v>0.0022</v>
      </c>
      <c r="F75" s="421"/>
      <c r="G75" s="502"/>
      <c r="H75" s="502"/>
      <c r="I75" s="421"/>
    </row>
    <row r="76" customFormat="false" ht="12.75" hidden="false" customHeight="false" outlineLevel="0" collapsed="false">
      <c r="A76" s="446" t="s">
        <v>933</v>
      </c>
      <c r="B76" s="536" t="n">
        <f aca="false">(B4)/(1-0.0699)-B4</f>
        <v>0.331049887108913</v>
      </c>
      <c r="C76" s="447"/>
      <c r="D76" s="440" t="s">
        <v>934</v>
      </c>
      <c r="E76" s="452" t="n">
        <f aca="false">(E3)/(1-0.0263)-E3</f>
        <v>0.0675259320119133</v>
      </c>
      <c r="F76" s="447"/>
      <c r="G76" s="498"/>
      <c r="H76" s="498"/>
      <c r="I76" s="447"/>
    </row>
    <row r="77" customFormat="false" ht="12.75" hidden="false" customHeight="false" outlineLevel="0" collapsed="false">
      <c r="A77" s="465"/>
      <c r="B77" s="461" t="n">
        <f aca="false">SUM(B74:B76)</f>
        <v>0.453049887108913</v>
      </c>
      <c r="C77" s="449"/>
      <c r="D77" s="440"/>
      <c r="E77" s="461" t="n">
        <f aca="false">SUM(E74:E76)</f>
        <v>0.0892259320119133</v>
      </c>
      <c r="F77" s="449"/>
      <c r="G77" s="498"/>
      <c r="H77" s="498"/>
      <c r="I77" s="449"/>
    </row>
    <row r="78" customFormat="false" ht="12.75" hidden="false" customHeight="false" outlineLevel="0" collapsed="false">
      <c r="A78" s="531" t="s">
        <v>648</v>
      </c>
      <c r="B78" s="532" t="s">
        <v>757</v>
      </c>
      <c r="C78" s="414"/>
      <c r="D78" s="426" t="s">
        <v>650</v>
      </c>
      <c r="E78" s="427" t="s">
        <v>830</v>
      </c>
      <c r="F78" s="414"/>
      <c r="G78" s="500"/>
      <c r="H78" s="500"/>
      <c r="I78" s="414"/>
    </row>
    <row r="79" customFormat="false" ht="12.75" hidden="false" customHeight="false" outlineLevel="0" collapsed="false">
      <c r="A79" s="446" t="s">
        <v>667</v>
      </c>
      <c r="B79" s="441" t="n">
        <v>0.1504</v>
      </c>
      <c r="C79" s="421"/>
      <c r="D79" s="440" t="s">
        <v>667</v>
      </c>
      <c r="E79" s="441" t="n">
        <v>0.0177</v>
      </c>
      <c r="F79" s="421"/>
      <c r="G79" s="500"/>
      <c r="H79" s="500"/>
      <c r="I79" s="421"/>
    </row>
    <row r="80" customFormat="false" ht="12.75" hidden="false" customHeight="false" outlineLevel="0" collapsed="false">
      <c r="A80" s="446" t="s">
        <v>119</v>
      </c>
      <c r="B80" s="441" t="n">
        <f aca="false">0.0022+0.0072</f>
        <v>0.0094</v>
      </c>
      <c r="C80" s="421"/>
      <c r="D80" s="440" t="s">
        <v>119</v>
      </c>
      <c r="E80" s="441" t="n">
        <f aca="false">0.0022+0.0072</f>
        <v>0.0094</v>
      </c>
      <c r="F80" s="421"/>
      <c r="G80" s="500"/>
      <c r="H80" s="500"/>
      <c r="I80" s="421"/>
    </row>
    <row r="81" customFormat="false" ht="12.75" hidden="false" customHeight="false" outlineLevel="0" collapsed="false">
      <c r="A81" s="446" t="s">
        <v>935</v>
      </c>
      <c r="B81" s="530" t="n">
        <f aca="false">(B4)/(1-0.0782)-B4</f>
        <v>0.373693859839445</v>
      </c>
      <c r="C81" s="447"/>
      <c r="D81" s="440" t="s">
        <v>934</v>
      </c>
      <c r="E81" s="452" t="n">
        <f aca="false">(E3)/(1-0.0263)-E3</f>
        <v>0.0675259320119133</v>
      </c>
      <c r="F81" s="447"/>
      <c r="G81" s="502"/>
      <c r="H81" s="502"/>
      <c r="I81" s="447"/>
    </row>
    <row r="82" customFormat="false" ht="12.75" hidden="false" customHeight="false" outlineLevel="0" collapsed="false">
      <c r="A82" s="465"/>
      <c r="B82" s="461" t="n">
        <f aca="false">SUM(B79:B81)</f>
        <v>0.533493859839445</v>
      </c>
      <c r="C82" s="449"/>
      <c r="D82" s="440"/>
      <c r="E82" s="461" t="n">
        <f aca="false">SUM(E79:E81)</f>
        <v>0.0946259320119133</v>
      </c>
      <c r="F82" s="449"/>
      <c r="G82" s="498"/>
      <c r="H82" s="498"/>
      <c r="I82" s="449"/>
    </row>
    <row r="83" customFormat="false" ht="12.75" hidden="false" customHeight="false" outlineLevel="0" collapsed="false">
      <c r="A83" s="531" t="s">
        <v>648</v>
      </c>
      <c r="B83" s="532" t="s">
        <v>800</v>
      </c>
      <c r="C83" s="414"/>
      <c r="D83" s="426" t="s">
        <v>650</v>
      </c>
      <c r="E83" s="427" t="s">
        <v>836</v>
      </c>
      <c r="F83" s="414"/>
      <c r="G83" s="503"/>
      <c r="H83" s="503"/>
      <c r="I83" s="414"/>
    </row>
    <row r="84" customFormat="false" ht="12.75" hidden="false" customHeight="false" outlineLevel="0" collapsed="false">
      <c r="A84" s="446" t="s">
        <v>667</v>
      </c>
      <c r="B84" s="441" t="n">
        <v>0.0783</v>
      </c>
      <c r="C84" s="421"/>
      <c r="D84" s="440" t="s">
        <v>667</v>
      </c>
      <c r="E84" s="441" t="n">
        <v>0.0177</v>
      </c>
      <c r="F84" s="421"/>
      <c r="G84" s="499"/>
      <c r="H84" s="499"/>
      <c r="I84" s="421"/>
    </row>
    <row r="85" customFormat="false" ht="12.75" hidden="false" customHeight="false" outlineLevel="0" collapsed="false">
      <c r="A85" s="446" t="s">
        <v>119</v>
      </c>
      <c r="B85" s="441" t="n">
        <f aca="false">0.0022+0.0072</f>
        <v>0.0094</v>
      </c>
      <c r="C85" s="421"/>
      <c r="D85" s="440" t="s">
        <v>119</v>
      </c>
      <c r="E85" s="441" t="n">
        <f aca="false">0.0022+0.0072</f>
        <v>0.0094</v>
      </c>
      <c r="F85" s="421"/>
      <c r="G85" s="499"/>
      <c r="H85" s="499"/>
      <c r="I85" s="421"/>
    </row>
    <row r="86" customFormat="false" ht="12.75" hidden="false" customHeight="false" outlineLevel="0" collapsed="false">
      <c r="A86" s="446" t="s">
        <v>936</v>
      </c>
      <c r="B86" s="530" t="n">
        <f aca="false">(B4)/(1-0.0415)-B4</f>
        <v>0.190722483046427</v>
      </c>
      <c r="C86" s="447"/>
      <c r="D86" s="440" t="s">
        <v>934</v>
      </c>
      <c r="E86" s="452" t="n">
        <f aca="false">(E4)/(1-0.0263)-E4</f>
        <v>0.0584774571223168</v>
      </c>
      <c r="F86" s="447"/>
      <c r="G86" s="502"/>
      <c r="H86" s="502"/>
      <c r="I86" s="447"/>
    </row>
    <row r="87" customFormat="false" ht="12.75" hidden="false" customHeight="false" outlineLevel="0" collapsed="false">
      <c r="A87" s="465"/>
      <c r="B87" s="461" t="n">
        <f aca="false">SUM(B84:B86)</f>
        <v>0.278422483046427</v>
      </c>
      <c r="C87" s="449"/>
      <c r="D87" s="440"/>
      <c r="E87" s="461" t="n">
        <f aca="false">SUM(E84:E86)</f>
        <v>0.0855774571223168</v>
      </c>
      <c r="F87" s="449"/>
      <c r="G87" s="498"/>
      <c r="H87" s="498"/>
      <c r="I87" s="449"/>
    </row>
    <row r="88" customFormat="false" ht="12.75" hidden="false" customHeight="false" outlineLevel="0" collapsed="false">
      <c r="A88" s="531" t="s">
        <v>648</v>
      </c>
      <c r="B88" s="532" t="s">
        <v>876</v>
      </c>
      <c r="C88" s="414"/>
      <c r="D88" s="426" t="s">
        <v>650</v>
      </c>
      <c r="E88" s="427" t="s">
        <v>855</v>
      </c>
      <c r="F88" s="414"/>
      <c r="I88" s="414"/>
    </row>
    <row r="89" customFormat="false" ht="12.75" hidden="false" customHeight="false" outlineLevel="0" collapsed="false">
      <c r="A89" s="446" t="s">
        <v>667</v>
      </c>
      <c r="B89" s="441" t="n">
        <f aca="false">0.0511-0.0022-0.0088</f>
        <v>0.0401</v>
      </c>
      <c r="C89" s="421"/>
      <c r="D89" s="440" t="s">
        <v>667</v>
      </c>
      <c r="E89" s="441" t="n">
        <v>0.0177</v>
      </c>
      <c r="F89" s="421"/>
      <c r="G89" s="503"/>
      <c r="H89" s="503"/>
      <c r="I89" s="421"/>
    </row>
    <row r="90" customFormat="false" ht="12.75" hidden="false" customHeight="false" outlineLevel="0" collapsed="false">
      <c r="A90" s="446" t="s">
        <v>119</v>
      </c>
      <c r="B90" s="441" t="n">
        <f aca="false">0.0022+0.0072</f>
        <v>0.0094</v>
      </c>
      <c r="C90" s="421"/>
      <c r="D90" s="440" t="s">
        <v>119</v>
      </c>
      <c r="E90" s="441" t="n">
        <f aca="false">0.0022+0.0072</f>
        <v>0.0094</v>
      </c>
      <c r="F90" s="421"/>
      <c r="G90" s="499"/>
      <c r="H90" s="499"/>
      <c r="I90" s="421"/>
    </row>
    <row r="91" customFormat="false" ht="12.75" hidden="false" customHeight="false" outlineLevel="0" collapsed="false">
      <c r="A91" s="446" t="s">
        <v>937</v>
      </c>
      <c r="B91" s="452" t="n">
        <f aca="false">(B5)/(1-0.0109)-B5</f>
        <v>0.0511333535537357</v>
      </c>
      <c r="C91" s="447"/>
      <c r="D91" s="440" t="s">
        <v>934</v>
      </c>
      <c r="E91" s="452" t="n">
        <f aca="false">(E3)/(1-0.0263)-E3</f>
        <v>0.0675259320119133</v>
      </c>
      <c r="F91" s="447"/>
      <c r="G91" s="499"/>
      <c r="H91" s="499"/>
      <c r="I91" s="447"/>
    </row>
    <row r="92" customFormat="false" ht="12.75" hidden="false" customHeight="false" outlineLevel="0" collapsed="false">
      <c r="A92" s="465"/>
      <c r="B92" s="461" t="n">
        <f aca="false">SUM(B89:B91)</f>
        <v>0.100633353553736</v>
      </c>
      <c r="C92" s="449"/>
      <c r="D92" s="440"/>
      <c r="E92" s="461" t="n">
        <f aca="false">SUM(E89:E91)</f>
        <v>0.0946259320119133</v>
      </c>
      <c r="F92" s="449"/>
      <c r="G92" s="502"/>
      <c r="H92" s="502"/>
      <c r="I92" s="449"/>
    </row>
    <row r="93" customFormat="false" ht="12.75" hidden="false" customHeight="false" outlineLevel="0" collapsed="false">
      <c r="A93" s="531" t="s">
        <v>648</v>
      </c>
      <c r="B93" s="532" t="s">
        <v>938</v>
      </c>
      <c r="C93" s="449"/>
      <c r="D93" s="426" t="s">
        <v>650</v>
      </c>
      <c r="E93" s="427" t="s">
        <v>859</v>
      </c>
      <c r="F93" s="449"/>
      <c r="G93" s="498"/>
      <c r="H93" s="498"/>
      <c r="I93" s="449"/>
    </row>
    <row r="94" customFormat="false" ht="12.75" hidden="false" customHeight="false" outlineLevel="0" collapsed="false">
      <c r="A94" s="446" t="s">
        <v>667</v>
      </c>
      <c r="B94" s="441" t="n">
        <f aca="false">0.0945-0.0022-0.0088</f>
        <v>0.0835</v>
      </c>
      <c r="C94" s="477"/>
      <c r="D94" s="440" t="s">
        <v>667</v>
      </c>
      <c r="E94" s="441" t="n">
        <v>0.0649</v>
      </c>
      <c r="F94" s="477"/>
      <c r="G94" s="503"/>
      <c r="H94" s="503"/>
      <c r="I94" s="477"/>
    </row>
    <row r="95" customFormat="false" ht="12.75" hidden="false" customHeight="false" outlineLevel="0" collapsed="false">
      <c r="A95" s="446" t="s">
        <v>119</v>
      </c>
      <c r="B95" s="441" t="n">
        <f aca="false">0.0022+0.0072</f>
        <v>0.0094</v>
      </c>
      <c r="C95" s="477" t="s">
        <v>1</v>
      </c>
      <c r="D95" s="440" t="s">
        <v>119</v>
      </c>
      <c r="E95" s="441" t="n">
        <f aca="false">0.0022+0.0072</f>
        <v>0.0094</v>
      </c>
      <c r="F95" s="477"/>
      <c r="G95" s="499"/>
      <c r="H95" s="499"/>
      <c r="I95" s="477"/>
    </row>
    <row r="96" customFormat="false" ht="12.75" hidden="false" customHeight="false" outlineLevel="0" collapsed="false">
      <c r="A96" s="446" t="s">
        <v>939</v>
      </c>
      <c r="B96" s="452" t="n">
        <f aca="false">(B5)/(1-0.0217)-B5</f>
        <v>0.102921394255342</v>
      </c>
      <c r="C96" s="447"/>
      <c r="D96" s="440" t="s">
        <v>940</v>
      </c>
      <c r="E96" s="452" t="n">
        <f aca="false">(E3)/(1-0.0512)-E3</f>
        <v>0.134907251264755</v>
      </c>
      <c r="F96" s="447"/>
      <c r="G96" s="499"/>
      <c r="H96" s="499"/>
      <c r="I96" s="447"/>
    </row>
    <row r="97" customFormat="false" ht="12.75" hidden="false" customHeight="false" outlineLevel="0" collapsed="false">
      <c r="A97" s="465"/>
      <c r="B97" s="461" t="n">
        <f aca="false">SUM(B94:B96)</f>
        <v>0.195821394255342</v>
      </c>
      <c r="C97" s="449"/>
      <c r="D97" s="440"/>
      <c r="E97" s="461" t="n">
        <f aca="false">SUM(E94:E96)</f>
        <v>0.209207251264755</v>
      </c>
      <c r="F97" s="449"/>
      <c r="G97" s="502"/>
      <c r="H97" s="502"/>
      <c r="I97" s="449"/>
    </row>
    <row r="98" customFormat="false" ht="12.75" hidden="false" customHeight="false" outlineLevel="0" collapsed="false">
      <c r="A98" s="531" t="s">
        <v>648</v>
      </c>
      <c r="B98" s="535" t="s">
        <v>857</v>
      </c>
      <c r="C98" s="414"/>
      <c r="D98" s="426" t="s">
        <v>650</v>
      </c>
      <c r="E98" s="427" t="s">
        <v>747</v>
      </c>
      <c r="F98" s="414"/>
      <c r="G98" s="498"/>
      <c r="H98" s="498"/>
      <c r="I98" s="414"/>
    </row>
    <row r="99" customFormat="false" ht="12.75" hidden="false" customHeight="false" outlineLevel="0" collapsed="false">
      <c r="A99" s="465" t="s">
        <v>667</v>
      </c>
      <c r="B99" s="441" t="n">
        <v>0.0427</v>
      </c>
      <c r="C99" s="421"/>
      <c r="D99" s="440" t="s">
        <v>667</v>
      </c>
      <c r="E99" s="441" t="n">
        <v>0.0863</v>
      </c>
      <c r="F99" s="421"/>
      <c r="I99" s="421"/>
    </row>
    <row r="100" customFormat="false" ht="12.75" hidden="false" customHeight="false" outlineLevel="0" collapsed="false">
      <c r="A100" s="465" t="s">
        <v>119</v>
      </c>
      <c r="B100" s="441" t="n">
        <f aca="false">0.0022+0.0072</f>
        <v>0.0094</v>
      </c>
      <c r="C100" s="421"/>
      <c r="D100" s="440" t="s">
        <v>119</v>
      </c>
      <c r="E100" s="441" t="n">
        <f aca="false">0.0022+0.0072</f>
        <v>0.0094</v>
      </c>
      <c r="F100" s="421"/>
      <c r="I100" s="421"/>
    </row>
    <row r="101" customFormat="false" ht="12.75" hidden="false" customHeight="false" outlineLevel="0" collapsed="false">
      <c r="A101" s="465" t="s">
        <v>941</v>
      </c>
      <c r="B101" s="452" t="n">
        <f aca="false">(+B5)/(1-0.0128)-B5</f>
        <v>0.0601620745542952</v>
      </c>
      <c r="C101" s="421"/>
      <c r="D101" s="440" t="s">
        <v>917</v>
      </c>
      <c r="E101" s="452" t="n">
        <f aca="false">(E3)/(1-0.0761)-E3</f>
        <v>0.20592055417253</v>
      </c>
      <c r="F101" s="421"/>
      <c r="I101" s="421"/>
    </row>
    <row r="102" customFormat="false" ht="12.75" hidden="false" customHeight="false" outlineLevel="0" collapsed="false">
      <c r="A102" s="465"/>
      <c r="B102" s="461" t="n">
        <f aca="false">SUM(B99:B101)</f>
        <v>0.112262074554295</v>
      </c>
      <c r="C102" s="447"/>
      <c r="D102" s="440"/>
      <c r="E102" s="461" t="n">
        <f aca="false">SUM(E99:E101)</f>
        <v>0.30162055417253</v>
      </c>
      <c r="F102" s="447"/>
      <c r="I102" s="447"/>
    </row>
    <row r="103" customFormat="false" ht="12.75" hidden="false" customHeight="false" outlineLevel="0" collapsed="false">
      <c r="A103" s="531" t="s">
        <v>648</v>
      </c>
      <c r="B103" s="535" t="s">
        <v>942</v>
      </c>
      <c r="C103" s="449"/>
      <c r="D103" s="426" t="s">
        <v>650</v>
      </c>
      <c r="E103" s="427" t="s">
        <v>760</v>
      </c>
      <c r="F103" s="449"/>
      <c r="I103" s="449"/>
    </row>
    <row r="104" customFormat="false" ht="12.75" hidden="false" customHeight="false" outlineLevel="0" collapsed="false">
      <c r="A104" s="465" t="s">
        <v>667</v>
      </c>
      <c r="B104" s="441" t="n">
        <v>0.0766</v>
      </c>
      <c r="D104" s="440" t="s">
        <v>667</v>
      </c>
      <c r="E104" s="441" t="n">
        <v>0.1012</v>
      </c>
    </row>
    <row r="105" customFormat="false" ht="12.75" hidden="false" customHeight="false" outlineLevel="0" collapsed="false">
      <c r="A105" s="465" t="s">
        <v>119</v>
      </c>
      <c r="B105" s="441" t="n">
        <f aca="false">0.0022+0.0072</f>
        <v>0.0094</v>
      </c>
      <c r="C105" s="414"/>
      <c r="D105" s="440" t="s">
        <v>119</v>
      </c>
      <c r="E105" s="441" t="n">
        <f aca="false">0.0022+0.0072</f>
        <v>0.0094</v>
      </c>
      <c r="F105" s="414"/>
      <c r="I105" s="414"/>
    </row>
    <row r="106" customFormat="false" ht="12.75" hidden="false" customHeight="false" outlineLevel="0" collapsed="false">
      <c r="A106" s="465" t="s">
        <v>943</v>
      </c>
      <c r="B106" s="452" t="n">
        <f aca="false">(+B5)/(1-0.0209)-B5</f>
        <v>0.0990460627106531</v>
      </c>
      <c r="C106" s="421"/>
      <c r="D106" s="440" t="s">
        <v>920</v>
      </c>
      <c r="E106" s="452" t="n">
        <f aca="false">(E3)/(1-0.0924)-E3</f>
        <v>0.254517408550022</v>
      </c>
      <c r="F106" s="421"/>
      <c r="I106" s="421"/>
    </row>
    <row r="107" customFormat="false" ht="12.75" hidden="false" customHeight="false" outlineLevel="0" collapsed="false">
      <c r="A107" s="465"/>
      <c r="B107" s="461" t="n">
        <f aca="false">SUM(B104:B106)</f>
        <v>0.185046062710653</v>
      </c>
      <c r="C107" s="421"/>
      <c r="D107" s="440"/>
      <c r="E107" s="461" t="n">
        <f aca="false">SUM(E104:E106)</f>
        <v>0.365117408550022</v>
      </c>
      <c r="F107" s="421"/>
      <c r="I107" s="421"/>
    </row>
    <row r="108" customFormat="false" ht="12.75" hidden="false" customHeight="false" outlineLevel="0" collapsed="false">
      <c r="A108" s="531" t="s">
        <v>648</v>
      </c>
      <c r="B108" s="532" t="s">
        <v>877</v>
      </c>
      <c r="C108" s="447"/>
      <c r="D108" s="426" t="s">
        <v>650</v>
      </c>
      <c r="E108" s="427" t="s">
        <v>871</v>
      </c>
      <c r="F108" s="447"/>
      <c r="I108" s="447"/>
    </row>
    <row r="109" customFormat="false" ht="12.75" hidden="false" customHeight="false" outlineLevel="0" collapsed="false">
      <c r="A109" s="446" t="s">
        <v>667</v>
      </c>
      <c r="B109" s="441" t="n">
        <v>0.0459</v>
      </c>
      <c r="C109" s="449"/>
      <c r="D109" s="440" t="s">
        <v>667</v>
      </c>
      <c r="E109" s="441" t="n">
        <v>0.0472</v>
      </c>
      <c r="F109" s="449"/>
      <c r="I109" s="449"/>
    </row>
    <row r="110" customFormat="false" ht="12.75" hidden="false" customHeight="false" outlineLevel="0" collapsed="false">
      <c r="A110" s="446" t="s">
        <v>119</v>
      </c>
      <c r="B110" s="441" t="n">
        <f aca="false">0.0022+0.0072</f>
        <v>0.0094</v>
      </c>
      <c r="C110" s="414"/>
      <c r="D110" s="440" t="s">
        <v>119</v>
      </c>
      <c r="E110" s="441" t="n">
        <f aca="false">0.0022+0.0072</f>
        <v>0.0094</v>
      </c>
      <c r="F110" s="414"/>
      <c r="I110" s="414"/>
    </row>
    <row r="111" customFormat="false" ht="12.75" hidden="false" customHeight="false" outlineLevel="0" collapsed="false">
      <c r="A111" s="446" t="s">
        <v>944</v>
      </c>
      <c r="B111" s="452" t="n">
        <f aca="false">(+B$5)/(1-0.0116)-B$5</f>
        <v>0.0544556859571026</v>
      </c>
      <c r="C111" s="421"/>
      <c r="D111" s="440" t="s">
        <v>945</v>
      </c>
      <c r="E111" s="452" t="n">
        <f aca="false">(E6)/(1-0.0249)-(E6)</f>
        <v>0.0663931904420059</v>
      </c>
      <c r="F111" s="421"/>
      <c r="I111" s="421"/>
    </row>
    <row r="112" customFormat="false" ht="12.75" hidden="false" customHeight="false" outlineLevel="0" collapsed="false">
      <c r="A112" s="465"/>
      <c r="B112" s="461" t="n">
        <f aca="false">SUM(B109:B111)</f>
        <v>0.109755685957103</v>
      </c>
      <c r="C112" s="421"/>
      <c r="D112" s="440"/>
      <c r="E112" s="461" t="n">
        <f aca="false">SUM(E109:E111)</f>
        <v>0.122993190442006</v>
      </c>
      <c r="F112" s="421"/>
      <c r="I112" s="421"/>
    </row>
    <row r="113" customFormat="false" ht="12.75" hidden="false" customHeight="false" outlineLevel="0" collapsed="false">
      <c r="A113" s="531" t="s">
        <v>946</v>
      </c>
      <c r="B113" s="532"/>
      <c r="C113" s="447"/>
      <c r="D113" s="426" t="s">
        <v>650</v>
      </c>
      <c r="E113" s="427" t="s">
        <v>771</v>
      </c>
      <c r="F113" s="447"/>
      <c r="I113" s="447"/>
    </row>
    <row r="114" customFormat="false" ht="12.75" hidden="false" customHeight="false" outlineLevel="0" collapsed="false">
      <c r="A114" s="446" t="s">
        <v>667</v>
      </c>
      <c r="B114" s="441" t="n">
        <v>0</v>
      </c>
      <c r="C114" s="449"/>
      <c r="D114" s="440" t="s">
        <v>667</v>
      </c>
      <c r="E114" s="441" t="n">
        <v>0.0686</v>
      </c>
      <c r="F114" s="449"/>
      <c r="I114" s="449"/>
    </row>
    <row r="115" customFormat="false" ht="12.75" hidden="false" customHeight="false" outlineLevel="0" collapsed="false">
      <c r="A115" s="446" t="s">
        <v>119</v>
      </c>
      <c r="B115" s="441" t="n">
        <f aca="false">0.0022+0.0072</f>
        <v>0.0094</v>
      </c>
      <c r="D115" s="440" t="s">
        <v>119</v>
      </c>
      <c r="E115" s="441" t="n">
        <f aca="false">0.0022+0.0072</f>
        <v>0.0094</v>
      </c>
    </row>
    <row r="116" customFormat="false" ht="12.75" hidden="false" customHeight="false" outlineLevel="0" collapsed="false">
      <c r="A116" s="446" t="s">
        <v>874</v>
      </c>
      <c r="B116" s="452" t="n">
        <f aca="false">((+V$3+V$17-0.0072)/(1-0.0131)-(+V$3+V$17-0.0072))</f>
        <v>-9.55719931097377E-005</v>
      </c>
      <c r="D116" s="440" t="s">
        <v>924</v>
      </c>
      <c r="E116" s="452" t="n">
        <f aca="false">(E6)/(1-0.0498)-(E6)</f>
        <v>0.136266049252789</v>
      </c>
    </row>
    <row r="117" customFormat="false" ht="12.75" hidden="false" customHeight="false" outlineLevel="0" collapsed="false">
      <c r="A117" s="465"/>
      <c r="B117" s="461" t="n">
        <f aca="false">SUM(B114:B116)</f>
        <v>0.00930442800689026</v>
      </c>
      <c r="D117" s="440"/>
      <c r="E117" s="461" t="n">
        <f aca="false">SUM(E114:E116)</f>
        <v>0.214266049252789</v>
      </c>
    </row>
    <row r="118" customFormat="false" ht="12.75" hidden="false" customHeight="false" outlineLevel="0" collapsed="false">
      <c r="A118" s="531" t="s">
        <v>648</v>
      </c>
      <c r="B118" s="532" t="s">
        <v>879</v>
      </c>
      <c r="D118" s="426" t="s">
        <v>650</v>
      </c>
      <c r="E118" s="427" t="s">
        <v>784</v>
      </c>
    </row>
    <row r="119" customFormat="false" ht="12.75" hidden="false" customHeight="false" outlineLevel="0" collapsed="false">
      <c r="A119" s="446" t="s">
        <v>667</v>
      </c>
      <c r="B119" s="441" t="n">
        <v>0.1618</v>
      </c>
      <c r="D119" s="440" t="s">
        <v>667</v>
      </c>
      <c r="E119" s="441" t="n">
        <v>0.0835</v>
      </c>
    </row>
    <row r="120" customFormat="false" ht="12.75" hidden="false" customHeight="false" outlineLevel="0" collapsed="false">
      <c r="A120" s="446" t="s">
        <v>119</v>
      </c>
      <c r="B120" s="441" t="n">
        <f aca="false">0.0022+0+0.0225+0.0072</f>
        <v>0.0319</v>
      </c>
      <c r="D120" s="440" t="s">
        <v>119</v>
      </c>
      <c r="E120" s="441" t="n">
        <f aca="false">0.0022+0.0072</f>
        <v>0.0094</v>
      </c>
    </row>
    <row r="121" customFormat="false" ht="12.75" hidden="false" customHeight="false" outlineLevel="0" collapsed="false">
      <c r="A121" s="446" t="s">
        <v>841</v>
      </c>
      <c r="B121" s="530" t="n">
        <f aca="false">(B4)/(1-0.0101)-B4</f>
        <v>0.0449444388322053</v>
      </c>
      <c r="D121" s="440" t="s">
        <v>927</v>
      </c>
      <c r="E121" s="452" t="n">
        <f aca="false">(E6)/(1-0.0661)-(E6)</f>
        <v>0.184023985437413</v>
      </c>
    </row>
    <row r="122" customFormat="false" ht="12.75" hidden="false" customHeight="false" outlineLevel="0" collapsed="false">
      <c r="A122" s="465"/>
      <c r="B122" s="461" t="n">
        <f aca="false">SUM(B119:B121)</f>
        <v>0.238644438832205</v>
      </c>
      <c r="D122" s="440"/>
      <c r="E122" s="461" t="n">
        <f aca="false">SUM(E119:E121)</f>
        <v>0.276923985437413</v>
      </c>
    </row>
    <row r="123" customFormat="false" ht="12.75" hidden="false" customHeight="false" outlineLevel="0" collapsed="false">
      <c r="A123" s="531" t="s">
        <v>648</v>
      </c>
      <c r="B123" s="532" t="s">
        <v>882</v>
      </c>
      <c r="D123" s="426" t="s">
        <v>650</v>
      </c>
      <c r="E123" s="461" t="s">
        <v>883</v>
      </c>
    </row>
    <row r="124" customFormat="false" ht="12.75" hidden="false" customHeight="false" outlineLevel="0" collapsed="false">
      <c r="A124" s="446" t="s">
        <v>667</v>
      </c>
      <c r="B124" s="441" t="n">
        <v>0.3288</v>
      </c>
      <c r="D124" s="440" t="s">
        <v>667</v>
      </c>
      <c r="E124" s="496" t="n">
        <v>0.0583</v>
      </c>
    </row>
    <row r="125" customFormat="false" ht="12.75" hidden="false" customHeight="false" outlineLevel="0" collapsed="false">
      <c r="A125" s="446" t="s">
        <v>119</v>
      </c>
      <c r="B125" s="441" t="n">
        <f aca="false">0.0022+0+0.0225+0.0072</f>
        <v>0.0319</v>
      </c>
      <c r="D125" s="440" t="s">
        <v>119</v>
      </c>
      <c r="E125" s="441" t="n">
        <f aca="false">0.0022</f>
        <v>0.0022</v>
      </c>
    </row>
    <row r="126" customFormat="false" ht="12.75" hidden="false" customHeight="false" outlineLevel="0" collapsed="false">
      <c r="A126" s="446" t="s">
        <v>904</v>
      </c>
      <c r="B126" s="530" t="n">
        <f aca="false">(B3)/(1-0.0279)-B3</f>
        <v>0.125709289167781</v>
      </c>
      <c r="D126" s="440" t="s">
        <v>947</v>
      </c>
      <c r="E126" s="452" t="n">
        <f aca="false">(E6)/(1-0.0378)-E6</f>
        <v>0.102140927042195</v>
      </c>
    </row>
    <row r="127" customFormat="false" ht="12.75" hidden="false" customHeight="false" outlineLevel="0" collapsed="false">
      <c r="A127" s="465"/>
      <c r="B127" s="461" t="n">
        <f aca="false">SUM(B124:B126)</f>
        <v>0.486409289167781</v>
      </c>
      <c r="D127" s="440"/>
      <c r="E127" s="461" t="n">
        <f aca="false">SUM(E124:E126)</f>
        <v>0.162640927042195</v>
      </c>
    </row>
    <row r="128" customFormat="false" ht="12.75" hidden="false" customHeight="false" outlineLevel="0" collapsed="false">
      <c r="A128" s="531" t="s">
        <v>648</v>
      </c>
      <c r="B128" s="532" t="s">
        <v>888</v>
      </c>
      <c r="D128" s="426" t="s">
        <v>650</v>
      </c>
      <c r="E128" s="461" t="s">
        <v>795</v>
      </c>
    </row>
    <row r="129" customFormat="false" ht="12.75" hidden="false" customHeight="false" outlineLevel="0" collapsed="false">
      <c r="A129" s="446" t="s">
        <v>667</v>
      </c>
      <c r="B129" s="441" t="n">
        <v>0.3786</v>
      </c>
      <c r="D129" s="440" t="s">
        <v>667</v>
      </c>
      <c r="E129" s="496" t="n">
        <v>0.0731</v>
      </c>
    </row>
    <row r="130" customFormat="false" ht="12.75" hidden="false" customHeight="false" outlineLevel="0" collapsed="false">
      <c r="A130" s="446" t="s">
        <v>119</v>
      </c>
      <c r="B130" s="441" t="n">
        <f aca="false">0.0022+0+0.0225+0.0072</f>
        <v>0.0319</v>
      </c>
      <c r="D130" s="440" t="s">
        <v>119</v>
      </c>
      <c r="E130" s="441" t="n">
        <f aca="false">0.0022+0.0072</f>
        <v>0.0094</v>
      </c>
    </row>
    <row r="131" customFormat="false" ht="12.75" hidden="false" customHeight="false" outlineLevel="0" collapsed="false">
      <c r="A131" s="446" t="s">
        <v>909</v>
      </c>
      <c r="B131" s="530" t="n">
        <f aca="false">(B4)/(1-0.0428)-B4</f>
        <v>0.196964061847054</v>
      </c>
      <c r="D131" s="440" t="s">
        <v>929</v>
      </c>
      <c r="E131" s="452" t="n">
        <f aca="false">(E6)/(1-0.0545)-E6</f>
        <v>0.149867794817557</v>
      </c>
    </row>
    <row r="132" customFormat="false" ht="12.75" hidden="false" customHeight="false" outlineLevel="0" collapsed="false">
      <c r="A132" s="465"/>
      <c r="B132" s="461" t="n">
        <f aca="false">SUM(B129:B131)</f>
        <v>0.607464061847054</v>
      </c>
      <c r="D132" s="440"/>
      <c r="E132" s="461" t="n">
        <f aca="false">SUM(E129:E131)</f>
        <v>0.232367794817557</v>
      </c>
    </row>
    <row r="133" customFormat="false" ht="12.75" hidden="false" customHeight="false" outlineLevel="0" collapsed="false">
      <c r="A133" s="446" t="s">
        <v>1</v>
      </c>
      <c r="B133" s="441" t="s">
        <v>1</v>
      </c>
      <c r="D133" s="426" t="s">
        <v>650</v>
      </c>
      <c r="E133" s="461" t="s">
        <v>803</v>
      </c>
    </row>
    <row r="134" customFormat="false" ht="12.75" hidden="false" customHeight="false" outlineLevel="0" collapsed="false">
      <c r="A134" s="531" t="s">
        <v>648</v>
      </c>
      <c r="B134" s="535" t="s">
        <v>891</v>
      </c>
      <c r="D134" s="440" t="s">
        <v>667</v>
      </c>
      <c r="E134" s="496" t="n">
        <v>0.0515</v>
      </c>
    </row>
    <row r="135" customFormat="false" ht="12.75" hidden="false" customHeight="false" outlineLevel="0" collapsed="false">
      <c r="A135" s="465" t="s">
        <v>667</v>
      </c>
      <c r="B135" s="441" t="n">
        <v>0.1826</v>
      </c>
      <c r="D135" s="440" t="s">
        <v>119</v>
      </c>
      <c r="E135" s="441" t="n">
        <f aca="false">0.0022+0.0072</f>
        <v>0.0094</v>
      </c>
    </row>
    <row r="136" customFormat="false" ht="12.75" hidden="false" customHeight="false" outlineLevel="0" collapsed="false">
      <c r="A136" s="465" t="s">
        <v>119</v>
      </c>
      <c r="B136" s="441" t="n">
        <f aca="false">0.0022+0.0072</f>
        <v>0.0094</v>
      </c>
      <c r="D136" s="440" t="s">
        <v>930</v>
      </c>
      <c r="E136" s="452" t="n">
        <f aca="false">(E7)/(1-0.0299)-E7</f>
        <v>0.0944680960725699</v>
      </c>
    </row>
    <row r="137" customFormat="false" ht="12.75" hidden="false" customHeight="false" outlineLevel="0" collapsed="false">
      <c r="A137" s="465" t="s">
        <v>941</v>
      </c>
      <c r="B137" s="452" t="n">
        <f aca="false">(B5)/(1-0.0128)-B5</f>
        <v>0.0601620745542952</v>
      </c>
      <c r="D137" s="537"/>
      <c r="E137" s="538" t="n">
        <f aca="false">SUM(E134:E136)</f>
        <v>0.15536809607257</v>
      </c>
    </row>
    <row r="138" customFormat="false" ht="12.75" hidden="false" customHeight="false" outlineLevel="0" collapsed="false">
      <c r="A138" s="465"/>
      <c r="B138" s="461" t="n">
        <f aca="false">SUM(B135:B137)</f>
        <v>0.252162074554295</v>
      </c>
      <c r="D138" s="426"/>
      <c r="E138" s="461"/>
    </row>
    <row r="139" customFormat="false" ht="12.75" hidden="false" customHeight="false" outlineLevel="0" collapsed="false">
      <c r="D139" s="516"/>
      <c r="E139" s="516"/>
    </row>
    <row r="140" customFormat="false" ht="12.75" hidden="false" customHeight="false" outlineLevel="0" collapsed="false">
      <c r="D140" s="539"/>
      <c r="E140" s="539"/>
    </row>
    <row r="141" customFormat="false" ht="12.75" hidden="false" customHeight="false" outlineLevel="0" collapsed="false">
      <c r="D141" s="540"/>
      <c r="E141" s="540"/>
    </row>
    <row r="142" customFormat="false" ht="12.75" hidden="false" customHeight="false" outlineLevel="0" collapsed="false">
      <c r="D142" s="541"/>
      <c r="E142" s="541"/>
    </row>
    <row r="143" customFormat="false" ht="12.75" hidden="false" customHeight="false" outlineLevel="0" collapsed="false">
      <c r="D143" s="516"/>
      <c r="E143" s="516"/>
    </row>
    <row r="144" customFormat="false" ht="12.75" hidden="false" customHeight="false" outlineLevel="0" collapsed="false">
      <c r="D144" s="516"/>
      <c r="E144" s="516"/>
    </row>
    <row r="145" customFormat="false" ht="12.75" hidden="false" customHeight="false" outlineLevel="0" collapsed="false">
      <c r="D145" s="539"/>
      <c r="E145" s="539"/>
    </row>
    <row r="146" customFormat="false" ht="12.75" hidden="false" customHeight="false" outlineLevel="0" collapsed="false">
      <c r="D146" s="540"/>
      <c r="E146" s="540"/>
    </row>
    <row r="147" customFormat="false" ht="12.75" hidden="false" customHeight="false" outlineLevel="0" collapsed="false">
      <c r="D147" s="541"/>
      <c r="E147" s="541"/>
    </row>
    <row r="148" customFormat="false" ht="12.75" hidden="false" customHeight="false" outlineLevel="0" collapsed="false">
      <c r="D148" s="516"/>
      <c r="E148" s="516"/>
    </row>
    <row r="149" customFormat="false" ht="12.75" hidden="false" customHeight="false" outlineLevel="0" collapsed="false">
      <c r="D149" s="516"/>
      <c r="E149" s="516"/>
    </row>
    <row r="150" customFormat="false" ht="12.75" hidden="false" customHeight="false" outlineLevel="0" collapsed="false">
      <c r="D150" s="539"/>
      <c r="E150" s="539"/>
    </row>
    <row r="151" customFormat="false" ht="12.75" hidden="false" customHeight="false" outlineLevel="0" collapsed="false">
      <c r="D151" s="540"/>
      <c r="E151" s="540"/>
    </row>
    <row r="152" customFormat="false" ht="12.75" hidden="false" customHeight="false" outlineLevel="0" collapsed="false">
      <c r="D152" s="540"/>
      <c r="E152" s="540"/>
    </row>
    <row r="153" customFormat="false" ht="12.75" hidden="false" customHeight="false" outlineLevel="0" collapsed="false">
      <c r="D153" s="542"/>
      <c r="E153" s="542"/>
    </row>
    <row r="154" customFormat="false" ht="12.75" hidden="false" customHeight="false" outlineLevel="0" collapsed="false">
      <c r="D154" s="542"/>
      <c r="E154" s="542"/>
    </row>
    <row r="155" customFormat="false" ht="12.75" hidden="false" customHeight="false" outlineLevel="0" collapsed="false">
      <c r="D155" s="542"/>
      <c r="E155" s="542"/>
    </row>
    <row r="156" customFormat="false" ht="12.75" hidden="false" customHeight="false" outlineLevel="0" collapsed="false">
      <c r="D156" s="539"/>
      <c r="E156" s="539"/>
    </row>
    <row r="157" customFormat="false" ht="12.75" hidden="false" customHeight="false" outlineLevel="0" collapsed="false">
      <c r="D157" s="540"/>
      <c r="E157" s="540"/>
    </row>
    <row r="158" customFormat="false" ht="12.75" hidden="false" customHeight="false" outlineLevel="0" collapsed="false">
      <c r="D158" s="541"/>
      <c r="E158" s="541"/>
    </row>
    <row r="159" customFormat="false" ht="12.75" hidden="false" customHeight="false" outlineLevel="0" collapsed="false">
      <c r="D159" s="516"/>
      <c r="E159" s="516"/>
    </row>
    <row r="160" customFormat="false" ht="12.75" hidden="false" customHeight="false" outlineLevel="0" collapsed="false">
      <c r="D160" s="516"/>
      <c r="E160" s="516"/>
    </row>
    <row r="161" customFormat="false" ht="12.75" hidden="false" customHeight="false" outlineLevel="0" collapsed="false">
      <c r="D161" s="539"/>
      <c r="E161" s="539"/>
    </row>
    <row r="162" customFormat="false" ht="12.75" hidden="false" customHeight="false" outlineLevel="0" collapsed="false">
      <c r="D162" s="540"/>
      <c r="E162" s="540"/>
    </row>
    <row r="164" customFormat="false" ht="12.75" hidden="false" customHeight="false" outlineLevel="0" collapsed="false">
      <c r="D164" s="541"/>
      <c r="E164" s="541"/>
    </row>
    <row r="165" customFormat="false" ht="12.75" hidden="false" customHeight="false" outlineLevel="0" collapsed="false">
      <c r="D165" s="516"/>
      <c r="E165" s="516"/>
    </row>
    <row r="166" customFormat="false" ht="12.75" hidden="false" customHeight="false" outlineLevel="0" collapsed="false">
      <c r="D166" s="516"/>
      <c r="E166" s="516"/>
    </row>
    <row r="167" customFormat="false" ht="12.75" hidden="false" customHeight="false" outlineLevel="0" collapsed="false">
      <c r="D167" s="539"/>
      <c r="E167" s="539"/>
    </row>
    <row r="168" customFormat="false" ht="12.75" hidden="false" customHeight="false" outlineLevel="0" collapsed="false">
      <c r="D168" s="540"/>
      <c r="E168" s="540"/>
    </row>
    <row r="169" customFormat="false" ht="12.75" hidden="false" customHeight="false" outlineLevel="0" collapsed="false">
      <c r="D169" s="541"/>
      <c r="E169" s="541"/>
    </row>
    <row r="170" customFormat="false" ht="12.75" hidden="false" customHeight="false" outlineLevel="0" collapsed="false">
      <c r="D170" s="516"/>
      <c r="E170" s="516"/>
    </row>
    <row r="171" customFormat="false" ht="12.75" hidden="false" customHeight="false" outlineLevel="0" collapsed="false">
      <c r="D171" s="516"/>
      <c r="E171" s="516"/>
    </row>
    <row r="172" customFormat="false" ht="12.75" hidden="false" customHeight="false" outlineLevel="0" collapsed="false">
      <c r="D172" s="539"/>
      <c r="E172" s="539"/>
    </row>
    <row r="173" customFormat="false" ht="12.75" hidden="false" customHeight="false" outlineLevel="0" collapsed="false">
      <c r="D173" s="540"/>
      <c r="E173" s="540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543" t="s">
        <v>93</v>
      </c>
      <c r="C1" s="543"/>
    </row>
    <row r="3" customFormat="false" ht="12.75" hidden="false" customHeight="false" outlineLevel="0" collapsed="false">
      <c r="B3" s="0" t="s">
        <v>5</v>
      </c>
      <c r="G3" s="544"/>
    </row>
    <row r="5" customFormat="false" ht="12.75" hidden="false" customHeight="false" outlineLevel="0" collapsed="false">
      <c r="B5" s="0" t="s">
        <v>948</v>
      </c>
    </row>
    <row r="7" customFormat="false" ht="12.75" hidden="false" customHeight="false" outlineLevel="0" collapsed="false">
      <c r="C7" s="0" t="s">
        <v>949</v>
      </c>
    </row>
    <row r="8" customFormat="false" ht="12.75" hidden="false" customHeight="false" outlineLevel="0" collapsed="false">
      <c r="D8" s="0" t="s">
        <v>950</v>
      </c>
      <c r="E8" s="0" t="s">
        <v>394</v>
      </c>
      <c r="F8" s="417" t="n">
        <v>3.88</v>
      </c>
    </row>
    <row r="9" customFormat="false" ht="12.75" hidden="false" customHeight="false" outlineLevel="0" collapsed="false">
      <c r="D9" s="0" t="s">
        <v>949</v>
      </c>
      <c r="F9" s="545" t="n">
        <v>0.0333</v>
      </c>
    </row>
    <row r="10" customFormat="false" ht="12.75" hidden="false" customHeight="false" outlineLevel="0" collapsed="false">
      <c r="D10" s="0" t="s">
        <v>951</v>
      </c>
      <c r="F10" s="546" t="n">
        <v>0.0474045</v>
      </c>
      <c r="G10" s="0" t="s">
        <v>952</v>
      </c>
    </row>
    <row r="11" customFormat="false" ht="12.75" hidden="false" customHeight="false" outlineLevel="0" collapsed="false">
      <c r="D11" s="0" t="s">
        <v>953</v>
      </c>
      <c r="F11" s="473" t="n">
        <f aca="false">+F8/(1-F10)-F8</f>
        <v>0.193082436354151</v>
      </c>
    </row>
    <row r="12" customFormat="false" ht="13.5" hidden="false" customHeight="false" outlineLevel="0" collapsed="false">
      <c r="D12" s="0" t="s">
        <v>954</v>
      </c>
      <c r="F12" s="475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0" t="s">
        <v>955</v>
      </c>
    </row>
    <row r="15" customFormat="false" ht="12.75" hidden="false" customHeight="false" outlineLevel="0" collapsed="false">
      <c r="D15" s="0" t="s">
        <v>950</v>
      </c>
      <c r="E15" s="0" t="s">
        <v>394</v>
      </c>
      <c r="F15" s="417" t="n">
        <v>3.88</v>
      </c>
    </row>
    <row r="16" customFormat="false" ht="12.75" hidden="false" customHeight="false" outlineLevel="0" collapsed="false">
      <c r="D16" s="0" t="s">
        <v>955</v>
      </c>
      <c r="F16" s="545" t="n">
        <v>0.0325</v>
      </c>
    </row>
    <row r="17" customFormat="false" ht="12.75" hidden="false" customHeight="false" outlineLevel="0" collapsed="false">
      <c r="D17" s="0" t="s">
        <v>956</v>
      </c>
      <c r="F17" s="546" t="n">
        <v>0</v>
      </c>
    </row>
    <row r="18" customFormat="false" ht="12.75" hidden="false" customHeight="false" outlineLevel="0" collapsed="false">
      <c r="D18" s="0" t="s">
        <v>953</v>
      </c>
      <c r="F18" s="473" t="n">
        <f aca="false">+F15/(1-F17)-F15</f>
        <v>0</v>
      </c>
    </row>
    <row r="19" customFormat="false" ht="13.5" hidden="false" customHeight="false" outlineLevel="0" collapsed="false">
      <c r="D19" s="0" t="s">
        <v>954</v>
      </c>
      <c r="F19" s="475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0" t="s">
        <v>957</v>
      </c>
    </row>
    <row r="24" customFormat="false" ht="12.75" hidden="false" customHeight="false" outlineLevel="0" collapsed="false">
      <c r="C24" s="0" t="s">
        <v>949</v>
      </c>
    </row>
    <row r="25" customFormat="false" ht="12.75" hidden="false" customHeight="false" outlineLevel="0" collapsed="false">
      <c r="D25" s="0" t="s">
        <v>950</v>
      </c>
      <c r="E25" s="0" t="s">
        <v>394</v>
      </c>
      <c r="F25" s="417" t="n">
        <v>2.2</v>
      </c>
    </row>
    <row r="26" customFormat="false" ht="12.75" hidden="false" customHeight="false" outlineLevel="0" collapsed="false">
      <c r="D26" s="0" t="s">
        <v>949</v>
      </c>
      <c r="F26" s="545" t="n">
        <v>0.0054</v>
      </c>
    </row>
    <row r="27" customFormat="false" ht="12.75" hidden="false" customHeight="false" outlineLevel="0" collapsed="false">
      <c r="D27" s="0" t="s">
        <v>951</v>
      </c>
      <c r="F27" s="546" t="n">
        <v>0.0198</v>
      </c>
    </row>
    <row r="28" customFormat="false" ht="12.75" hidden="false" customHeight="false" outlineLevel="0" collapsed="false">
      <c r="D28" s="0" t="s">
        <v>953</v>
      </c>
      <c r="F28" s="473" t="n">
        <f aca="false">+F25/(1-F27)-F25</f>
        <v>0.0444399102224038</v>
      </c>
    </row>
    <row r="29" customFormat="false" ht="13.5" hidden="false" customHeight="false" outlineLevel="0" collapsed="false">
      <c r="D29" s="0" t="s">
        <v>954</v>
      </c>
      <c r="F29" s="475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0" t="s">
        <v>955</v>
      </c>
    </row>
    <row r="32" customFormat="false" ht="12.75" hidden="false" customHeight="false" outlineLevel="0" collapsed="false">
      <c r="D32" s="0" t="s">
        <v>950</v>
      </c>
      <c r="E32" s="0" t="s">
        <v>394</v>
      </c>
      <c r="F32" s="417" t="n">
        <v>1.95</v>
      </c>
    </row>
    <row r="33" customFormat="false" ht="12.75" hidden="false" customHeight="false" outlineLevel="0" collapsed="false">
      <c r="D33" s="0" t="s">
        <v>955</v>
      </c>
      <c r="F33" s="545" t="n">
        <v>0.0054</v>
      </c>
    </row>
    <row r="34" customFormat="false" ht="12.75" hidden="false" customHeight="false" outlineLevel="0" collapsed="false">
      <c r="D34" s="0" t="s">
        <v>956</v>
      </c>
      <c r="F34" s="546" t="n">
        <v>0</v>
      </c>
    </row>
    <row r="35" customFormat="false" ht="12.75" hidden="false" customHeight="false" outlineLevel="0" collapsed="false">
      <c r="D35" s="0" t="s">
        <v>953</v>
      </c>
      <c r="F35" s="473" t="n">
        <f aca="false">+F32/(1-F34)-F32</f>
        <v>0</v>
      </c>
    </row>
    <row r="36" customFormat="false" ht="13.5" hidden="false" customHeight="false" outlineLevel="0" collapsed="false">
      <c r="D36" s="0" t="s">
        <v>954</v>
      </c>
      <c r="F36" s="475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0" t="s">
        <v>958</v>
      </c>
    </row>
    <row r="41" customFormat="false" ht="12.75" hidden="false" customHeight="false" outlineLevel="0" collapsed="false">
      <c r="C41" s="0" t="s">
        <v>949</v>
      </c>
    </row>
    <row r="42" customFormat="false" ht="12.75" hidden="false" customHeight="false" outlineLevel="0" collapsed="false">
      <c r="D42" s="0" t="s">
        <v>950</v>
      </c>
      <c r="E42" s="0" t="s">
        <v>394</v>
      </c>
      <c r="F42" s="417" t="n">
        <v>2.2</v>
      </c>
    </row>
    <row r="43" customFormat="false" ht="12.75" hidden="false" customHeight="false" outlineLevel="0" collapsed="false">
      <c r="D43" s="0" t="s">
        <v>949</v>
      </c>
      <c r="F43" s="545" t="n">
        <v>0.0219</v>
      </c>
    </row>
    <row r="44" customFormat="false" ht="12.75" hidden="false" customHeight="false" outlineLevel="0" collapsed="false">
      <c r="D44" s="0" t="s">
        <v>951</v>
      </c>
      <c r="F44" s="546" t="n">
        <v>0.02375</v>
      </c>
      <c r="G44" s="0" t="s">
        <v>959</v>
      </c>
    </row>
    <row r="45" customFormat="false" ht="12.75" hidden="false" customHeight="false" outlineLevel="0" collapsed="false">
      <c r="D45" s="0" t="s">
        <v>953</v>
      </c>
      <c r="F45" s="473" t="n">
        <f aca="false">+F42/(1-F44)-F42</f>
        <v>0.0535211267605633</v>
      </c>
    </row>
    <row r="46" customFormat="false" ht="13.5" hidden="false" customHeight="false" outlineLevel="0" collapsed="false">
      <c r="D46" s="0" t="s">
        <v>954</v>
      </c>
      <c r="F46" s="475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0" t="s">
        <v>955</v>
      </c>
    </row>
    <row r="49" customFormat="false" ht="12.75" hidden="false" customHeight="false" outlineLevel="0" collapsed="false">
      <c r="D49" s="0" t="s">
        <v>950</v>
      </c>
      <c r="E49" s="0" t="s">
        <v>394</v>
      </c>
      <c r="F49" s="417" t="n">
        <v>1.95</v>
      </c>
    </row>
    <row r="50" customFormat="false" ht="12.75" hidden="false" customHeight="false" outlineLevel="0" collapsed="false">
      <c r="D50" s="0" t="s">
        <v>955</v>
      </c>
      <c r="F50" s="545" t="n">
        <v>0.0209</v>
      </c>
    </row>
    <row r="51" customFormat="false" ht="12.75" hidden="false" customHeight="false" outlineLevel="0" collapsed="false">
      <c r="D51" s="0" t="s">
        <v>956</v>
      </c>
      <c r="F51" s="546" t="n">
        <v>0.0047</v>
      </c>
    </row>
    <row r="52" customFormat="false" ht="12.75" hidden="false" customHeight="false" outlineLevel="0" collapsed="false">
      <c r="D52" s="0" t="s">
        <v>953</v>
      </c>
      <c r="F52" s="473" t="n">
        <f aca="false">+F49/(1-F51)-F49</f>
        <v>0.00920827891088116</v>
      </c>
    </row>
    <row r="53" customFormat="false" ht="13.5" hidden="false" customHeight="false" outlineLevel="0" collapsed="false">
      <c r="D53" s="0" t="s">
        <v>954</v>
      </c>
      <c r="F53" s="475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0" t="s">
        <v>960</v>
      </c>
    </row>
    <row r="57" customFormat="false" ht="12.75" hidden="false" customHeight="false" outlineLevel="0" collapsed="false">
      <c r="C57" s="0" t="s">
        <v>949</v>
      </c>
    </row>
    <row r="58" customFormat="false" ht="12.75" hidden="false" customHeight="false" outlineLevel="0" collapsed="false">
      <c r="D58" s="0" t="s">
        <v>950</v>
      </c>
      <c r="E58" s="0" t="s">
        <v>394</v>
      </c>
      <c r="F58" s="417" t="n">
        <v>2.2</v>
      </c>
    </row>
    <row r="59" customFormat="false" ht="12.75" hidden="false" customHeight="false" outlineLevel="0" collapsed="false">
      <c r="D59" s="0" t="s">
        <v>949</v>
      </c>
      <c r="F59" s="545" t="n">
        <v>0.0334</v>
      </c>
      <c r="G59" s="0" t="s">
        <v>961</v>
      </c>
    </row>
    <row r="60" customFormat="false" ht="12.75" hidden="false" customHeight="false" outlineLevel="0" collapsed="false">
      <c r="D60" s="0" t="s">
        <v>962</v>
      </c>
      <c r="F60" s="545" t="n">
        <v>0.0727</v>
      </c>
      <c r="G60" s="0" t="s">
        <v>963</v>
      </c>
    </row>
    <row r="61" customFormat="false" ht="12.75" hidden="false" customHeight="false" outlineLevel="0" collapsed="false">
      <c r="D61" s="0" t="s">
        <v>951</v>
      </c>
      <c r="F61" s="546" t="n">
        <v>0</v>
      </c>
    </row>
    <row r="62" customFormat="false" ht="12.75" hidden="false" customHeight="false" outlineLevel="0" collapsed="false">
      <c r="D62" s="0" t="s">
        <v>953</v>
      </c>
      <c r="F62" s="473" t="n">
        <f aca="false">+F58/(1-F61)-F58</f>
        <v>0</v>
      </c>
    </row>
    <row r="63" customFormat="false" ht="13.5" hidden="false" customHeight="false" outlineLevel="0" collapsed="false">
      <c r="D63" s="0" t="s">
        <v>954</v>
      </c>
      <c r="F63" s="475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0" t="s">
        <v>955</v>
      </c>
    </row>
    <row r="66" customFormat="false" ht="12.75" hidden="false" customHeight="false" outlineLevel="0" collapsed="false">
      <c r="D66" s="0" t="s">
        <v>950</v>
      </c>
      <c r="E66" s="0" t="s">
        <v>394</v>
      </c>
      <c r="F66" s="417" t="n">
        <v>1.95</v>
      </c>
    </row>
    <row r="67" customFormat="false" ht="12.75" hidden="false" customHeight="false" outlineLevel="0" collapsed="false">
      <c r="D67" s="0" t="s">
        <v>962</v>
      </c>
      <c r="F67" s="545" t="n">
        <v>0.0727</v>
      </c>
      <c r="G67" s="0" t="s">
        <v>964</v>
      </c>
    </row>
    <row r="68" customFormat="false" ht="12.75" hidden="false" customHeight="false" outlineLevel="0" collapsed="false">
      <c r="D68" s="0" t="s">
        <v>955</v>
      </c>
      <c r="F68" s="545" t="n">
        <v>0.0264</v>
      </c>
      <c r="G68" s="0" t="s">
        <v>965</v>
      </c>
    </row>
    <row r="69" customFormat="false" ht="12.75" hidden="false" customHeight="false" outlineLevel="0" collapsed="false">
      <c r="D69" s="0" t="s">
        <v>956</v>
      </c>
      <c r="F69" s="546" t="n">
        <v>0</v>
      </c>
    </row>
    <row r="70" customFormat="false" ht="12.75" hidden="false" customHeight="false" outlineLevel="0" collapsed="false">
      <c r="D70" s="0" t="s">
        <v>953</v>
      </c>
      <c r="F70" s="473" t="n">
        <f aca="false">+F66/(1-F69)-F66</f>
        <v>0</v>
      </c>
    </row>
    <row r="71" customFormat="false" ht="13.5" hidden="false" customHeight="false" outlineLevel="0" collapsed="false">
      <c r="D71" s="0" t="s">
        <v>954</v>
      </c>
      <c r="F71" s="475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543" t="s">
        <v>966</v>
      </c>
    </row>
    <row r="76" customFormat="false" ht="12.75" hidden="false" customHeight="false" outlineLevel="0" collapsed="false">
      <c r="D76" s="0" t="s">
        <v>950</v>
      </c>
      <c r="E76" s="0" t="s">
        <v>394</v>
      </c>
      <c r="F76" s="417" t="n">
        <v>2.8</v>
      </c>
    </row>
    <row r="77" customFormat="false" ht="12.75" hidden="false" customHeight="false" outlineLevel="0" collapsed="false">
      <c r="D77" s="0" t="s">
        <v>668</v>
      </c>
      <c r="F77" s="545" t="n">
        <v>0.0057</v>
      </c>
    </row>
    <row r="78" customFormat="false" ht="12.75" hidden="false" customHeight="false" outlineLevel="0" collapsed="false">
      <c r="D78" s="0" t="s">
        <v>967</v>
      </c>
      <c r="F78" s="545" t="n">
        <f aca="false">0.0022+0.0075</f>
        <v>0.0097</v>
      </c>
      <c r="G78" s="0" t="s">
        <v>968</v>
      </c>
    </row>
    <row r="79" customFormat="false" ht="12.75" hidden="false" customHeight="false" outlineLevel="0" collapsed="false">
      <c r="D79" s="0" t="s">
        <v>507</v>
      </c>
      <c r="F79" s="546" t="n">
        <v>0.0072</v>
      </c>
    </row>
    <row r="80" customFormat="false" ht="12.75" hidden="false" customHeight="false" outlineLevel="0" collapsed="false">
      <c r="D80" s="0" t="s">
        <v>953</v>
      </c>
      <c r="F80" s="473" t="n">
        <f aca="false">+F76/(1-F79)-F76</f>
        <v>0.0203062046736502</v>
      </c>
    </row>
    <row r="81" customFormat="false" ht="13.5" hidden="false" customHeight="false" outlineLevel="0" collapsed="false">
      <c r="D81" s="0" t="s">
        <v>954</v>
      </c>
      <c r="F81" s="475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543" t="s">
        <v>48</v>
      </c>
    </row>
    <row r="98" customFormat="false" ht="12.75" hidden="false" customHeight="false" outlineLevel="0" collapsed="false">
      <c r="B98" s="0" t="s">
        <v>5</v>
      </c>
    </row>
    <row r="100" customFormat="false" ht="12.75" hidden="false" customHeight="false" outlineLevel="0" collapsed="false">
      <c r="B100" s="0" t="s">
        <v>969</v>
      </c>
    </row>
    <row r="101" customFormat="false" ht="12.75" hidden="false" customHeight="false" outlineLevel="0" collapsed="false">
      <c r="C101" s="0" t="s">
        <v>949</v>
      </c>
    </row>
    <row r="102" customFormat="false" ht="12.75" hidden="false" customHeight="false" outlineLevel="0" collapsed="false">
      <c r="D102" s="0" t="s">
        <v>950</v>
      </c>
      <c r="E102" s="0" t="s">
        <v>970</v>
      </c>
      <c r="F102" s="417" t="n">
        <f aca="false">0.18+2.27</f>
        <v>2.45</v>
      </c>
    </row>
    <row r="103" customFormat="false" ht="12.75" hidden="false" customHeight="false" outlineLevel="0" collapsed="false">
      <c r="D103" s="0" t="s">
        <v>949</v>
      </c>
      <c r="F103" s="545" t="n">
        <v>0.0162</v>
      </c>
    </row>
    <row r="104" customFormat="false" ht="12.75" hidden="false" customHeight="false" outlineLevel="0" collapsed="false">
      <c r="D104" s="0" t="s">
        <v>951</v>
      </c>
      <c r="F104" s="546" t="n">
        <v>0.0278</v>
      </c>
    </row>
    <row r="105" customFormat="false" ht="12.75" hidden="false" customHeight="false" outlineLevel="0" collapsed="false">
      <c r="D105" s="0" t="s">
        <v>953</v>
      </c>
      <c r="F105" s="473" t="n">
        <f aca="false">+F102/(1-F104)-F102</f>
        <v>0.0700576013166017</v>
      </c>
    </row>
    <row r="106" customFormat="false" ht="13.5" hidden="false" customHeight="false" outlineLevel="0" collapsed="false">
      <c r="D106" s="0" t="s">
        <v>954</v>
      </c>
      <c r="F106" s="475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0" t="s">
        <v>955</v>
      </c>
    </row>
    <row r="109" customFormat="false" ht="12.75" hidden="false" customHeight="false" outlineLevel="0" collapsed="false">
      <c r="D109" s="0" t="s">
        <v>950</v>
      </c>
      <c r="E109" s="0" t="s">
        <v>970</v>
      </c>
      <c r="F109" s="417" t="n">
        <v>1.95</v>
      </c>
    </row>
    <row r="110" customFormat="false" ht="12.75" hidden="false" customHeight="false" outlineLevel="0" collapsed="false">
      <c r="D110" s="0" t="s">
        <v>955</v>
      </c>
      <c r="F110" s="545" t="n">
        <v>0.0147</v>
      </c>
    </row>
    <row r="111" customFormat="false" ht="12.75" hidden="false" customHeight="false" outlineLevel="0" collapsed="false">
      <c r="D111" s="0" t="s">
        <v>971</v>
      </c>
      <c r="F111" s="545" t="n">
        <v>-0.0006</v>
      </c>
    </row>
    <row r="112" customFormat="false" ht="12.75" hidden="false" customHeight="false" outlineLevel="0" collapsed="false">
      <c r="D112" s="0" t="s">
        <v>956</v>
      </c>
      <c r="F112" s="546" t="n">
        <v>0</v>
      </c>
    </row>
    <row r="113" customFormat="false" ht="12.75" hidden="false" customHeight="false" outlineLevel="0" collapsed="false">
      <c r="D113" s="0" t="s">
        <v>953</v>
      </c>
      <c r="F113" s="473" t="n">
        <f aca="false">+F109/(1-F112)-F109</f>
        <v>0</v>
      </c>
    </row>
    <row r="114" customFormat="false" ht="13.5" hidden="false" customHeight="false" outlineLevel="0" collapsed="false">
      <c r="D114" s="0" t="s">
        <v>954</v>
      </c>
      <c r="F114" s="475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0" t="s">
        <v>972</v>
      </c>
    </row>
    <row r="117" customFormat="false" ht="12.75" hidden="false" customHeight="false" outlineLevel="0" collapsed="false">
      <c r="C117" s="0" t="s">
        <v>973</v>
      </c>
    </row>
    <row r="121" customFormat="false" ht="12.75" hidden="false" customHeight="false" outlineLevel="0" collapsed="false">
      <c r="B121" s="543" t="s">
        <v>140</v>
      </c>
    </row>
    <row r="123" customFormat="false" ht="12.75" hidden="false" customHeight="false" outlineLevel="0" collapsed="false">
      <c r="B123" s="0" t="s">
        <v>5</v>
      </c>
    </row>
    <row r="125" customFormat="false" ht="12.75" hidden="false" customHeight="false" outlineLevel="0" collapsed="false">
      <c r="B125" s="0" t="s">
        <v>974</v>
      </c>
    </row>
    <row r="126" customFormat="false" ht="12.75" hidden="false" customHeight="false" outlineLevel="0" collapsed="false">
      <c r="C126" s="0" t="s">
        <v>949</v>
      </c>
    </row>
    <row r="127" customFormat="false" ht="12.75" hidden="false" customHeight="false" outlineLevel="0" collapsed="false">
      <c r="D127" s="0" t="s">
        <v>950</v>
      </c>
      <c r="E127" s="0" t="s">
        <v>970</v>
      </c>
      <c r="F127" s="417" t="n">
        <v>2.48</v>
      </c>
    </row>
    <row r="128" customFormat="false" ht="12.75" hidden="false" customHeight="false" outlineLevel="0" collapsed="false">
      <c r="D128" s="0" t="s">
        <v>949</v>
      </c>
      <c r="F128" s="545" t="n">
        <v>0.0089</v>
      </c>
    </row>
    <row r="129" customFormat="false" ht="12.75" hidden="false" customHeight="false" outlineLevel="0" collapsed="false">
      <c r="D129" s="0" t="s">
        <v>951</v>
      </c>
      <c r="F129" s="546" t="n">
        <v>0.0065</v>
      </c>
    </row>
    <row r="130" customFormat="false" ht="12.75" hidden="false" customHeight="false" outlineLevel="0" collapsed="false">
      <c r="D130" s="0" t="s">
        <v>953</v>
      </c>
      <c r="F130" s="473" t="n">
        <f aca="false">+F127/(1-F129)-F127</f>
        <v>0.0162254655259182</v>
      </c>
    </row>
    <row r="131" customFormat="false" ht="13.5" hidden="false" customHeight="false" outlineLevel="0" collapsed="false">
      <c r="D131" s="0" t="s">
        <v>954</v>
      </c>
      <c r="F131" s="475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0" t="s">
        <v>975</v>
      </c>
    </row>
    <row r="134" customFormat="false" ht="12.75" hidden="false" customHeight="false" outlineLevel="0" collapsed="false">
      <c r="C134" s="0" t="s">
        <v>949</v>
      </c>
    </row>
    <row r="135" customFormat="false" ht="12.75" hidden="false" customHeight="false" outlineLevel="0" collapsed="false">
      <c r="D135" s="0" t="s">
        <v>950</v>
      </c>
      <c r="E135" s="0" t="s">
        <v>970</v>
      </c>
      <c r="F135" s="417" t="n">
        <v>2.48</v>
      </c>
    </row>
    <row r="136" customFormat="false" ht="12.75" hidden="false" customHeight="false" outlineLevel="0" collapsed="false">
      <c r="D136" s="0" t="s">
        <v>976</v>
      </c>
      <c r="F136" s="545" t="n">
        <v>0.0079</v>
      </c>
    </row>
    <row r="137" customFormat="false" ht="12.75" hidden="false" customHeight="false" outlineLevel="0" collapsed="false">
      <c r="D137" s="0" t="s">
        <v>669</v>
      </c>
      <c r="F137" s="545" t="n">
        <v>0.0022</v>
      </c>
    </row>
    <row r="138" customFormat="false" ht="12.75" hidden="false" customHeight="false" outlineLevel="0" collapsed="false">
      <c r="D138" s="0" t="s">
        <v>951</v>
      </c>
      <c r="F138" s="546" t="n">
        <v>0.0325</v>
      </c>
    </row>
    <row r="139" customFormat="false" ht="12.75" hidden="false" customHeight="false" outlineLevel="0" collapsed="false">
      <c r="D139" s="0" t="s">
        <v>953</v>
      </c>
      <c r="F139" s="547" t="n">
        <f aca="false">+F135/(1-F138)-F135</f>
        <v>0.0833074935400515</v>
      </c>
    </row>
    <row r="140" customFormat="false" ht="13.5" hidden="false" customHeight="false" outlineLevel="0" collapsed="false">
      <c r="D140" s="0" t="s">
        <v>954</v>
      </c>
      <c r="F140" s="475" t="n">
        <f aca="false">SUM(F136:F137,F139)</f>
        <v>0.0934074935400515</v>
      </c>
    </row>
    <row r="141" customFormat="false" ht="13.5" hidden="false" customHeight="false" outlineLevel="0" collapsed="false">
      <c r="F141" s="417"/>
    </row>
    <row r="142" customFormat="false" ht="12.75" hidden="false" customHeight="false" outlineLevel="0" collapsed="false">
      <c r="F142" s="417"/>
    </row>
    <row r="143" customFormat="false" ht="12.75" hidden="false" customHeight="false" outlineLevel="0" collapsed="false">
      <c r="B143" s="0" t="s">
        <v>974</v>
      </c>
    </row>
    <row r="144" customFormat="false" ht="12.75" hidden="false" customHeight="false" outlineLevel="0" collapsed="false">
      <c r="C144" s="0" t="s">
        <v>955</v>
      </c>
    </row>
    <row r="145" customFormat="false" ht="12.75" hidden="false" customHeight="false" outlineLevel="0" collapsed="false">
      <c r="D145" s="0" t="s">
        <v>950</v>
      </c>
      <c r="E145" s="0" t="s">
        <v>970</v>
      </c>
      <c r="F145" s="417" t="n">
        <v>1.95</v>
      </c>
    </row>
    <row r="146" customFormat="false" ht="12.75" hidden="false" customHeight="false" outlineLevel="0" collapsed="false">
      <c r="D146" s="0" t="s">
        <v>955</v>
      </c>
      <c r="F146" s="545" t="n">
        <v>0.0089</v>
      </c>
    </row>
    <row r="147" customFormat="false" ht="12.75" hidden="false" customHeight="false" outlineLevel="0" collapsed="false">
      <c r="D147" s="0" t="s">
        <v>956</v>
      </c>
      <c r="F147" s="546" t="n">
        <v>0</v>
      </c>
    </row>
    <row r="148" customFormat="false" ht="12.75" hidden="false" customHeight="false" outlineLevel="0" collapsed="false">
      <c r="D148" s="0" t="s">
        <v>953</v>
      </c>
      <c r="F148" s="473" t="n">
        <f aca="false">+F145/(1-F147)-F145</f>
        <v>0</v>
      </c>
    </row>
    <row r="149" customFormat="false" ht="13.5" hidden="false" customHeight="false" outlineLevel="0" collapsed="false">
      <c r="D149" s="0" t="s">
        <v>954</v>
      </c>
      <c r="F149" s="475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0" t="s">
        <v>975</v>
      </c>
    </row>
    <row r="152" customFormat="false" ht="12.75" hidden="false" customHeight="false" outlineLevel="0" collapsed="false">
      <c r="C152" s="0" t="s">
        <v>955</v>
      </c>
    </row>
    <row r="153" customFormat="false" ht="12.75" hidden="false" customHeight="false" outlineLevel="0" collapsed="false">
      <c r="D153" s="0" t="s">
        <v>950</v>
      </c>
      <c r="E153" s="0" t="s">
        <v>970</v>
      </c>
      <c r="F153" s="417" t="n">
        <v>2.48</v>
      </c>
    </row>
    <row r="154" customFormat="false" ht="12.75" hidden="false" customHeight="false" outlineLevel="0" collapsed="false">
      <c r="D154" s="0" t="s">
        <v>976</v>
      </c>
      <c r="F154" s="545" t="n">
        <v>0.0079</v>
      </c>
    </row>
    <row r="155" customFormat="false" ht="12.75" hidden="false" customHeight="false" outlineLevel="0" collapsed="false">
      <c r="D155" s="0" t="s">
        <v>669</v>
      </c>
      <c r="F155" s="545" t="n">
        <v>0.0022</v>
      </c>
    </row>
    <row r="156" customFormat="false" ht="12.75" hidden="false" customHeight="false" outlineLevel="0" collapsed="false">
      <c r="D156" s="0" t="s">
        <v>956</v>
      </c>
      <c r="F156" s="546" t="n">
        <v>0</v>
      </c>
    </row>
    <row r="157" customFormat="false" ht="12.75" hidden="false" customHeight="false" outlineLevel="0" collapsed="false">
      <c r="D157" s="0" t="s">
        <v>953</v>
      </c>
      <c r="F157" s="547" t="n">
        <f aca="false">+F153/(1-F156)-F153</f>
        <v>0</v>
      </c>
    </row>
    <row r="158" customFormat="false" ht="13.5" hidden="false" customHeight="false" outlineLevel="0" collapsed="false">
      <c r="D158" s="0" t="s">
        <v>954</v>
      </c>
      <c r="F158" s="475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548"/>
      <c r="D161" s="548"/>
      <c r="E161" s="548"/>
      <c r="F161" s="548"/>
      <c r="G161" s="548"/>
    </row>
    <row r="162" customFormat="false" ht="12.75" hidden="false" customHeight="false" outlineLevel="0" collapsed="false">
      <c r="C162" s="548"/>
      <c r="D162" s="548"/>
      <c r="E162" s="548"/>
      <c r="F162" s="417"/>
      <c r="G162" s="548"/>
    </row>
    <row r="163" customFormat="false" ht="12.75" hidden="false" customHeight="false" outlineLevel="0" collapsed="false">
      <c r="C163" s="548"/>
      <c r="D163" s="548"/>
      <c r="E163" s="548"/>
      <c r="F163" s="545"/>
      <c r="G163" s="548"/>
    </row>
    <row r="164" customFormat="false" ht="12.75" hidden="false" customHeight="false" outlineLevel="0" collapsed="false">
      <c r="C164" s="548"/>
      <c r="D164" s="548"/>
      <c r="E164" s="548"/>
      <c r="F164" s="546"/>
      <c r="G164" s="548"/>
    </row>
    <row r="165" customFormat="false" ht="12.75" hidden="false" customHeight="false" outlineLevel="0" collapsed="false">
      <c r="C165" s="548"/>
      <c r="D165" s="548"/>
      <c r="E165" s="548"/>
      <c r="F165" s="417"/>
      <c r="G165" s="548"/>
    </row>
    <row r="166" customFormat="false" ht="12.75" hidden="false" customHeight="false" outlineLevel="0" collapsed="false">
      <c r="C166" s="548"/>
      <c r="D166" s="548"/>
      <c r="E166" s="548"/>
      <c r="F166" s="417"/>
      <c r="G166" s="548"/>
    </row>
    <row r="167" customFormat="false" ht="12.75" hidden="false" customHeight="false" outlineLevel="0" collapsed="false">
      <c r="C167" s="548"/>
      <c r="D167" s="548"/>
      <c r="E167" s="548"/>
      <c r="F167" s="548"/>
      <c r="G167" s="5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L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27" width="9.14"/>
    <col collapsed="false" customWidth="true" hidden="false" outlineLevel="0" max="6" min="6" style="27" width="11.13"/>
    <col collapsed="false" customWidth="false" hidden="false" outlineLevel="0" max="257" min="7" style="27" width="9.14"/>
  </cols>
  <sheetData>
    <row r="4" customFormat="false" ht="12.75" hidden="false" customHeight="false" outlineLevel="0" collapsed="false">
      <c r="A4" s="549" t="s">
        <v>977</v>
      </c>
      <c r="B4" s="549"/>
      <c r="C4" s="549"/>
      <c r="D4" s="549"/>
      <c r="E4" s="549"/>
      <c r="F4" s="549"/>
      <c r="G4" s="549"/>
      <c r="H4" s="549"/>
    </row>
    <row r="5" customFormat="false" ht="12.75" hidden="false" customHeight="false" outlineLevel="0" collapsed="false">
      <c r="A5" s="549"/>
      <c r="B5" s="549"/>
      <c r="C5" s="549"/>
      <c r="D5" s="549"/>
      <c r="E5" s="549"/>
      <c r="F5" s="549"/>
      <c r="G5" s="549"/>
      <c r="H5" s="549"/>
    </row>
    <row r="6" customFormat="false" ht="12.75" hidden="false" customHeight="false" outlineLevel="0" collapsed="false">
      <c r="A6" s="549" t="s">
        <v>25</v>
      </c>
      <c r="B6" s="549"/>
      <c r="C6" s="549"/>
      <c r="D6" s="549"/>
      <c r="E6" s="549"/>
      <c r="F6" s="549"/>
      <c r="G6" s="549"/>
      <c r="H6" s="549"/>
    </row>
    <row r="7" customFormat="false" ht="12.75" hidden="false" customHeight="false" outlineLevel="0" collapsed="false">
      <c r="A7" s="549"/>
      <c r="C7" s="549" t="s">
        <v>978</v>
      </c>
      <c r="D7" s="549" t="e">
        <f aca="false">(12/365)*#REF!</f>
        <v>#REF!</v>
      </c>
      <c r="E7" s="549" t="s">
        <v>979</v>
      </c>
      <c r="F7" s="549"/>
      <c r="G7" s="549"/>
      <c r="H7" s="549"/>
    </row>
    <row r="8" customFormat="false" ht="12.75" hidden="false" customHeight="false" outlineLevel="0" collapsed="false">
      <c r="A8" s="549"/>
      <c r="B8" s="549"/>
      <c r="C8" s="549"/>
      <c r="D8" s="549"/>
      <c r="E8" s="549"/>
      <c r="F8" s="549"/>
      <c r="G8" s="549"/>
      <c r="H8" s="549"/>
    </row>
    <row r="9" customFormat="false" ht="12.75" hidden="false" customHeight="false" outlineLevel="0" collapsed="false">
      <c r="A9" s="549"/>
      <c r="B9" s="549"/>
      <c r="C9" s="549"/>
      <c r="D9" s="549"/>
      <c r="E9" s="549"/>
      <c r="F9" s="549"/>
      <c r="G9" s="549"/>
      <c r="H9" s="549"/>
    </row>
    <row r="10" customFormat="false" ht="12.75" hidden="false" customHeight="false" outlineLevel="0" collapsed="false">
      <c r="A10" s="550" t="s">
        <v>980</v>
      </c>
      <c r="B10" s="550" t="n">
        <v>889108</v>
      </c>
      <c r="C10" s="550"/>
      <c r="D10" s="549"/>
      <c r="E10" s="549"/>
      <c r="F10" s="549"/>
      <c r="G10" s="549"/>
      <c r="H10" s="549"/>
    </row>
    <row r="11" customFormat="false" ht="12.75" hidden="false" customHeight="false" outlineLevel="0" collapsed="false">
      <c r="A11" s="550" t="s">
        <v>359</v>
      </c>
      <c r="B11" s="550" t="s">
        <v>231</v>
      </c>
      <c r="F11" s="549"/>
      <c r="G11" s="549"/>
      <c r="H11" s="549"/>
    </row>
    <row r="12" customFormat="false" ht="12.75" hidden="false" customHeight="false" outlineLevel="0" collapsed="false">
      <c r="A12" s="549"/>
      <c r="B12" s="549" t="s">
        <v>981</v>
      </c>
      <c r="C12" s="549" t="s">
        <v>982</v>
      </c>
      <c r="D12" s="549" t="s">
        <v>978</v>
      </c>
      <c r="E12" s="549" t="s">
        <v>983</v>
      </c>
      <c r="F12" s="549"/>
      <c r="G12" s="549"/>
    </row>
    <row r="13" customFormat="false" ht="12.75" hidden="false" customHeight="false" outlineLevel="0" collapsed="false">
      <c r="A13" s="549" t="s">
        <v>370</v>
      </c>
      <c r="B13" s="551" t="n">
        <v>3.41</v>
      </c>
      <c r="C13" s="549" t="n">
        <v>108</v>
      </c>
      <c r="D13" s="549" t="e">
        <f aca="false">+D$7</f>
        <v>#REF!</v>
      </c>
      <c r="E13" s="552" t="e">
        <f aca="false">(+C13)*B13*D13</f>
        <v>#REF!</v>
      </c>
      <c r="F13" s="549"/>
      <c r="G13" s="549"/>
      <c r="I13" s="551"/>
      <c r="J13" s="549"/>
      <c r="K13" s="549"/>
      <c r="L13" s="552"/>
    </row>
    <row r="14" customFormat="false" ht="12.75" hidden="false" customHeight="false" outlineLevel="0" collapsed="false">
      <c r="A14" s="549" t="s">
        <v>984</v>
      </c>
      <c r="B14" s="551" t="n">
        <v>3.217</v>
      </c>
      <c r="C14" s="549" t="n">
        <v>29</v>
      </c>
      <c r="D14" s="549" t="e">
        <f aca="false">+D$7</f>
        <v>#REF!</v>
      </c>
      <c r="E14" s="552" t="e">
        <f aca="false">(+C14)*B14*D14</f>
        <v>#REF!</v>
      </c>
      <c r="F14" s="549"/>
      <c r="G14" s="549"/>
      <c r="I14" s="551"/>
      <c r="J14" s="549"/>
      <c r="K14" s="549"/>
      <c r="L14" s="552"/>
    </row>
    <row r="15" customFormat="false" ht="12.75" hidden="false" customHeight="false" outlineLevel="0" collapsed="false">
      <c r="A15" s="549" t="s">
        <v>363</v>
      </c>
      <c r="B15" s="551" t="n">
        <v>6.965</v>
      </c>
      <c r="C15" s="549" t="n">
        <v>46</v>
      </c>
      <c r="D15" s="549" t="e">
        <f aca="false">+D$7</f>
        <v>#REF!</v>
      </c>
      <c r="E15" s="552" t="e">
        <f aca="false">(+C15)*B15*D15</f>
        <v>#REF!</v>
      </c>
      <c r="F15" s="549"/>
      <c r="G15" s="549"/>
      <c r="I15" s="551"/>
      <c r="J15" s="549"/>
      <c r="K15" s="549"/>
      <c r="L15" s="552"/>
    </row>
    <row r="16" customFormat="false" ht="12.75" hidden="false" customHeight="false" outlineLevel="0" collapsed="false">
      <c r="A16" s="549" t="s">
        <v>569</v>
      </c>
      <c r="B16" s="551" t="n">
        <v>2.922</v>
      </c>
      <c r="C16" s="549" t="n">
        <v>70</v>
      </c>
      <c r="D16" s="549" t="e">
        <f aca="false">+D$7</f>
        <v>#REF!</v>
      </c>
      <c r="E16" s="552" t="e">
        <f aca="false">(+C16)*B16*D16</f>
        <v>#REF!</v>
      </c>
      <c r="F16" s="549"/>
      <c r="G16" s="549"/>
      <c r="I16" s="551"/>
      <c r="J16" s="549"/>
      <c r="K16" s="549"/>
      <c r="L16" s="552"/>
    </row>
    <row r="17" customFormat="false" ht="12.75" hidden="false" customHeight="false" outlineLevel="0" collapsed="false">
      <c r="A17" s="553" t="s">
        <v>985</v>
      </c>
      <c r="B17" s="551" t="n">
        <v>1.912</v>
      </c>
      <c r="C17" s="549" t="n">
        <v>170</v>
      </c>
      <c r="D17" s="549" t="e">
        <f aca="false">+D$7</f>
        <v>#REF!</v>
      </c>
      <c r="E17" s="552" t="e">
        <f aca="false">(+C17)*B17*D17</f>
        <v>#REF!</v>
      </c>
      <c r="F17" s="549"/>
      <c r="G17" s="549"/>
      <c r="I17" s="551"/>
      <c r="J17" s="549"/>
      <c r="K17" s="549"/>
      <c r="L17" s="552"/>
    </row>
    <row r="18" customFormat="false" ht="12.75" hidden="false" customHeight="false" outlineLevel="0" collapsed="false">
      <c r="A18" s="549" t="s">
        <v>986</v>
      </c>
      <c r="B18" s="551" t="n">
        <v>3.942</v>
      </c>
      <c r="C18" s="549" t="n">
        <v>170</v>
      </c>
      <c r="D18" s="549" t="e">
        <f aca="false">+D$7</f>
        <v>#REF!</v>
      </c>
      <c r="E18" s="552" t="e">
        <f aca="false">(+C18)*B18*D18</f>
        <v>#REF!</v>
      </c>
      <c r="F18" s="549"/>
      <c r="G18" s="549"/>
      <c r="I18" s="551"/>
      <c r="J18" s="549"/>
      <c r="K18" s="549"/>
      <c r="L18" s="552"/>
    </row>
    <row r="19" customFormat="false" ht="12.75" hidden="false" customHeight="false" outlineLevel="0" collapsed="false">
      <c r="A19" s="549" t="s">
        <v>987</v>
      </c>
      <c r="B19" s="551" t="n">
        <v>2.691</v>
      </c>
      <c r="C19" s="549" t="n">
        <v>168</v>
      </c>
      <c r="D19" s="549" t="e">
        <f aca="false">+D$7</f>
        <v>#REF!</v>
      </c>
      <c r="E19" s="552" t="e">
        <f aca="false">(+C19)*B19*D19</f>
        <v>#REF!</v>
      </c>
      <c r="F19" s="549"/>
      <c r="G19" s="549"/>
      <c r="I19" s="551"/>
      <c r="J19" s="549"/>
      <c r="K19" s="549"/>
      <c r="L19" s="552"/>
    </row>
    <row r="20" customFormat="false" ht="12.75" hidden="false" customHeight="false" outlineLevel="0" collapsed="false">
      <c r="A20" s="549" t="s">
        <v>988</v>
      </c>
      <c r="B20" s="551" t="n">
        <v>3.853</v>
      </c>
      <c r="C20" s="549" t="n">
        <v>170</v>
      </c>
      <c r="D20" s="549" t="e">
        <f aca="false">+D$7</f>
        <v>#REF!</v>
      </c>
      <c r="E20" s="552" t="e">
        <f aca="false">(+C20)*B20*D20</f>
        <v>#REF!</v>
      </c>
      <c r="F20" s="549"/>
      <c r="G20" s="549"/>
      <c r="I20" s="551"/>
      <c r="J20" s="549"/>
      <c r="K20" s="549"/>
      <c r="L20" s="552"/>
    </row>
    <row r="21" customFormat="false" ht="12.75" hidden="false" customHeight="false" outlineLevel="0" collapsed="false">
      <c r="A21" s="549" t="s">
        <v>989</v>
      </c>
      <c r="B21" s="551" t="n">
        <v>5.3279</v>
      </c>
      <c r="C21" s="549" t="n">
        <v>170</v>
      </c>
      <c r="D21" s="549" t="e">
        <f aca="false">+D$7</f>
        <v>#REF!</v>
      </c>
      <c r="E21" s="552" t="e">
        <f aca="false">(+C21)*B21*D21</f>
        <v>#REF!</v>
      </c>
      <c r="F21" s="549"/>
      <c r="G21" s="549"/>
      <c r="I21" s="551"/>
      <c r="J21" s="549"/>
      <c r="K21" s="549"/>
      <c r="L21" s="552"/>
    </row>
    <row r="22" customFormat="false" ht="13.5" hidden="false" customHeight="false" outlineLevel="0" collapsed="false">
      <c r="A22" s="549"/>
      <c r="B22" s="549"/>
      <c r="C22" s="549"/>
      <c r="D22" s="549"/>
      <c r="E22" s="554" t="e">
        <f aca="false">SUM(E13:E21)</f>
        <v>#REF!</v>
      </c>
      <c r="F22" s="549"/>
      <c r="G22" s="549"/>
      <c r="L22" s="555"/>
    </row>
    <row r="23" customFormat="false" ht="13.5" hidden="false" customHeight="false" outlineLevel="0" collapsed="false">
      <c r="A23" s="549"/>
      <c r="B23" s="549"/>
      <c r="C23" s="549"/>
      <c r="D23" s="549" t="s">
        <v>990</v>
      </c>
      <c r="E23" s="549" t="n">
        <f aca="false">+C19</f>
        <v>168</v>
      </c>
      <c r="F23" s="549"/>
      <c r="G23" s="549"/>
    </row>
    <row r="24" customFormat="false" ht="12.75" hidden="false" customHeight="false" outlineLevel="0" collapsed="false">
      <c r="A24" s="549"/>
      <c r="B24" s="549"/>
      <c r="C24" s="549"/>
      <c r="D24" s="549" t="s">
        <v>98</v>
      </c>
      <c r="E24" s="556" t="e">
        <f aca="false">+#REF!</f>
        <v>#REF!</v>
      </c>
      <c r="F24" s="549"/>
      <c r="G24" s="549"/>
    </row>
    <row r="25" customFormat="false" ht="13.5" hidden="false" customHeight="false" outlineLevel="0" collapsed="false">
      <c r="A25" s="549"/>
      <c r="B25" s="549"/>
      <c r="C25" s="549"/>
      <c r="D25" s="549" t="s">
        <v>991</v>
      </c>
      <c r="E25" s="557" t="e">
        <f aca="false">ROUND(+E22/E23/E24,4)</f>
        <v>#REF!</v>
      </c>
      <c r="F25" s="549"/>
      <c r="G25" s="549"/>
      <c r="L25" s="558"/>
    </row>
    <row r="26" customFormat="false" ht="13.5" hidden="false" customHeight="false" outlineLevel="0" collapsed="false">
      <c r="A26" s="549"/>
      <c r="B26" s="549"/>
      <c r="C26" s="549"/>
      <c r="D26" s="549"/>
      <c r="E26" s="549"/>
      <c r="F26" s="549"/>
      <c r="G26" s="549"/>
      <c r="H26" s="549"/>
    </row>
    <row r="27" customFormat="false" ht="12.75" hidden="false" customHeight="false" outlineLevel="0" collapsed="false">
      <c r="A27" s="550" t="s">
        <v>980</v>
      </c>
      <c r="B27" s="550" t="n">
        <v>889088</v>
      </c>
      <c r="F27" s="549"/>
      <c r="G27" s="549"/>
      <c r="H27" s="549"/>
    </row>
    <row r="28" customFormat="false" ht="12.75" hidden="false" customHeight="false" outlineLevel="0" collapsed="false">
      <c r="A28" s="550" t="s">
        <v>992</v>
      </c>
      <c r="B28" s="550" t="s">
        <v>231</v>
      </c>
      <c r="C28" s="550" t="s">
        <v>993</v>
      </c>
      <c r="D28" s="550"/>
      <c r="E28" s="550"/>
      <c r="F28" s="549"/>
      <c r="G28" s="549"/>
      <c r="H28" s="549"/>
    </row>
    <row r="29" customFormat="false" ht="12.75" hidden="false" customHeight="false" outlineLevel="0" collapsed="false">
      <c r="A29" s="549"/>
      <c r="B29" s="549" t="s">
        <v>981</v>
      </c>
      <c r="C29" s="549" t="s">
        <v>994</v>
      </c>
      <c r="D29" s="549" t="s">
        <v>995</v>
      </c>
      <c r="E29" s="549" t="s">
        <v>978</v>
      </c>
      <c r="F29" s="549" t="s">
        <v>983</v>
      </c>
      <c r="G29" s="549"/>
      <c r="H29" s="549"/>
    </row>
    <row r="30" customFormat="false" ht="12.75" hidden="false" customHeight="false" outlineLevel="0" collapsed="false">
      <c r="A30" s="549" t="s">
        <v>370</v>
      </c>
      <c r="B30" s="551" t="n">
        <v>3.633</v>
      </c>
      <c r="C30" s="549" t="n">
        <v>62</v>
      </c>
      <c r="D30" s="549" t="n">
        <v>32</v>
      </c>
      <c r="E30" s="549" t="e">
        <f aca="false">+D$7</f>
        <v>#REF!</v>
      </c>
      <c r="F30" s="552" t="e">
        <f aca="false">(+C30+D30)*B30*E30</f>
        <v>#REF!</v>
      </c>
      <c r="G30" s="549"/>
      <c r="H30" s="549"/>
    </row>
    <row r="31" customFormat="false" ht="12.75" hidden="false" customHeight="false" outlineLevel="0" collapsed="false">
      <c r="A31" s="549" t="s">
        <v>984</v>
      </c>
      <c r="B31" s="551" t="n">
        <v>3.44</v>
      </c>
      <c r="C31" s="549" t="n">
        <v>17</v>
      </c>
      <c r="D31" s="549" t="n">
        <v>8</v>
      </c>
      <c r="E31" s="549" t="e">
        <f aca="false">+D$7</f>
        <v>#REF!</v>
      </c>
      <c r="F31" s="552" t="e">
        <f aca="false">(+C31+D31)*B31*E31</f>
        <v>#REF!</v>
      </c>
      <c r="G31" s="549"/>
      <c r="H31" s="549"/>
    </row>
    <row r="32" customFormat="false" ht="12.75" hidden="false" customHeight="false" outlineLevel="0" collapsed="false">
      <c r="A32" s="549" t="s">
        <v>363</v>
      </c>
      <c r="B32" s="551" t="n">
        <v>7.188</v>
      </c>
      <c r="C32" s="549" t="n">
        <v>28</v>
      </c>
      <c r="D32" s="549" t="n">
        <v>14</v>
      </c>
      <c r="E32" s="549" t="e">
        <f aca="false">+D$7</f>
        <v>#REF!</v>
      </c>
      <c r="F32" s="552" t="e">
        <f aca="false">(+C32+D32)*B32*E32</f>
        <v>#REF!</v>
      </c>
      <c r="G32" s="549"/>
      <c r="H32" s="549"/>
    </row>
    <row r="33" customFormat="false" ht="12.75" hidden="false" customHeight="false" outlineLevel="0" collapsed="false">
      <c r="A33" s="549" t="s">
        <v>569</v>
      </c>
      <c r="B33" s="551" t="n">
        <v>3.145</v>
      </c>
      <c r="C33" s="549" t="n">
        <v>41</v>
      </c>
      <c r="D33" s="549" t="n">
        <v>21</v>
      </c>
      <c r="E33" s="549" t="e">
        <f aca="false">+D$7</f>
        <v>#REF!</v>
      </c>
      <c r="F33" s="552" t="e">
        <f aca="false">(+C33+D33)*B33*E33</f>
        <v>#REF!</v>
      </c>
      <c r="G33" s="549"/>
      <c r="H33" s="549"/>
    </row>
    <row r="34" customFormat="false" ht="12.75" hidden="false" customHeight="false" outlineLevel="0" collapsed="false">
      <c r="A34" s="553" t="s">
        <v>985</v>
      </c>
      <c r="B34" s="551" t="n">
        <v>1.912</v>
      </c>
      <c r="C34" s="549" t="n">
        <v>102</v>
      </c>
      <c r="D34" s="549" t="n">
        <v>52</v>
      </c>
      <c r="E34" s="549" t="e">
        <f aca="false">+D$7</f>
        <v>#REF!</v>
      </c>
      <c r="F34" s="552" t="e">
        <f aca="false">(+C34+D34)*B34*E34</f>
        <v>#REF!</v>
      </c>
      <c r="G34" s="549"/>
      <c r="H34" s="549"/>
    </row>
    <row r="35" customFormat="false" ht="12.75" hidden="false" customHeight="false" outlineLevel="0" collapsed="false">
      <c r="A35" s="549" t="s">
        <v>986</v>
      </c>
      <c r="B35" s="551" t="n">
        <v>3.942</v>
      </c>
      <c r="C35" s="549" t="n">
        <v>102</v>
      </c>
      <c r="D35" s="549" t="n">
        <v>51</v>
      </c>
      <c r="E35" s="549" t="e">
        <f aca="false">+D$7</f>
        <v>#REF!</v>
      </c>
      <c r="F35" s="552" t="e">
        <f aca="false">(+C35+D35)*B35*E35</f>
        <v>#REF!</v>
      </c>
      <c r="G35" s="549"/>
      <c r="H35" s="549"/>
    </row>
    <row r="36" customFormat="false" ht="12.75" hidden="false" customHeight="false" outlineLevel="0" collapsed="false">
      <c r="A36" s="549" t="s">
        <v>987</v>
      </c>
      <c r="B36" s="551" t="n">
        <v>2.691</v>
      </c>
      <c r="C36" s="549" t="n">
        <v>100</v>
      </c>
      <c r="D36" s="549" t="n">
        <v>51</v>
      </c>
      <c r="E36" s="549" t="e">
        <f aca="false">+D$7</f>
        <v>#REF!</v>
      </c>
      <c r="F36" s="552" t="e">
        <f aca="false">(+C36+D36)*B36*E36</f>
        <v>#REF!</v>
      </c>
      <c r="G36" s="549"/>
      <c r="H36" s="549"/>
    </row>
    <row r="37" customFormat="false" ht="12.75" hidden="false" customHeight="false" outlineLevel="0" collapsed="false">
      <c r="A37" s="549" t="s">
        <v>988</v>
      </c>
      <c r="B37" s="551" t="n">
        <v>4.076</v>
      </c>
      <c r="C37" s="549" t="n">
        <v>102</v>
      </c>
      <c r="D37" s="549" t="n">
        <v>52</v>
      </c>
      <c r="E37" s="549" t="e">
        <f aca="false">+D$7</f>
        <v>#REF!</v>
      </c>
      <c r="F37" s="552" t="e">
        <f aca="false">(+C37+D37)*B37*E37</f>
        <v>#REF!</v>
      </c>
      <c r="G37" s="549"/>
      <c r="H37" s="549"/>
    </row>
    <row r="38" customFormat="false" ht="13.5" hidden="false" customHeight="false" outlineLevel="0" collapsed="false">
      <c r="A38" s="549"/>
      <c r="B38" s="549"/>
      <c r="C38" s="549"/>
      <c r="E38" s="549"/>
      <c r="F38" s="554" t="e">
        <f aca="false">SUM(F30:F37)</f>
        <v>#REF!</v>
      </c>
      <c r="G38" s="549"/>
      <c r="H38" s="549"/>
    </row>
    <row r="39" customFormat="false" ht="13.5" hidden="false" customHeight="false" outlineLevel="0" collapsed="false">
      <c r="A39" s="549"/>
      <c r="B39" s="549"/>
      <c r="C39" s="549"/>
      <c r="E39" s="549" t="s">
        <v>990</v>
      </c>
      <c r="F39" s="549" t="n">
        <f aca="false">+D37+C37</f>
        <v>154</v>
      </c>
      <c r="G39" s="549"/>
      <c r="H39" s="549"/>
    </row>
    <row r="40" customFormat="false" ht="12.75" hidden="false" customHeight="false" outlineLevel="0" collapsed="false">
      <c r="A40" s="549"/>
      <c r="B40" s="549"/>
      <c r="C40" s="549"/>
      <c r="E40" s="549" t="s">
        <v>98</v>
      </c>
      <c r="F40" s="556" t="e">
        <f aca="false">+#REF!</f>
        <v>#REF!</v>
      </c>
      <c r="G40" s="549"/>
      <c r="H40" s="549"/>
    </row>
    <row r="41" customFormat="false" ht="13.5" hidden="false" customHeight="false" outlineLevel="0" collapsed="false">
      <c r="A41" s="549"/>
      <c r="B41" s="549"/>
      <c r="C41" s="549"/>
      <c r="E41" s="549" t="s">
        <v>991</v>
      </c>
      <c r="F41" s="557" t="e">
        <f aca="false">ROUND(+F38/F39/F40,4)</f>
        <v>#REF!</v>
      </c>
      <c r="G41" s="549"/>
      <c r="H41" s="549"/>
    </row>
    <row r="42" customFormat="false" ht="13.5" hidden="false" customHeight="false" outlineLevel="0" collapsed="false">
      <c r="A42" s="549"/>
      <c r="B42" s="549"/>
      <c r="C42" s="549"/>
      <c r="D42" s="549"/>
      <c r="E42" s="549"/>
      <c r="F42" s="549"/>
      <c r="G42" s="549"/>
      <c r="H42" s="549"/>
    </row>
    <row r="43" customFormat="false" ht="12.75" hidden="false" customHeight="false" outlineLevel="0" collapsed="false">
      <c r="A43" s="549"/>
      <c r="B43" s="549"/>
      <c r="C43" s="549"/>
      <c r="D43" s="549"/>
      <c r="E43" s="549"/>
      <c r="F43" s="549"/>
      <c r="G43" s="549"/>
      <c r="H43" s="549"/>
    </row>
    <row r="44" customFormat="false" ht="12.75" hidden="false" customHeight="false" outlineLevel="0" collapsed="false">
      <c r="A44" s="550" t="s">
        <v>980</v>
      </c>
      <c r="B44" s="550" t="n">
        <v>889110</v>
      </c>
      <c r="F44" s="549"/>
      <c r="G44" s="549"/>
      <c r="H44" s="549"/>
    </row>
    <row r="45" customFormat="false" ht="12.75" hidden="false" customHeight="false" outlineLevel="0" collapsed="false">
      <c r="A45" s="550" t="s">
        <v>359</v>
      </c>
      <c r="B45" s="550" t="s">
        <v>231</v>
      </c>
      <c r="C45" s="550"/>
      <c r="D45" s="550"/>
      <c r="E45" s="550"/>
      <c r="F45" s="549"/>
      <c r="G45" s="549"/>
      <c r="H45" s="549"/>
    </row>
    <row r="46" customFormat="false" ht="12.75" hidden="false" customHeight="false" outlineLevel="0" collapsed="false">
      <c r="A46" s="549"/>
      <c r="B46" s="549" t="s">
        <v>981</v>
      </c>
      <c r="C46" s="549" t="s">
        <v>996</v>
      </c>
      <c r="D46" s="549" t="s">
        <v>997</v>
      </c>
      <c r="E46" s="549" t="s">
        <v>978</v>
      </c>
      <c r="F46" s="549" t="s">
        <v>983</v>
      </c>
      <c r="G46" s="549"/>
      <c r="H46" s="549"/>
    </row>
    <row r="47" customFormat="false" ht="12.75" hidden="false" customHeight="false" outlineLevel="0" collapsed="false">
      <c r="A47" s="549" t="s">
        <v>370</v>
      </c>
      <c r="B47" s="551" t="n">
        <v>3.41</v>
      </c>
      <c r="C47" s="549" t="n">
        <v>13</v>
      </c>
      <c r="D47" s="549" t="n">
        <v>0</v>
      </c>
      <c r="E47" s="549" t="e">
        <f aca="false">+D$7</f>
        <v>#REF!</v>
      </c>
      <c r="F47" s="552" t="e">
        <f aca="false">(+C47+D47)*B47*E47</f>
        <v>#REF!</v>
      </c>
      <c r="G47" s="549"/>
      <c r="H47" s="549"/>
    </row>
    <row r="48" customFormat="false" ht="12.75" hidden="false" customHeight="false" outlineLevel="0" collapsed="false">
      <c r="A48" s="549" t="s">
        <v>984</v>
      </c>
      <c r="B48" s="551" t="n">
        <v>3.217</v>
      </c>
      <c r="C48" s="549" t="n">
        <v>4</v>
      </c>
      <c r="D48" s="549" t="n">
        <v>0</v>
      </c>
      <c r="E48" s="549" t="e">
        <f aca="false">+D$7</f>
        <v>#REF!</v>
      </c>
      <c r="F48" s="552" t="e">
        <f aca="false">(+C48+D48)*B48*E48</f>
        <v>#REF!</v>
      </c>
      <c r="G48" s="549"/>
      <c r="H48" s="549"/>
    </row>
    <row r="49" customFormat="false" ht="12.75" hidden="false" customHeight="false" outlineLevel="0" collapsed="false">
      <c r="A49" s="549" t="s">
        <v>363</v>
      </c>
      <c r="B49" s="551" t="n">
        <v>6.965</v>
      </c>
      <c r="C49" s="549" t="n">
        <v>6</v>
      </c>
      <c r="D49" s="549" t="n">
        <v>0</v>
      </c>
      <c r="E49" s="549" t="e">
        <f aca="false">+D$7</f>
        <v>#REF!</v>
      </c>
      <c r="F49" s="552" t="e">
        <f aca="false">(+C49+D49)*B49*E49</f>
        <v>#REF!</v>
      </c>
      <c r="G49" s="549"/>
      <c r="H49" s="549"/>
    </row>
    <row r="50" customFormat="false" ht="12.75" hidden="false" customHeight="false" outlineLevel="0" collapsed="false">
      <c r="A50" s="549" t="s">
        <v>569</v>
      </c>
      <c r="B50" s="551" t="n">
        <v>2.922</v>
      </c>
      <c r="C50" s="549" t="n">
        <v>9</v>
      </c>
      <c r="D50" s="549" t="n">
        <v>0</v>
      </c>
      <c r="E50" s="549" t="e">
        <f aca="false">+D$7</f>
        <v>#REF!</v>
      </c>
      <c r="F50" s="552" t="e">
        <f aca="false">(+C50+D50)*B50*E50</f>
        <v>#REF!</v>
      </c>
      <c r="G50" s="549"/>
      <c r="H50" s="549"/>
    </row>
    <row r="51" customFormat="false" ht="12.75" hidden="false" customHeight="false" outlineLevel="0" collapsed="false">
      <c r="A51" s="553" t="s">
        <v>985</v>
      </c>
      <c r="B51" s="551" t="n">
        <v>1.912</v>
      </c>
      <c r="C51" s="549" t="n">
        <v>21</v>
      </c>
      <c r="D51" s="549" t="n">
        <v>0</v>
      </c>
      <c r="E51" s="549" t="e">
        <f aca="false">+D$7</f>
        <v>#REF!</v>
      </c>
      <c r="F51" s="552" t="e">
        <f aca="false">(+C51+D51)*B51*E51</f>
        <v>#REF!</v>
      </c>
      <c r="G51" s="549"/>
      <c r="H51" s="549"/>
    </row>
    <row r="52" customFormat="false" ht="12.75" hidden="false" customHeight="false" outlineLevel="0" collapsed="false">
      <c r="A52" s="549" t="s">
        <v>986</v>
      </c>
      <c r="B52" s="551" t="n">
        <v>3.942</v>
      </c>
      <c r="C52" s="549" t="n">
        <v>21</v>
      </c>
      <c r="D52" s="549" t="n">
        <v>0</v>
      </c>
      <c r="E52" s="549" t="e">
        <f aca="false">+D$7</f>
        <v>#REF!</v>
      </c>
      <c r="F52" s="552" t="e">
        <f aca="false">(+C52+D52)*B52*E52</f>
        <v>#REF!</v>
      </c>
      <c r="G52" s="549"/>
      <c r="H52" s="549"/>
    </row>
    <row r="53" customFormat="false" ht="12.75" hidden="false" customHeight="false" outlineLevel="0" collapsed="false">
      <c r="A53" s="549" t="s">
        <v>998</v>
      </c>
      <c r="B53" s="551" t="n">
        <v>3.796</v>
      </c>
      <c r="C53" s="549" t="n">
        <v>21</v>
      </c>
      <c r="D53" s="549" t="n">
        <v>0</v>
      </c>
      <c r="E53" s="549" t="e">
        <f aca="false">+D$7</f>
        <v>#REF!</v>
      </c>
      <c r="F53" s="552" t="e">
        <f aca="false">(+C53+D53)*B53*E53</f>
        <v>#REF!</v>
      </c>
      <c r="G53" s="549"/>
      <c r="H53" s="549"/>
    </row>
    <row r="54" customFormat="false" ht="13.5" hidden="false" customHeight="false" outlineLevel="0" collapsed="false">
      <c r="A54" s="549"/>
      <c r="B54" s="549"/>
      <c r="C54" s="549"/>
      <c r="E54" s="549"/>
      <c r="F54" s="554" t="e">
        <f aca="false">SUM(F47:F53)</f>
        <v>#REF!</v>
      </c>
      <c r="G54" s="549"/>
      <c r="H54" s="549"/>
    </row>
    <row r="55" customFormat="false" ht="13.5" hidden="false" customHeight="false" outlineLevel="0" collapsed="false">
      <c r="A55" s="549"/>
      <c r="B55" s="549"/>
      <c r="C55" s="549"/>
      <c r="E55" s="549" t="s">
        <v>990</v>
      </c>
      <c r="F55" s="549" t="n">
        <f aca="false">+C52+D52</f>
        <v>21</v>
      </c>
      <c r="G55" s="549"/>
      <c r="H55" s="549"/>
    </row>
    <row r="56" customFormat="false" ht="12.75" hidden="false" customHeight="false" outlineLevel="0" collapsed="false">
      <c r="A56" s="549"/>
      <c r="B56" s="549"/>
      <c r="C56" s="549"/>
      <c r="E56" s="549" t="s">
        <v>98</v>
      </c>
      <c r="F56" s="556" t="e">
        <f aca="false">+#REF!</f>
        <v>#REF!</v>
      </c>
      <c r="G56" s="549"/>
      <c r="H56" s="549"/>
    </row>
    <row r="57" customFormat="false" ht="13.5" hidden="false" customHeight="false" outlineLevel="0" collapsed="false">
      <c r="A57" s="549"/>
      <c r="B57" s="549"/>
      <c r="C57" s="549"/>
      <c r="E57" s="549" t="s">
        <v>991</v>
      </c>
      <c r="F57" s="557" t="e">
        <f aca="false">ROUND(+F54/F55/F56,4)</f>
        <v>#REF!</v>
      </c>
      <c r="G57" s="549"/>
      <c r="H57" s="549"/>
    </row>
    <row r="58" customFormat="false" ht="13.5" hidden="false" customHeight="false" outlineLevel="0" collapsed="false">
      <c r="A58" s="549"/>
      <c r="B58" s="549"/>
      <c r="C58" s="549"/>
      <c r="D58" s="549"/>
      <c r="E58" s="549"/>
      <c r="F58" s="549"/>
      <c r="G58" s="549"/>
      <c r="H58" s="549"/>
    </row>
    <row r="59" customFormat="false" ht="12.75" hidden="false" customHeight="false" outlineLevel="0" collapsed="false">
      <c r="A59" s="549"/>
      <c r="B59" s="549"/>
      <c r="C59" s="549"/>
      <c r="D59" s="549"/>
      <c r="E59" s="549"/>
      <c r="F59" s="549"/>
      <c r="G59" s="549"/>
      <c r="H59" s="549"/>
    </row>
    <row r="60" customFormat="false" ht="12.75" hidden="false" customHeight="false" outlineLevel="0" collapsed="false">
      <c r="A60" s="550" t="s">
        <v>980</v>
      </c>
      <c r="B60" s="550" t="n">
        <v>889111</v>
      </c>
      <c r="F60" s="549"/>
      <c r="G60" s="549"/>
      <c r="H60" s="549"/>
    </row>
    <row r="61" customFormat="false" ht="12.75" hidden="false" customHeight="false" outlineLevel="0" collapsed="false">
      <c r="A61" s="550" t="s">
        <v>992</v>
      </c>
      <c r="B61" s="550" t="s">
        <v>231</v>
      </c>
      <c r="C61" s="550"/>
      <c r="D61" s="550"/>
      <c r="E61" s="550"/>
      <c r="F61" s="549"/>
      <c r="G61" s="549"/>
      <c r="H61" s="549"/>
    </row>
    <row r="62" customFormat="false" ht="12.75" hidden="false" customHeight="false" outlineLevel="0" collapsed="false">
      <c r="A62" s="549"/>
      <c r="B62" s="549" t="s">
        <v>981</v>
      </c>
      <c r="C62" s="549" t="s">
        <v>999</v>
      </c>
      <c r="D62" s="549" t="s">
        <v>997</v>
      </c>
      <c r="E62" s="549" t="s">
        <v>978</v>
      </c>
      <c r="F62" s="549" t="s">
        <v>983</v>
      </c>
      <c r="G62" s="549"/>
      <c r="H62" s="549"/>
    </row>
    <row r="63" customFormat="false" ht="12.75" hidden="false" customHeight="false" outlineLevel="0" collapsed="false">
      <c r="A63" s="549" t="s">
        <v>370</v>
      </c>
      <c r="B63" s="551" t="n">
        <v>3.637</v>
      </c>
      <c r="C63" s="549" t="n">
        <v>88</v>
      </c>
      <c r="D63" s="549" t="n">
        <v>0</v>
      </c>
      <c r="E63" s="549" t="e">
        <f aca="false">+D$7</f>
        <v>#REF!</v>
      </c>
      <c r="F63" s="552" t="e">
        <f aca="false">(+C63+D63)*B63*E63</f>
        <v>#REF!</v>
      </c>
      <c r="G63" s="549"/>
      <c r="H63" s="549"/>
    </row>
    <row r="64" customFormat="false" ht="12.75" hidden="false" customHeight="false" outlineLevel="0" collapsed="false">
      <c r="A64" s="549" t="s">
        <v>984</v>
      </c>
      <c r="B64" s="551" t="n">
        <v>3.444</v>
      </c>
      <c r="C64" s="549" t="n">
        <v>24</v>
      </c>
      <c r="D64" s="549" t="n">
        <v>0</v>
      </c>
      <c r="E64" s="549" t="e">
        <f aca="false">+D$7</f>
        <v>#REF!</v>
      </c>
      <c r="F64" s="552" t="e">
        <f aca="false">(+C64+D64)*B64*E64</f>
        <v>#REF!</v>
      </c>
      <c r="G64" s="549"/>
      <c r="H64" s="549"/>
    </row>
    <row r="65" customFormat="false" ht="12.75" hidden="false" customHeight="false" outlineLevel="0" collapsed="false">
      <c r="A65" s="549" t="s">
        <v>363</v>
      </c>
      <c r="B65" s="551" t="n">
        <v>7.192</v>
      </c>
      <c r="C65" s="549" t="n">
        <v>39</v>
      </c>
      <c r="D65" s="549" t="n">
        <v>0</v>
      </c>
      <c r="E65" s="549" t="e">
        <f aca="false">+D$7</f>
        <v>#REF!</v>
      </c>
      <c r="F65" s="552" t="e">
        <f aca="false">(+C65+D65)*B65*E65</f>
        <v>#REF!</v>
      </c>
      <c r="G65" s="549"/>
      <c r="H65" s="549"/>
    </row>
    <row r="66" customFormat="false" ht="12.75" hidden="false" customHeight="false" outlineLevel="0" collapsed="false">
      <c r="A66" s="549" t="s">
        <v>569</v>
      </c>
      <c r="B66" s="551" t="n">
        <v>3.156</v>
      </c>
      <c r="C66" s="549" t="n">
        <v>58</v>
      </c>
      <c r="D66" s="549" t="n">
        <v>0</v>
      </c>
      <c r="E66" s="549" t="e">
        <f aca="false">+D$7</f>
        <v>#REF!</v>
      </c>
      <c r="F66" s="552" t="e">
        <f aca="false">(+C66+D66)*B66*E66</f>
        <v>#REF!</v>
      </c>
      <c r="G66" s="549"/>
      <c r="H66" s="549"/>
    </row>
    <row r="67" customFormat="false" ht="12.75" hidden="false" customHeight="false" outlineLevel="0" collapsed="false">
      <c r="A67" s="553" t="s">
        <v>985</v>
      </c>
      <c r="B67" s="551" t="n">
        <v>1.912</v>
      </c>
      <c r="C67" s="549" t="n">
        <v>141</v>
      </c>
      <c r="D67" s="549" t="n">
        <v>0</v>
      </c>
      <c r="E67" s="549" t="e">
        <f aca="false">+D$7</f>
        <v>#REF!</v>
      </c>
      <c r="F67" s="552" t="e">
        <f aca="false">(+C67+D67)*B67*E67</f>
        <v>#REF!</v>
      </c>
      <c r="G67" s="549"/>
      <c r="H67" s="549"/>
    </row>
    <row r="68" customFormat="false" ht="12.75" hidden="false" customHeight="false" outlineLevel="0" collapsed="false">
      <c r="A68" s="549" t="s">
        <v>986</v>
      </c>
      <c r="B68" s="551" t="n">
        <v>3.942</v>
      </c>
      <c r="C68" s="549" t="n">
        <v>141</v>
      </c>
      <c r="D68" s="549" t="n">
        <v>0</v>
      </c>
      <c r="E68" s="549" t="e">
        <f aca="false">+D$7</f>
        <v>#REF!</v>
      </c>
      <c r="F68" s="552" t="e">
        <f aca="false">(+C68+D68)*B68*E68</f>
        <v>#REF!</v>
      </c>
      <c r="G68" s="549"/>
      <c r="H68" s="549"/>
    </row>
    <row r="69" customFormat="false" ht="12.75" hidden="false" customHeight="false" outlineLevel="0" collapsed="false">
      <c r="A69" s="549" t="s">
        <v>987</v>
      </c>
      <c r="B69" s="551" t="n">
        <v>2.691</v>
      </c>
      <c r="C69" s="549" t="n">
        <v>138</v>
      </c>
      <c r="D69" s="549" t="n">
        <v>0</v>
      </c>
      <c r="E69" s="549" t="e">
        <f aca="false">+D$7</f>
        <v>#REF!</v>
      </c>
      <c r="F69" s="552" t="e">
        <f aca="false">(+C69+D69)*B69*E69</f>
        <v>#REF!</v>
      </c>
      <c r="G69" s="549"/>
      <c r="H69" s="549"/>
    </row>
    <row r="70" customFormat="false" ht="12.75" hidden="false" customHeight="false" outlineLevel="0" collapsed="false">
      <c r="A70" s="549" t="s">
        <v>988</v>
      </c>
      <c r="B70" s="551" t="n">
        <v>4.066</v>
      </c>
      <c r="C70" s="549" t="n">
        <v>141</v>
      </c>
      <c r="D70" s="549" t="n">
        <v>0</v>
      </c>
      <c r="E70" s="549" t="e">
        <f aca="false">+D$7</f>
        <v>#REF!</v>
      </c>
      <c r="F70" s="552" t="e">
        <f aca="false">(+C70+D70)*B70*E70</f>
        <v>#REF!</v>
      </c>
      <c r="G70" s="549"/>
      <c r="H70" s="549"/>
    </row>
    <row r="71" customFormat="false" ht="13.5" hidden="false" customHeight="false" outlineLevel="0" collapsed="false">
      <c r="A71" s="549"/>
      <c r="B71" s="549"/>
      <c r="C71" s="549"/>
      <c r="E71" s="549"/>
      <c r="F71" s="554" t="e">
        <f aca="false">SUM(F63:F70)</f>
        <v>#REF!</v>
      </c>
      <c r="G71" s="549"/>
      <c r="H71" s="549"/>
    </row>
    <row r="72" customFormat="false" ht="13.5" hidden="false" customHeight="false" outlineLevel="0" collapsed="false">
      <c r="A72" s="549"/>
      <c r="B72" s="549"/>
      <c r="C72" s="549"/>
      <c r="E72" s="549" t="s">
        <v>990</v>
      </c>
      <c r="F72" s="549" t="n">
        <f aca="false">+C69+D69</f>
        <v>138</v>
      </c>
      <c r="G72" s="549"/>
      <c r="H72" s="549"/>
    </row>
    <row r="73" customFormat="false" ht="12.75" hidden="false" customHeight="false" outlineLevel="0" collapsed="false">
      <c r="A73" s="549"/>
      <c r="B73" s="549"/>
      <c r="C73" s="549"/>
      <c r="E73" s="549" t="s">
        <v>98</v>
      </c>
      <c r="F73" s="556" t="e">
        <f aca="false">+#REF!</f>
        <v>#REF!</v>
      </c>
      <c r="G73" s="549"/>
      <c r="H73" s="549"/>
    </row>
    <row r="74" customFormat="false" ht="13.5" hidden="false" customHeight="false" outlineLevel="0" collapsed="false">
      <c r="A74" s="549"/>
      <c r="B74" s="549"/>
      <c r="C74" s="549"/>
      <c r="E74" s="549" t="s">
        <v>991</v>
      </c>
      <c r="F74" s="557" t="e">
        <f aca="false">ROUND(+F71/F72/F73,4)</f>
        <v>#REF!</v>
      </c>
      <c r="G74" s="549"/>
      <c r="H74" s="549"/>
    </row>
    <row r="75" customFormat="false" ht="13.5" hidden="false" customHeight="false" outlineLevel="0" collapsed="false">
      <c r="A75" s="549"/>
      <c r="C75" s="549"/>
      <c r="D75" s="549"/>
      <c r="E75" s="549"/>
      <c r="F75" s="549"/>
      <c r="G75" s="549"/>
      <c r="H75" s="549"/>
      <c r="L75" s="73"/>
    </row>
    <row r="76" customFormat="false" ht="12.75" hidden="false" customHeight="false" outlineLevel="0" collapsed="false">
      <c r="A76" s="550" t="s">
        <v>980</v>
      </c>
      <c r="B76" s="550" t="n">
        <v>889112</v>
      </c>
      <c r="F76" s="549"/>
      <c r="G76" s="549"/>
      <c r="H76" s="549"/>
    </row>
    <row r="77" customFormat="false" ht="12.75" hidden="false" customHeight="false" outlineLevel="0" collapsed="false">
      <c r="A77" s="550" t="s">
        <v>359</v>
      </c>
      <c r="B77" s="550" t="s">
        <v>231</v>
      </c>
      <c r="C77" s="550"/>
      <c r="D77" s="550"/>
      <c r="E77" s="550"/>
      <c r="F77" s="549"/>
      <c r="G77" s="549"/>
      <c r="H77" s="549"/>
    </row>
    <row r="78" customFormat="false" ht="12.75" hidden="false" customHeight="false" outlineLevel="0" collapsed="false">
      <c r="A78" s="549"/>
      <c r="B78" s="549" t="s">
        <v>981</v>
      </c>
      <c r="C78" s="549" t="s">
        <v>1000</v>
      </c>
      <c r="D78" s="549" t="s">
        <v>978</v>
      </c>
      <c r="E78" s="549" t="s">
        <v>983</v>
      </c>
      <c r="F78" s="549"/>
      <c r="G78" s="549"/>
    </row>
    <row r="79" customFormat="false" ht="12.75" hidden="false" customHeight="false" outlineLevel="0" collapsed="false">
      <c r="A79" s="549" t="s">
        <v>370</v>
      </c>
      <c r="B79" s="551" t="n">
        <v>3.41</v>
      </c>
      <c r="C79" s="549" t="n">
        <v>224</v>
      </c>
      <c r="D79" s="549" t="e">
        <f aca="false">+D$7</f>
        <v>#REF!</v>
      </c>
      <c r="E79" s="552" t="e">
        <f aca="false">(+C79)*B79*D79</f>
        <v>#REF!</v>
      </c>
      <c r="F79" s="549"/>
      <c r="G79" s="549"/>
    </row>
    <row r="80" customFormat="false" ht="12.75" hidden="false" customHeight="false" outlineLevel="0" collapsed="false">
      <c r="A80" s="549" t="s">
        <v>984</v>
      </c>
      <c r="B80" s="551" t="n">
        <v>3.217</v>
      </c>
      <c r="C80" s="549" t="n">
        <v>60</v>
      </c>
      <c r="D80" s="549" t="e">
        <f aca="false">+D$7</f>
        <v>#REF!</v>
      </c>
      <c r="E80" s="552" t="e">
        <f aca="false">(+C80)*B80*D80</f>
        <v>#REF!</v>
      </c>
      <c r="F80" s="549"/>
      <c r="G80" s="549"/>
    </row>
    <row r="81" customFormat="false" ht="12.75" hidden="false" customHeight="false" outlineLevel="0" collapsed="false">
      <c r="A81" s="549" t="s">
        <v>363</v>
      </c>
      <c r="B81" s="551" t="n">
        <v>6.965</v>
      </c>
      <c r="C81" s="549" t="n">
        <v>98</v>
      </c>
      <c r="D81" s="549" t="e">
        <f aca="false">+D$7</f>
        <v>#REF!</v>
      </c>
      <c r="E81" s="552" t="e">
        <f aca="false">(+C81)*B81*D81</f>
        <v>#REF!</v>
      </c>
      <c r="F81" s="549"/>
      <c r="G81" s="549"/>
    </row>
    <row r="82" customFormat="false" ht="12.75" hidden="false" customHeight="false" outlineLevel="0" collapsed="false">
      <c r="A82" s="549" t="s">
        <v>569</v>
      </c>
      <c r="B82" s="551" t="n">
        <v>2.922</v>
      </c>
      <c r="C82" s="549" t="n">
        <v>145</v>
      </c>
      <c r="D82" s="549" t="e">
        <f aca="false">+D$7</f>
        <v>#REF!</v>
      </c>
      <c r="E82" s="552" t="e">
        <f aca="false">(+C82)*B82*D82</f>
        <v>#REF!</v>
      </c>
      <c r="F82" s="549"/>
      <c r="G82" s="549"/>
    </row>
    <row r="83" customFormat="false" ht="12.75" hidden="false" customHeight="false" outlineLevel="0" collapsed="false">
      <c r="A83" s="553" t="s">
        <v>985</v>
      </c>
      <c r="B83" s="551" t="n">
        <v>1.912</v>
      </c>
      <c r="C83" s="549" t="n">
        <v>361</v>
      </c>
      <c r="D83" s="549" t="e">
        <f aca="false">+D$7</f>
        <v>#REF!</v>
      </c>
      <c r="E83" s="552" t="e">
        <f aca="false">(+C83)*B83*D83</f>
        <v>#REF!</v>
      </c>
      <c r="F83" s="549"/>
      <c r="G83" s="549"/>
    </row>
    <row r="84" customFormat="false" ht="12.75" hidden="false" customHeight="false" outlineLevel="0" collapsed="false">
      <c r="A84" s="549" t="s">
        <v>986</v>
      </c>
      <c r="B84" s="551" t="n">
        <v>3.942</v>
      </c>
      <c r="C84" s="549" t="n">
        <v>358</v>
      </c>
      <c r="D84" s="549" t="e">
        <f aca="false">+D$7</f>
        <v>#REF!</v>
      </c>
      <c r="E84" s="552" t="e">
        <f aca="false">(+C84)*B84*D84</f>
        <v>#REF!</v>
      </c>
      <c r="F84" s="549"/>
      <c r="G84" s="549"/>
    </row>
    <row r="85" customFormat="false" ht="12.75" hidden="false" customHeight="false" outlineLevel="0" collapsed="false">
      <c r="A85" s="549" t="s">
        <v>987</v>
      </c>
      <c r="B85" s="551" t="n">
        <v>2.691</v>
      </c>
      <c r="C85" s="549" t="n">
        <v>352</v>
      </c>
      <c r="D85" s="549" t="e">
        <f aca="false">+D$7</f>
        <v>#REF!</v>
      </c>
      <c r="E85" s="552" t="e">
        <f aca="false">(+C85)*B85*D85</f>
        <v>#REF!</v>
      </c>
      <c r="F85" s="549"/>
      <c r="G85" s="549"/>
    </row>
    <row r="86" customFormat="false" ht="12.75" hidden="false" customHeight="false" outlineLevel="0" collapsed="false">
      <c r="A86" s="549" t="s">
        <v>988</v>
      </c>
      <c r="B86" s="551" t="n">
        <v>3.853</v>
      </c>
      <c r="C86" s="549" t="n">
        <v>361</v>
      </c>
      <c r="D86" s="549" t="e">
        <f aca="false">+D$7</f>
        <v>#REF!</v>
      </c>
      <c r="E86" s="552" t="e">
        <f aca="false">(+C86)*B86*D86</f>
        <v>#REF!</v>
      </c>
      <c r="F86" s="549"/>
      <c r="G86" s="549"/>
    </row>
    <row r="87" customFormat="false" ht="13.5" hidden="false" customHeight="false" outlineLevel="0" collapsed="false">
      <c r="A87" s="549"/>
      <c r="B87" s="549"/>
      <c r="C87" s="549"/>
      <c r="D87" s="549"/>
      <c r="E87" s="554" t="e">
        <f aca="false">SUM(E79:E86)</f>
        <v>#REF!</v>
      </c>
      <c r="F87" s="549"/>
      <c r="G87" s="549"/>
    </row>
    <row r="88" customFormat="false" ht="13.5" hidden="false" customHeight="false" outlineLevel="0" collapsed="false">
      <c r="A88" s="549"/>
      <c r="B88" s="549"/>
      <c r="C88" s="549"/>
      <c r="D88" s="549" t="s">
        <v>990</v>
      </c>
      <c r="E88" s="549" t="n">
        <f aca="false">+C85</f>
        <v>352</v>
      </c>
      <c r="F88" s="549"/>
      <c r="G88" s="549"/>
    </row>
    <row r="89" customFormat="false" ht="12.75" hidden="false" customHeight="false" outlineLevel="0" collapsed="false">
      <c r="A89" s="549"/>
      <c r="B89" s="549"/>
      <c r="C89" s="549"/>
      <c r="D89" s="549" t="s">
        <v>98</v>
      </c>
      <c r="E89" s="556" t="e">
        <f aca="false">+#REF!</f>
        <v>#REF!</v>
      </c>
      <c r="F89" s="549"/>
      <c r="G89" s="549"/>
    </row>
    <row r="90" customFormat="false" ht="13.5" hidden="false" customHeight="false" outlineLevel="0" collapsed="false">
      <c r="A90" s="549"/>
      <c r="B90" s="549"/>
      <c r="C90" s="549"/>
      <c r="D90" s="549" t="s">
        <v>991</v>
      </c>
      <c r="E90" s="557" t="e">
        <f aca="false">ROUND(+E87/E88/E89,4)</f>
        <v>#REF!</v>
      </c>
      <c r="F90" s="549"/>
      <c r="G90" s="549"/>
    </row>
    <row r="91" customFormat="false" ht="13.5" hidden="false" customHeight="false" outlineLevel="0" collapsed="false">
      <c r="A91" s="549"/>
      <c r="B91" s="549"/>
      <c r="C91" s="549"/>
      <c r="D91" s="549"/>
      <c r="E91" s="549"/>
      <c r="F91" s="549"/>
      <c r="G91" s="549"/>
      <c r="H91" s="549"/>
    </row>
    <row r="92" customFormat="false" ht="12.75" hidden="false" customHeight="false" outlineLevel="0" collapsed="false">
      <c r="A92" s="550" t="s">
        <v>980</v>
      </c>
      <c r="B92" s="550" t="n">
        <v>889090</v>
      </c>
      <c r="F92" s="549"/>
      <c r="G92" s="549"/>
      <c r="H92" s="549"/>
    </row>
    <row r="93" customFormat="false" ht="12.75" hidden="false" customHeight="false" outlineLevel="0" collapsed="false">
      <c r="A93" s="550" t="s">
        <v>359</v>
      </c>
      <c r="B93" s="550" t="s">
        <v>231</v>
      </c>
      <c r="C93" s="550"/>
      <c r="D93" s="550"/>
      <c r="E93" s="550"/>
      <c r="F93" s="549"/>
      <c r="G93" s="549"/>
      <c r="H93" s="549"/>
    </row>
    <row r="94" customFormat="false" ht="12.75" hidden="false" customHeight="false" outlineLevel="0" collapsed="false">
      <c r="A94" s="549"/>
      <c r="B94" s="549" t="s">
        <v>981</v>
      </c>
      <c r="C94" s="549" t="s">
        <v>1001</v>
      </c>
      <c r="D94" s="549" t="s">
        <v>1002</v>
      </c>
      <c r="E94" s="549" t="s">
        <v>978</v>
      </c>
      <c r="F94" s="549" t="s">
        <v>983</v>
      </c>
      <c r="G94" s="549"/>
      <c r="H94" s="549"/>
    </row>
    <row r="95" customFormat="false" ht="12.75" hidden="false" customHeight="false" outlineLevel="0" collapsed="false">
      <c r="A95" s="549" t="s">
        <v>370</v>
      </c>
      <c r="B95" s="551" t="n">
        <v>3.41</v>
      </c>
      <c r="C95" s="549" t="n">
        <v>9</v>
      </c>
      <c r="D95" s="549" t="n">
        <v>4</v>
      </c>
      <c r="E95" s="549" t="e">
        <f aca="false">+D$7</f>
        <v>#REF!</v>
      </c>
      <c r="F95" s="552" t="e">
        <f aca="false">(+C95+D95)*B95*E95</f>
        <v>#REF!</v>
      </c>
      <c r="G95" s="549"/>
      <c r="H95" s="549"/>
    </row>
    <row r="96" customFormat="false" ht="12.75" hidden="false" customHeight="false" outlineLevel="0" collapsed="false">
      <c r="A96" s="549" t="s">
        <v>984</v>
      </c>
      <c r="B96" s="551" t="n">
        <v>3.217</v>
      </c>
      <c r="C96" s="549" t="n">
        <v>2</v>
      </c>
      <c r="D96" s="549" t="n">
        <v>1</v>
      </c>
      <c r="E96" s="549" t="e">
        <f aca="false">+D$7</f>
        <v>#REF!</v>
      </c>
      <c r="F96" s="552" t="e">
        <f aca="false">(+C96+D96)*B96*E96</f>
        <v>#REF!</v>
      </c>
      <c r="G96" s="549"/>
      <c r="H96" s="549"/>
    </row>
    <row r="97" customFormat="false" ht="12.75" hidden="false" customHeight="false" outlineLevel="0" collapsed="false">
      <c r="A97" s="549" t="s">
        <v>363</v>
      </c>
      <c r="B97" s="551" t="n">
        <v>6.965</v>
      </c>
      <c r="C97" s="549" t="n">
        <v>3</v>
      </c>
      <c r="D97" s="549" t="n">
        <v>2</v>
      </c>
      <c r="E97" s="549" t="e">
        <f aca="false">+D$7</f>
        <v>#REF!</v>
      </c>
      <c r="F97" s="552" t="e">
        <f aca="false">(+C97+D97)*B97*E97</f>
        <v>#REF!</v>
      </c>
      <c r="G97" s="549"/>
      <c r="H97" s="549"/>
    </row>
    <row r="98" customFormat="false" ht="12.75" hidden="false" customHeight="false" outlineLevel="0" collapsed="false">
      <c r="A98" s="549" t="s">
        <v>569</v>
      </c>
      <c r="B98" s="551" t="n">
        <v>2.922</v>
      </c>
      <c r="C98" s="549" t="n">
        <v>5</v>
      </c>
      <c r="D98" s="549" t="n">
        <v>2</v>
      </c>
      <c r="E98" s="549" t="e">
        <f aca="false">+D$7</f>
        <v>#REF!</v>
      </c>
      <c r="F98" s="552" t="e">
        <f aca="false">(+C98+D98)*B98*E98</f>
        <v>#REF!</v>
      </c>
      <c r="G98" s="549"/>
      <c r="H98" s="549"/>
    </row>
    <row r="99" customFormat="false" ht="12.75" hidden="false" customHeight="false" outlineLevel="0" collapsed="false">
      <c r="A99" s="553" t="s">
        <v>985</v>
      </c>
      <c r="B99" s="551" t="n">
        <v>1.912</v>
      </c>
      <c r="C99" s="549" t="n">
        <v>16</v>
      </c>
      <c r="D99" s="549" t="n">
        <v>7</v>
      </c>
      <c r="E99" s="549" t="e">
        <f aca="false">+D$7</f>
        <v>#REF!</v>
      </c>
      <c r="F99" s="552" t="e">
        <f aca="false">(+C99+D99)*B99*E99</f>
        <v>#REF!</v>
      </c>
      <c r="G99" s="549"/>
      <c r="H99" s="549"/>
    </row>
    <row r="100" customFormat="false" ht="12.75" hidden="false" customHeight="false" outlineLevel="0" collapsed="false">
      <c r="A100" s="549" t="s">
        <v>986</v>
      </c>
      <c r="B100" s="551" t="n">
        <v>3.942</v>
      </c>
      <c r="C100" s="549" t="n">
        <v>16</v>
      </c>
      <c r="D100" s="549" t="n">
        <v>7</v>
      </c>
      <c r="E100" s="549" t="e">
        <f aca="false">+D$7</f>
        <v>#REF!</v>
      </c>
      <c r="F100" s="552" t="e">
        <f aca="false">(+C100+D100)*B100*E100</f>
        <v>#REF!</v>
      </c>
      <c r="G100" s="549"/>
      <c r="H100" s="549"/>
    </row>
    <row r="101" customFormat="false" ht="12.75" hidden="false" customHeight="false" outlineLevel="0" collapsed="false">
      <c r="A101" s="549" t="s">
        <v>998</v>
      </c>
      <c r="B101" s="551" t="n">
        <v>3.796</v>
      </c>
      <c r="C101" s="549" t="n">
        <v>16</v>
      </c>
      <c r="D101" s="549" t="n">
        <v>7</v>
      </c>
      <c r="E101" s="549" t="e">
        <f aca="false">+D$7</f>
        <v>#REF!</v>
      </c>
      <c r="F101" s="552" t="e">
        <f aca="false">(+C101+D101)*B101*E101</f>
        <v>#REF!</v>
      </c>
      <c r="G101" s="549"/>
      <c r="H101" s="549"/>
    </row>
    <row r="102" customFormat="false" ht="13.5" hidden="false" customHeight="false" outlineLevel="0" collapsed="false">
      <c r="A102" s="549"/>
      <c r="B102" s="551"/>
      <c r="C102" s="549"/>
      <c r="E102" s="549"/>
      <c r="F102" s="554" t="e">
        <f aca="false">SUM(F95:F101)</f>
        <v>#REF!</v>
      </c>
      <c r="G102" s="549"/>
      <c r="H102" s="549"/>
    </row>
    <row r="103" customFormat="false" ht="13.5" hidden="false" customHeight="false" outlineLevel="0" collapsed="false">
      <c r="A103" s="549"/>
      <c r="B103" s="549"/>
      <c r="C103" s="549"/>
      <c r="E103" s="549" t="s">
        <v>1003</v>
      </c>
      <c r="F103" s="549" t="n">
        <f aca="false">+C101+D101</f>
        <v>23</v>
      </c>
      <c r="G103" s="549"/>
      <c r="H103" s="549"/>
    </row>
    <row r="104" customFormat="false" ht="12.75" hidden="false" customHeight="false" outlineLevel="0" collapsed="false">
      <c r="A104" s="549"/>
      <c r="B104" s="549"/>
      <c r="C104" s="549"/>
      <c r="E104" s="549" t="s">
        <v>98</v>
      </c>
      <c r="F104" s="556" t="e">
        <f aca="false">+#REF!</f>
        <v>#REF!</v>
      </c>
      <c r="G104" s="549"/>
      <c r="H104" s="549"/>
    </row>
    <row r="105" customFormat="false" ht="13.5" hidden="false" customHeight="false" outlineLevel="0" collapsed="false">
      <c r="A105" s="549"/>
      <c r="B105" s="549"/>
      <c r="C105" s="549"/>
      <c r="E105" s="549" t="s">
        <v>991</v>
      </c>
      <c r="F105" s="559" t="e">
        <f aca="false">ROUND(+F102/F103/F104,4)</f>
        <v>#REF!</v>
      </c>
      <c r="G105" s="549"/>
      <c r="H105" s="549"/>
    </row>
    <row r="106" customFormat="false" ht="13.5" hidden="false" customHeight="false" outlineLevel="0" collapsed="false">
      <c r="A106" s="549"/>
      <c r="B106" s="549"/>
      <c r="C106" s="549"/>
      <c r="D106" s="549"/>
      <c r="E106" s="560"/>
      <c r="F106" s="549"/>
      <c r="G106" s="549"/>
      <c r="H106" s="549"/>
    </row>
    <row r="107" customFormat="false" ht="12.75" hidden="false" customHeight="false" outlineLevel="0" collapsed="false">
      <c r="A107" s="549"/>
      <c r="B107" s="549"/>
      <c r="C107" s="549"/>
      <c r="D107" s="549"/>
      <c r="E107" s="560"/>
      <c r="F107" s="549"/>
      <c r="G107" s="549"/>
      <c r="H107" s="549"/>
    </row>
    <row r="108" customFormat="false" ht="12.75" hidden="false" customHeight="false" outlineLevel="0" collapsed="false">
      <c r="A108" s="549"/>
      <c r="B108" s="549"/>
      <c r="C108" s="549"/>
      <c r="D108" s="549"/>
      <c r="E108" s="560"/>
      <c r="F108" s="549"/>
      <c r="G108" s="549"/>
      <c r="H108" s="549"/>
    </row>
    <row r="109" customFormat="false" ht="12.75" hidden="false" customHeight="false" outlineLevel="0" collapsed="false">
      <c r="A109" s="550" t="s">
        <v>980</v>
      </c>
      <c r="B109" s="550" t="n">
        <v>888476</v>
      </c>
      <c r="F109" s="549"/>
      <c r="G109" s="549"/>
      <c r="H109" s="549"/>
    </row>
    <row r="110" customFormat="false" ht="12.75" hidden="false" customHeight="false" outlineLevel="0" collapsed="false">
      <c r="A110" s="550" t="s">
        <v>359</v>
      </c>
      <c r="B110" s="550" t="s">
        <v>1004</v>
      </c>
      <c r="C110" s="550"/>
      <c r="D110" s="550"/>
      <c r="E110" s="550"/>
      <c r="F110" s="549"/>
      <c r="G110" s="549"/>
      <c r="H110" s="549"/>
    </row>
    <row r="111" customFormat="false" ht="12.75" hidden="false" customHeight="false" outlineLevel="0" collapsed="false">
      <c r="A111" s="549"/>
      <c r="B111" s="549" t="s">
        <v>981</v>
      </c>
      <c r="C111" s="549" t="s">
        <v>982</v>
      </c>
      <c r="D111" s="549"/>
      <c r="E111" s="549" t="s">
        <v>978</v>
      </c>
      <c r="F111" s="549" t="s">
        <v>983</v>
      </c>
      <c r="G111" s="549"/>
      <c r="H111" s="549"/>
    </row>
    <row r="112" customFormat="false" ht="12.75" hidden="false" customHeight="false" outlineLevel="0" collapsed="false">
      <c r="A112" s="549" t="s">
        <v>370</v>
      </c>
      <c r="B112" s="551" t="n">
        <v>3.414</v>
      </c>
      <c r="C112" s="549" t="n">
        <v>24</v>
      </c>
      <c r="D112" s="549"/>
      <c r="E112" s="549" t="e">
        <f aca="false">+D$7</f>
        <v>#REF!</v>
      </c>
      <c r="F112" s="552" t="e">
        <f aca="false">(+C112+D112)*B112*E112</f>
        <v>#REF!</v>
      </c>
      <c r="G112" s="549"/>
      <c r="H112" s="549"/>
    </row>
    <row r="113" customFormat="false" ht="12.75" hidden="false" customHeight="false" outlineLevel="0" collapsed="false">
      <c r="A113" s="549" t="s">
        <v>984</v>
      </c>
      <c r="B113" s="551" t="n">
        <v>3.221</v>
      </c>
      <c r="C113" s="549" t="n">
        <v>2</v>
      </c>
      <c r="D113" s="549"/>
      <c r="E113" s="549" t="e">
        <f aca="false">+D$7</f>
        <v>#REF!</v>
      </c>
      <c r="F113" s="552" t="e">
        <f aca="false">(+C113+D113)*B113*E113</f>
        <v>#REF!</v>
      </c>
      <c r="G113" s="561"/>
      <c r="H113" s="549"/>
    </row>
    <row r="114" customFormat="false" ht="12.75" hidden="false" customHeight="false" outlineLevel="0" collapsed="false">
      <c r="A114" s="549" t="s">
        <v>363</v>
      </c>
      <c r="B114" s="551" t="n">
        <v>6.969</v>
      </c>
      <c r="C114" s="549" t="n">
        <v>10</v>
      </c>
      <c r="D114" s="549"/>
      <c r="E114" s="549" t="e">
        <f aca="false">+D$7</f>
        <v>#REF!</v>
      </c>
      <c r="F114" s="552" t="e">
        <f aca="false">(+C114+D114)*B114*E114</f>
        <v>#REF!</v>
      </c>
      <c r="G114" s="562"/>
      <c r="H114" s="549"/>
    </row>
    <row r="115" customFormat="false" ht="12.75" hidden="false" customHeight="false" outlineLevel="0" collapsed="false">
      <c r="A115" s="549" t="s">
        <v>569</v>
      </c>
      <c r="B115" s="551" t="n">
        <v>2.933</v>
      </c>
      <c r="C115" s="549" t="n">
        <v>17</v>
      </c>
      <c r="D115" s="549"/>
      <c r="E115" s="549" t="e">
        <f aca="false">+D$7</f>
        <v>#REF!</v>
      </c>
      <c r="F115" s="552" t="e">
        <f aca="false">(+C115+D115)*B115*E115</f>
        <v>#REF!</v>
      </c>
      <c r="G115" s="562"/>
      <c r="H115" s="549"/>
    </row>
    <row r="116" customFormat="false" ht="12.75" hidden="false" customHeight="false" outlineLevel="0" collapsed="false">
      <c r="A116" s="553" t="s">
        <v>985</v>
      </c>
      <c r="B116" s="551" t="n">
        <v>1.891</v>
      </c>
      <c r="C116" s="549" t="n">
        <v>31</v>
      </c>
      <c r="D116" s="549"/>
      <c r="E116" s="549" t="e">
        <f aca="false">+D$7</f>
        <v>#REF!</v>
      </c>
      <c r="F116" s="552" t="e">
        <f aca="false">(+C116+D116)*B116*E116</f>
        <v>#REF!</v>
      </c>
      <c r="G116" s="563"/>
      <c r="H116" s="549"/>
    </row>
    <row r="117" customFormat="false" ht="12.75" hidden="false" customHeight="false" outlineLevel="0" collapsed="false">
      <c r="A117" s="549" t="s">
        <v>986</v>
      </c>
      <c r="B117" s="551" t="n">
        <v>3.9</v>
      </c>
      <c r="C117" s="549" t="n">
        <v>31</v>
      </c>
      <c r="D117" s="549"/>
      <c r="E117" s="549" t="e">
        <f aca="false">+D$7</f>
        <v>#REF!</v>
      </c>
      <c r="F117" s="552" t="e">
        <f aca="false">(+C117+D117)*B117*E117</f>
        <v>#REF!</v>
      </c>
      <c r="G117" s="562"/>
      <c r="H117" s="549"/>
    </row>
    <row r="118" customFormat="false" ht="12.75" hidden="false" customHeight="false" outlineLevel="0" collapsed="false">
      <c r="A118" s="549" t="s">
        <v>998</v>
      </c>
      <c r="B118" s="551" t="n">
        <v>3.789</v>
      </c>
      <c r="C118" s="549" t="n">
        <v>31</v>
      </c>
      <c r="D118" s="549"/>
      <c r="E118" s="549" t="e">
        <f aca="false">+D$7</f>
        <v>#REF!</v>
      </c>
      <c r="F118" s="552" t="e">
        <f aca="false">(+C118+D118)*B118*E118</f>
        <v>#REF!</v>
      </c>
      <c r="G118" s="558"/>
      <c r="H118" s="549"/>
    </row>
    <row r="119" customFormat="false" ht="13.5" hidden="false" customHeight="false" outlineLevel="0" collapsed="false">
      <c r="A119" s="549"/>
      <c r="B119" s="551"/>
      <c r="C119" s="549"/>
      <c r="E119" s="549"/>
      <c r="F119" s="554" t="e">
        <f aca="false">SUM(F112:F118)</f>
        <v>#REF!</v>
      </c>
      <c r="G119" s="558"/>
      <c r="H119" s="549"/>
    </row>
    <row r="120" customFormat="false" ht="13.5" hidden="false" customHeight="false" outlineLevel="0" collapsed="false">
      <c r="A120" s="549"/>
      <c r="B120" s="549"/>
      <c r="C120" s="549"/>
      <c r="E120" s="549" t="s">
        <v>1003</v>
      </c>
      <c r="F120" s="549" t="n">
        <f aca="false">+C118+D118</f>
        <v>31</v>
      </c>
      <c r="G120" s="73"/>
    </row>
    <row r="121" customFormat="false" ht="12.75" hidden="false" customHeight="false" outlineLevel="0" collapsed="false">
      <c r="A121" s="549"/>
      <c r="B121" s="549"/>
      <c r="C121" s="549"/>
      <c r="E121" s="549" t="s">
        <v>98</v>
      </c>
      <c r="F121" s="556" t="e">
        <f aca="false">+#REF!</f>
        <v>#REF!</v>
      </c>
    </row>
    <row r="122" customFormat="false" ht="13.5" hidden="false" customHeight="false" outlineLevel="0" collapsed="false">
      <c r="A122" s="549"/>
      <c r="B122" s="549"/>
      <c r="C122" s="549"/>
      <c r="E122" s="549" t="s">
        <v>991</v>
      </c>
      <c r="F122" s="559" t="e">
        <f aca="false">ROUND(+F119/F120/F121,4)</f>
        <v>#REF!</v>
      </c>
    </row>
    <row r="123" customFormat="false" ht="13.5" hidden="false" customHeight="false" outlineLevel="0" collapsed="false"/>
    <row r="124" customFormat="false" ht="12.75" hidden="false" customHeight="false" outlineLevel="0" collapsed="false">
      <c r="A124" s="550" t="s">
        <v>980</v>
      </c>
      <c r="B124" s="550"/>
      <c r="F124" s="549"/>
    </row>
    <row r="125" customFormat="false" ht="12.75" hidden="false" customHeight="false" outlineLevel="0" collapsed="false">
      <c r="A125" s="550" t="s">
        <v>992</v>
      </c>
      <c r="B125" s="550"/>
      <c r="D125" s="550"/>
      <c r="E125" s="550"/>
      <c r="F125" s="549"/>
    </row>
    <row r="126" customFormat="false" ht="12.75" hidden="false" customHeight="false" outlineLevel="0" collapsed="false">
      <c r="A126" s="549"/>
      <c r="B126" s="549" t="s">
        <v>981</v>
      </c>
      <c r="C126" s="549" t="s">
        <v>1000</v>
      </c>
      <c r="D126" s="549" t="s">
        <v>978</v>
      </c>
      <c r="E126" s="549" t="s">
        <v>983</v>
      </c>
    </row>
    <row r="127" customFormat="false" ht="12.75" hidden="false" customHeight="false" outlineLevel="0" collapsed="false">
      <c r="A127" s="549" t="s">
        <v>370</v>
      </c>
      <c r="B127" s="551" t="n">
        <v>3.633</v>
      </c>
      <c r="C127" s="549" t="n">
        <v>62</v>
      </c>
      <c r="D127" s="549" t="e">
        <f aca="false">+D$7</f>
        <v>#REF!</v>
      </c>
      <c r="E127" s="552" t="e">
        <f aca="false">(+C127)*B127*D127</f>
        <v>#REF!</v>
      </c>
    </row>
    <row r="128" customFormat="false" ht="12.75" hidden="false" customHeight="false" outlineLevel="0" collapsed="false">
      <c r="A128" s="549" t="s">
        <v>984</v>
      </c>
      <c r="B128" s="551" t="n">
        <v>3.44</v>
      </c>
      <c r="C128" s="549" t="n">
        <v>17</v>
      </c>
      <c r="D128" s="549" t="e">
        <f aca="false">+D$7</f>
        <v>#REF!</v>
      </c>
      <c r="E128" s="552" t="e">
        <f aca="false">(+C128)*B128*D128</f>
        <v>#REF!</v>
      </c>
    </row>
    <row r="129" customFormat="false" ht="12.75" hidden="false" customHeight="false" outlineLevel="0" collapsed="false">
      <c r="A129" s="549" t="s">
        <v>363</v>
      </c>
      <c r="B129" s="551" t="n">
        <v>7.188</v>
      </c>
      <c r="C129" s="549" t="n">
        <v>28</v>
      </c>
      <c r="D129" s="549" t="e">
        <f aca="false">+D$7</f>
        <v>#REF!</v>
      </c>
      <c r="E129" s="552" t="e">
        <f aca="false">(+C129)*B129*D129</f>
        <v>#REF!</v>
      </c>
    </row>
    <row r="130" customFormat="false" ht="12.75" hidden="false" customHeight="false" outlineLevel="0" collapsed="false">
      <c r="A130" s="549" t="s">
        <v>569</v>
      </c>
      <c r="B130" s="551" t="n">
        <v>3.145</v>
      </c>
      <c r="C130" s="549" t="n">
        <v>41</v>
      </c>
      <c r="D130" s="549" t="e">
        <f aca="false">+D$7</f>
        <v>#REF!</v>
      </c>
      <c r="E130" s="552" t="e">
        <f aca="false">(+C130)*B130*D130</f>
        <v>#REF!</v>
      </c>
    </row>
    <row r="131" customFormat="false" ht="12.75" hidden="false" customHeight="false" outlineLevel="0" collapsed="false">
      <c r="A131" s="553" t="s">
        <v>985</v>
      </c>
      <c r="B131" s="551" t="n">
        <v>1.912</v>
      </c>
      <c r="C131" s="549" t="n">
        <v>102</v>
      </c>
      <c r="D131" s="549" t="e">
        <f aca="false">+D$7</f>
        <v>#REF!</v>
      </c>
      <c r="E131" s="552" t="e">
        <f aca="false">(+C131)*B131*D131</f>
        <v>#REF!</v>
      </c>
    </row>
    <row r="132" customFormat="false" ht="12.75" hidden="false" customHeight="false" outlineLevel="0" collapsed="false">
      <c r="A132" s="549" t="s">
        <v>986</v>
      </c>
      <c r="B132" s="551" t="n">
        <v>3.942</v>
      </c>
      <c r="C132" s="549" t="n">
        <v>102</v>
      </c>
      <c r="D132" s="549" t="e">
        <f aca="false">+D$7</f>
        <v>#REF!</v>
      </c>
      <c r="E132" s="552" t="e">
        <f aca="false">(+C132)*B132*D132</f>
        <v>#REF!</v>
      </c>
    </row>
    <row r="133" customFormat="false" ht="12.75" hidden="false" customHeight="false" outlineLevel="0" collapsed="false">
      <c r="A133" s="549" t="s">
        <v>987</v>
      </c>
      <c r="B133" s="551" t="n">
        <v>2.691</v>
      </c>
      <c r="C133" s="549" t="n">
        <v>100</v>
      </c>
      <c r="D133" s="549" t="e">
        <f aca="false">+D$7</f>
        <v>#REF!</v>
      </c>
      <c r="E133" s="552" t="e">
        <f aca="false">(+C133)*B133*D133</f>
        <v>#REF!</v>
      </c>
    </row>
    <row r="134" customFormat="false" ht="12.75" hidden="false" customHeight="false" outlineLevel="0" collapsed="false">
      <c r="A134" s="549" t="s">
        <v>988</v>
      </c>
      <c r="B134" s="551" t="n">
        <v>4.076</v>
      </c>
      <c r="C134" s="549" t="n">
        <v>102</v>
      </c>
      <c r="D134" s="549" t="e">
        <f aca="false">+D$7</f>
        <v>#REF!</v>
      </c>
      <c r="E134" s="552" t="e">
        <f aca="false">(+C134)*B134*D134</f>
        <v>#REF!</v>
      </c>
    </row>
    <row r="135" customFormat="false" ht="13.5" hidden="false" customHeight="false" outlineLevel="0" collapsed="false">
      <c r="A135" s="549"/>
      <c r="B135" s="549"/>
      <c r="C135" s="549"/>
      <c r="D135" s="549"/>
      <c r="E135" s="554" t="e">
        <f aca="false">SUM(E127:E134)</f>
        <v>#REF!</v>
      </c>
    </row>
    <row r="136" customFormat="false" ht="13.5" hidden="false" customHeight="false" outlineLevel="0" collapsed="false">
      <c r="A136" s="549"/>
      <c r="B136" s="549"/>
      <c r="C136" s="549"/>
      <c r="D136" s="549" t="s">
        <v>990</v>
      </c>
      <c r="E136" s="549" t="e">
        <f aca="false">+#REF!+C134</f>
        <v>#REF!</v>
      </c>
    </row>
    <row r="137" customFormat="false" ht="12.75" hidden="false" customHeight="false" outlineLevel="0" collapsed="false">
      <c r="A137" s="549"/>
      <c r="B137" s="549"/>
      <c r="C137" s="549"/>
      <c r="D137" s="549" t="s">
        <v>98</v>
      </c>
      <c r="E137" s="556" t="e">
        <f aca="false">+#REF!</f>
        <v>#REF!</v>
      </c>
    </row>
    <row r="138" customFormat="false" ht="13.5" hidden="false" customHeight="false" outlineLevel="0" collapsed="false">
      <c r="A138" s="549"/>
      <c r="B138" s="549"/>
      <c r="C138" s="549"/>
      <c r="D138" s="549" t="s">
        <v>991</v>
      </c>
      <c r="E138" s="557" t="e">
        <f aca="false">ROUND(+E135/E136/E137,4)</f>
        <v>#REF!</v>
      </c>
    </row>
    <row r="13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2000-08-21T10:19:22Z</cp:lastPrinted>
  <cp:revision>0</cp:revision>
  <dc:subject/>
  <dc:title/>
</cp:coreProperties>
</file>